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tabRatio="780" windowHeight="2010" windowWidth="20520" xWindow="-15" yWindow="1995"/>
  </bookViews>
  <sheets>
    <sheet name="BO_DM0044" r:id="rId1" sheetId="7"/>
  </sheets>
  <definedNames>
    <definedName localSheetId="0" name="_xlnm.Print_Titles">BO_DM0044!$3:$6</definedName>
  </definedNames>
  <calcPr calcId="145621"/>
</workbook>
</file>

<file path=xl/sharedStrings.xml><?xml version="1.0" encoding="utf-8"?>
<sst xmlns="http://schemas.openxmlformats.org/spreadsheetml/2006/main" count="18424" uniqueCount="2746">
  <si>
    <t>立会日数</t>
    <phoneticPr fontId="4"/>
  </si>
  <si>
    <t>権利行使数量合計（単位）</t>
    <phoneticPr fontId="4"/>
  </si>
  <si>
    <t>ギブアップ数量（単位）</t>
    <phoneticPr fontId="4"/>
  </si>
  <si>
    <t>Trading
Days</t>
    <phoneticPr fontId="4"/>
  </si>
  <si>
    <t xml:space="preserve"> Total(unit)</t>
    <phoneticPr fontId="4"/>
  </si>
  <si>
    <t>Daily Average(unit)</t>
    <phoneticPr fontId="4"/>
  </si>
  <si>
    <t>Contracts Exercised Total(unit)</t>
    <phoneticPr fontId="4"/>
  </si>
  <si>
    <t>Give Up Volume(unit)</t>
    <phoneticPr fontId="4"/>
  </si>
  <si>
    <t>合計 （単位）</t>
    <phoneticPr fontId="4"/>
  </si>
  <si>
    <t>High(unit)</t>
    <phoneticPr fontId="4"/>
  </si>
  <si>
    <t>Daily Average(￥)</t>
    <phoneticPr fontId="4"/>
  </si>
  <si>
    <t>取引高  Trading Volume</t>
    <phoneticPr fontId="4"/>
  </si>
  <si>
    <t>取引金額  Trading Value</t>
    <phoneticPr fontId="4"/>
  </si>
  <si>
    <t>建玉現在高  Open Interest</t>
    <phoneticPr fontId="4"/>
  </si>
  <si>
    <t>合計（円）</t>
    <phoneticPr fontId="4"/>
  </si>
  <si>
    <t>J-NET(unit)</t>
    <phoneticPr fontId="4"/>
  </si>
  <si>
    <t>Exercise Volume(unit)</t>
    <phoneticPr fontId="4"/>
  </si>
  <si>
    <t>J-NET(￥)</t>
    <phoneticPr fontId="4"/>
  </si>
  <si>
    <t>Total(￥)</t>
    <phoneticPr fontId="4"/>
  </si>
  <si>
    <t>Exercise Value(￥)</t>
    <phoneticPr fontId="4"/>
  </si>
  <si>
    <t>一日平均（円）</t>
    <phoneticPr fontId="4"/>
  </si>
  <si>
    <t>権利行使分（円）</t>
    <phoneticPr fontId="4"/>
  </si>
  <si>
    <t>一日平均 （単位）</t>
    <phoneticPr fontId="4"/>
  </si>
  <si>
    <t>権利行使分（単位）</t>
    <rPh eb="2" sb="0">
      <t>ケンリ</t>
    </rPh>
    <rPh eb="4" sb="2">
      <t>コウシ</t>
    </rPh>
    <rPh eb="5" sb="4">
      <t>ブン</t>
    </rPh>
    <phoneticPr fontId="4"/>
  </si>
  <si>
    <t>J-NET（単位）</t>
  </si>
  <si>
    <t>J-NET（円）</t>
  </si>
  <si>
    <t>単位</t>
    <rPh eb="2" sb="0">
      <t>タンイ</t>
    </rPh>
    <phoneticPr fontId="4"/>
  </si>
  <si>
    <t>J-NET(￥)</t>
    <phoneticPr fontId="4"/>
  </si>
  <si>
    <t>Low(unit)</t>
    <phoneticPr fontId="4"/>
  </si>
  <si>
    <t>最低</t>
    <phoneticPr fontId="4"/>
  </si>
  <si>
    <t>最高</t>
    <phoneticPr fontId="4"/>
  </si>
  <si>
    <t>High(￥)</t>
    <phoneticPr fontId="4"/>
  </si>
  <si>
    <t>Low(￥)</t>
    <phoneticPr fontId="4"/>
  </si>
  <si>
    <t>月日</t>
    <rPh eb="2" sb="0">
      <t>ツキヒ</t>
    </rPh>
    <phoneticPr fontId="4"/>
  </si>
  <si>
    <t>年度半期</t>
    <rPh eb="1" sb="0">
      <t>ネン</t>
    </rPh>
    <rPh eb="2" sb="1">
      <t>ド</t>
    </rPh>
    <rPh eb="4" sb="2">
      <t>ハンキ</t>
    </rPh>
    <phoneticPr fontId="4"/>
  </si>
  <si>
    <t>商品等</t>
    <rPh eb="2" sb="0">
      <t>ショウヒン</t>
    </rPh>
    <rPh eb="3" sb="2">
      <t>トウ</t>
    </rPh>
    <phoneticPr fontId="4"/>
  </si>
  <si>
    <t>Products</t>
    <phoneticPr fontId="4"/>
  </si>
  <si>
    <t>Summary of Statistics (Half of the Fiscal Year summary)</t>
    <phoneticPr fontId="4"/>
  </si>
  <si>
    <t>Half of the fiscal year</t>
    <phoneticPr fontId="4"/>
  </si>
  <si>
    <t>取　引　総　括　表（年　度　半　期）</t>
    <rPh eb="11" sb="10">
      <t>ネン</t>
    </rPh>
    <rPh eb="13" sb="12">
      <t>ド</t>
    </rPh>
    <rPh eb="15" sb="14">
      <t>ハン</t>
    </rPh>
    <rPh eb="17" sb="16">
      <t>キ</t>
    </rPh>
    <phoneticPr fontId="4"/>
  </si>
  <si>
    <t>Put/Call Type</t>
    <phoneticPr fontId="4"/>
  </si>
  <si>
    <t>プットコール
区分</t>
    <rPh eb="9" sb="7">
      <t>クブン</t>
    </rPh>
    <phoneticPr fontId="4"/>
  </si>
  <si>
    <t>Date</t>
    <phoneticPr fontId="4"/>
  </si>
  <si>
    <t>円</t>
    <rPh eb="1" sb="0">
      <t>エン</t>
    </rPh>
    <phoneticPr fontId="4"/>
  </si>
  <si>
    <t>End of Half Fiscal Year(unit)</t>
    <phoneticPr fontId="4"/>
  </si>
  <si>
    <t>年度半期末（単位）</t>
    <phoneticPr fontId="4"/>
  </si>
  <si>
    <t>日経225先物</t>
  </si>
  <si>
    <t>Nikkei 225 Futures</t>
  </si>
  <si>
    <t>2014/10-03</t>
  </si>
  <si>
    <t>12.10</t>
  </si>
  <si>
    <t>12.26</t>
  </si>
  <si>
    <t>176,556,614,354,000</t>
  </si>
  <si>
    <t>40,677,130,199,000</t>
  </si>
  <si>
    <t>3.10</t>
  </si>
  <si>
    <t>12.12</t>
  </si>
  <si>
    <t>3.16</t>
  </si>
  <si>
    <t>2015/04-09</t>
  </si>
  <si>
    <t>8.25</t>
  </si>
  <si>
    <t>4.14</t>
  </si>
  <si>
    <t>287,232,558,949,000</t>
  </si>
  <si>
    <t>54,451,478,905,000</t>
  </si>
  <si>
    <t>9.11</t>
  </si>
  <si>
    <t>6.16</t>
  </si>
  <si>
    <t>2015/10-03</t>
  </si>
  <si>
    <t>12.8</t>
  </si>
  <si>
    <t>12.28</t>
  </si>
  <si>
    <t>261,339,112,544,000</t>
  </si>
  <si>
    <t>58,612,310,053,000</t>
  </si>
  <si>
    <t>3.9</t>
  </si>
  <si>
    <t>10.8</t>
  </si>
  <si>
    <t>2016/04-09</t>
  </si>
  <si>
    <t>6.7</t>
  </si>
  <si>
    <t>8.30</t>
  </si>
  <si>
    <t>195,513,098,731,312</t>
  </si>
  <si>
    <t>48,669,477,627,312</t>
  </si>
  <si>
    <t>6.10</t>
  </si>
  <si>
    <t>9.13</t>
  </si>
  <si>
    <t>2016/10-03</t>
  </si>
  <si>
    <t>12.6</t>
  </si>
  <si>
    <t>225,308,286,383,040</t>
  </si>
  <si>
    <t>57,063,998,000,040</t>
  </si>
  <si>
    <t>12.9</t>
  </si>
  <si>
    <t>10.3</t>
  </si>
  <si>
    <t>2017/04-09</t>
  </si>
  <si>
    <t>9.6</t>
  </si>
  <si>
    <t>8.4</t>
  </si>
  <si>
    <t>210,593,664,920,824</t>
  </si>
  <si>
    <t>50,926,976,732,824</t>
  </si>
  <si>
    <t>6.9</t>
  </si>
  <si>
    <t>2017/10-03</t>
  </si>
  <si>
    <t>3.6</t>
  </si>
  <si>
    <t>315,897,953,314,088</t>
  </si>
  <si>
    <t>76,173,301,562,088</t>
  </si>
  <si>
    <t>3.8</t>
  </si>
  <si>
    <t>3.15</t>
  </si>
  <si>
    <t>2018/04-09</t>
  </si>
  <si>
    <t>6.6</t>
  </si>
  <si>
    <t>8.9</t>
  </si>
  <si>
    <t>242,743,065,623,601</t>
  </si>
  <si>
    <t>56,258,034,107,601</t>
  </si>
  <si>
    <t>9.18</t>
  </si>
  <si>
    <t>2018/10-03</t>
  </si>
  <si>
    <t>2.5</t>
  </si>
  <si>
    <t>291,349,920,850,949</t>
  </si>
  <si>
    <t>67,667,269,935,949</t>
  </si>
  <si>
    <t>12.17</t>
  </si>
  <si>
    <t>2019/04-09</t>
  </si>
  <si>
    <t>6.12</t>
  </si>
  <si>
    <t>7.5</t>
  </si>
  <si>
    <t>240,870,004,552,865</t>
  </si>
  <si>
    <t>54,653,523,713,865</t>
  </si>
  <si>
    <t>6.24</t>
  </si>
  <si>
    <t>2019/10-03</t>
  </si>
  <si>
    <t>12.25</t>
  </si>
  <si>
    <t>325,920,816,932,784</t>
  </si>
  <si>
    <t>67,887,400,087,784</t>
  </si>
  <si>
    <t>3.13</t>
  </si>
  <si>
    <t>12.16</t>
  </si>
  <si>
    <t>2020/04-09</t>
  </si>
  <si>
    <t>9.9</t>
  </si>
  <si>
    <t>9.16</t>
  </si>
  <si>
    <t>258,721,980,384,001</t>
  </si>
  <si>
    <t>61,377,566,924,001</t>
  </si>
  <si>
    <t>4.13</t>
  </si>
  <si>
    <t>2020/10-03</t>
  </si>
  <si>
    <t>287,714,962,872,254</t>
  </si>
  <si>
    <t>65,537,467,654,254</t>
  </si>
  <si>
    <t>2021/04-09</t>
  </si>
  <si>
    <t>9.7</t>
  </si>
  <si>
    <t>8.26</t>
  </si>
  <si>
    <t>233,620,037,099,908</t>
  </si>
  <si>
    <t>62,194,215,434,908</t>
  </si>
  <si>
    <t>6.14</t>
  </si>
  <si>
    <t>2021/10-03</t>
  </si>
  <si>
    <t>12.27</t>
  </si>
  <si>
    <t>287,147,584,170,199</t>
  </si>
  <si>
    <t>68,668,313,641,199</t>
  </si>
  <si>
    <t>12.7</t>
  </si>
  <si>
    <t>12.13</t>
  </si>
  <si>
    <t>2022/04-09</t>
  </si>
  <si>
    <t>4.18</t>
  </si>
  <si>
    <t>304,538,332,386,659</t>
  </si>
  <si>
    <t>64,057,221,088,659</t>
  </si>
  <si>
    <t>6.8</t>
  </si>
  <si>
    <t>9.12</t>
  </si>
  <si>
    <t>2022/10-03</t>
  </si>
  <si>
    <t>3.7</t>
  </si>
  <si>
    <t>279,739,218,595,577</t>
  </si>
  <si>
    <t>69,530,169,249,577</t>
  </si>
  <si>
    <t>2.24</t>
  </si>
  <si>
    <t>2023/04-09</t>
  </si>
  <si>
    <t>4.10</t>
  </si>
  <si>
    <t>345,936,857,568,591</t>
  </si>
  <si>
    <t>74,476,922,237,591</t>
  </si>
  <si>
    <t>2023/10-03</t>
  </si>
  <si>
    <t>3.5</t>
  </si>
  <si>
    <t>366,920,499,702,617</t>
  </si>
  <si>
    <t>81,145,949,812,617</t>
  </si>
  <si>
    <t>日経225mini</t>
  </si>
  <si>
    <t>Nikkei 225 mini</t>
  </si>
  <si>
    <t>1.16</t>
  </si>
  <si>
    <t>137,381,308,876,000</t>
  </si>
  <si>
    <t>4,335,302,799,500</t>
  </si>
  <si>
    <t>5.26</t>
  </si>
  <si>
    <t>263,873,749,228,500</t>
  </si>
  <si>
    <t>9,286,405,462,500</t>
  </si>
  <si>
    <t>9.17</t>
  </si>
  <si>
    <t>1.22</t>
  </si>
  <si>
    <t>238,981,084,559,000</t>
  </si>
  <si>
    <t>10,942,456,518,600</t>
  </si>
  <si>
    <t>2.12</t>
  </si>
  <si>
    <t>3.14</t>
  </si>
  <si>
    <t>168,322,755,925,790</t>
  </si>
  <si>
    <t>7,931,375,427,990</t>
  </si>
  <si>
    <t>5.13</t>
  </si>
  <si>
    <t>11.9</t>
  </si>
  <si>
    <t>200,668,371,866,354</t>
  </si>
  <si>
    <t>9,090,272,801,954</t>
  </si>
  <si>
    <t>1.13</t>
  </si>
  <si>
    <t>5.19</t>
  </si>
  <si>
    <t>8.8</t>
  </si>
  <si>
    <t>195,012,315,055,231</t>
  </si>
  <si>
    <t>8,837,583,732,631</t>
  </si>
  <si>
    <t>9.8</t>
  </si>
  <si>
    <t>2.7</t>
  </si>
  <si>
    <t>314,493,503,017,745</t>
  </si>
  <si>
    <t>18,115,031,081,945</t>
  </si>
  <si>
    <t>3.12</t>
  </si>
  <si>
    <t>8.16</t>
  </si>
  <si>
    <t>5.22</t>
  </si>
  <si>
    <t>247,844,966,390,794</t>
  </si>
  <si>
    <t>13,449,068,749,994</t>
  </si>
  <si>
    <t>9.14</t>
  </si>
  <si>
    <t>6.11</t>
  </si>
  <si>
    <t>10.11</t>
  </si>
  <si>
    <t>313,579,232,641,647</t>
  </si>
  <si>
    <t>19,759,603,106,847</t>
  </si>
  <si>
    <t>3.11</t>
  </si>
  <si>
    <t>8.6</t>
  </si>
  <si>
    <t>258,626,522,389,252</t>
  </si>
  <si>
    <t>15,781,236,666,752</t>
  </si>
  <si>
    <t>6.17</t>
  </si>
  <si>
    <t>3.2</t>
  </si>
  <si>
    <t>373,940,206,922,454</t>
  </si>
  <si>
    <t>25,384,804,769,554</t>
  </si>
  <si>
    <t>6.15</t>
  </si>
  <si>
    <t>317,947,659,687,616</t>
  </si>
  <si>
    <t>26,118,582,146,316</t>
  </si>
  <si>
    <t>11.10</t>
  </si>
  <si>
    <t>316,733,506,590,753</t>
  </si>
  <si>
    <t>25,361,055,756,153</t>
  </si>
  <si>
    <t>11.12</t>
  </si>
  <si>
    <t>12.14</t>
  </si>
  <si>
    <t>7.9</t>
  </si>
  <si>
    <t>299,985,958,414,265</t>
  </si>
  <si>
    <t>24,436,828,340,765</t>
  </si>
  <si>
    <t>5.12</t>
  </si>
  <si>
    <t>7.19</t>
  </si>
  <si>
    <t>1.25</t>
  </si>
  <si>
    <t>378,316,763,380,027</t>
  </si>
  <si>
    <t>29,464,972,059,327</t>
  </si>
  <si>
    <t>10.7</t>
  </si>
  <si>
    <t>371,931,239,444,781</t>
  </si>
  <si>
    <t>28,255,202,430,881</t>
  </si>
  <si>
    <t>4.11</t>
  </si>
  <si>
    <t>323,247,022,956,447</t>
  </si>
  <si>
    <t>25,654,332,293,247</t>
  </si>
  <si>
    <t>5.8</t>
  </si>
  <si>
    <t>405,130,898,572,170</t>
  </si>
  <si>
    <t>30,899,144,185,970</t>
  </si>
  <si>
    <t>6.1</t>
  </si>
  <si>
    <t>10.10</t>
  </si>
  <si>
    <t>443,055,775,631,684</t>
  </si>
  <si>
    <t>29,558,515,385,584</t>
  </si>
  <si>
    <t>3.21</t>
  </si>
  <si>
    <t>日経225マイクロ先物</t>
  </si>
  <si>
    <t>Nikkei 225 Micro Futures</t>
  </si>
  <si>
    <t>8.14</t>
  </si>
  <si>
    <t>5.29</t>
  </si>
  <si>
    <t>2,779,838,212,500</t>
  </si>
  <si>
    <t>10,393,320,184,300</t>
  </si>
  <si>
    <t>12.11</t>
  </si>
  <si>
    <t>TOPIX先物</t>
  </si>
  <si>
    <t>TOPIX Futures</t>
  </si>
  <si>
    <t>1988/04-09</t>
  </si>
  <si>
    <t>9.3</t>
  </si>
  <si>
    <t>8,424,337,020,000</t>
  </si>
  <si>
    <t>－</t>
  </si>
  <si>
    <t>9.30</t>
  </si>
  <si>
    <t>1988/10-03</t>
  </si>
  <si>
    <t>10.22</t>
  </si>
  <si>
    <t>57,942,925,110,000</t>
  </si>
  <si>
    <t>3.27</t>
  </si>
  <si>
    <t>1989/04-09</t>
  </si>
  <si>
    <t>9.21</t>
  </si>
  <si>
    <t>45,792,283,520,000</t>
  </si>
  <si>
    <t>1989/10-03</t>
  </si>
  <si>
    <t>12.29</t>
  </si>
  <si>
    <t>55,961,134,890,000</t>
  </si>
  <si>
    <t>2.13</t>
  </si>
  <si>
    <t>10.4</t>
  </si>
  <si>
    <t>1990/04-09</t>
  </si>
  <si>
    <t>5.28</t>
  </si>
  <si>
    <t>4.2</t>
  </si>
  <si>
    <t>35,925,426,100,000</t>
  </si>
  <si>
    <t>5.2</t>
  </si>
  <si>
    <t>9.19</t>
  </si>
  <si>
    <t>1990/10-03</t>
  </si>
  <si>
    <t>10.2</t>
  </si>
  <si>
    <t>15,851,791,550,000</t>
  </si>
  <si>
    <t>3.26</t>
  </si>
  <si>
    <t>1991/04-09</t>
  </si>
  <si>
    <t>6.5</t>
  </si>
  <si>
    <t>16,665,032,620,000</t>
  </si>
  <si>
    <t>6.4</t>
  </si>
  <si>
    <t>1991/10-03</t>
  </si>
  <si>
    <t>12.4</t>
  </si>
  <si>
    <t>10.28</t>
  </si>
  <si>
    <t>10,506,138,690,000</t>
  </si>
  <si>
    <t>10.1</t>
  </si>
  <si>
    <t>1992/04-09</t>
  </si>
  <si>
    <t>9.10</t>
  </si>
  <si>
    <t>8.3</t>
  </si>
  <si>
    <t>9,416,833,530,000</t>
  </si>
  <si>
    <t>1992/10-03</t>
  </si>
  <si>
    <t>1.4</t>
  </si>
  <si>
    <t>9,980,916,170,000</t>
  </si>
  <si>
    <t>10.30</t>
  </si>
  <si>
    <t>1993/04-09</t>
  </si>
  <si>
    <t>8.31</t>
  </si>
  <si>
    <t>15,840,402,070,000</t>
  </si>
  <si>
    <t>1993/10-03</t>
  </si>
  <si>
    <t>12.3</t>
  </si>
  <si>
    <t>1.31</t>
  </si>
  <si>
    <t>23,868,745,920,000</t>
  </si>
  <si>
    <t>1994/04-09</t>
  </si>
  <si>
    <t>20,446,092,300,000</t>
  </si>
  <si>
    <t>1994/10-03</t>
  </si>
  <si>
    <t>12.5</t>
  </si>
  <si>
    <t>20,062,027,290,000</t>
  </si>
  <si>
    <t>3.3</t>
  </si>
  <si>
    <t>1995/04-09</t>
  </si>
  <si>
    <t>9.4</t>
  </si>
  <si>
    <t>6.19</t>
  </si>
  <si>
    <t>17,313,611,310,000</t>
  </si>
  <si>
    <t>1995/10-03</t>
  </si>
  <si>
    <t>11.30</t>
  </si>
  <si>
    <t>22,730,070,130,000</t>
  </si>
  <si>
    <t>11.8</t>
  </si>
  <si>
    <t>1996/04-09</t>
  </si>
  <si>
    <t>7.15</t>
  </si>
  <si>
    <t>22,816,882,090,000</t>
  </si>
  <si>
    <t>8.12</t>
  </si>
  <si>
    <t>1996/10-03</t>
  </si>
  <si>
    <t>12.30</t>
  </si>
  <si>
    <t>21,926,317,630,000</t>
  </si>
  <si>
    <t>1997/04-09</t>
  </si>
  <si>
    <t>7.22</t>
  </si>
  <si>
    <t>21,107,475,740,000</t>
  </si>
  <si>
    <t>6.13</t>
  </si>
  <si>
    <t>1997/10-03</t>
  </si>
  <si>
    <t>10.20</t>
  </si>
  <si>
    <t>18,144,437,585,000</t>
  </si>
  <si>
    <t>1.5</t>
  </si>
  <si>
    <t>1998/04-09</t>
  </si>
  <si>
    <t>8.20</t>
  </si>
  <si>
    <t>16,316,306,695,000</t>
  </si>
  <si>
    <t>1998/10-03</t>
  </si>
  <si>
    <t>16,383,058,600,000</t>
  </si>
  <si>
    <t>2,093,838,825,000</t>
  </si>
  <si>
    <t>3.31</t>
  </si>
  <si>
    <t>1999/04-09</t>
  </si>
  <si>
    <t>8.17</t>
  </si>
  <si>
    <t>20,558,323,500,000</t>
  </si>
  <si>
    <t>3,527,397,020,000</t>
  </si>
  <si>
    <t>4.1</t>
  </si>
  <si>
    <t>1999/10-03</t>
  </si>
  <si>
    <t>32,850,319,645,000</t>
  </si>
  <si>
    <t>7,802,964,000,000</t>
  </si>
  <si>
    <t>10.6</t>
  </si>
  <si>
    <t>2000/04-09</t>
  </si>
  <si>
    <t>33,249,532,040,000</t>
  </si>
  <si>
    <t>9,927,013,020,000</t>
  </si>
  <si>
    <t>6.29</t>
  </si>
  <si>
    <t>2000/10-03</t>
  </si>
  <si>
    <t>25,915,788,322,000</t>
  </si>
  <si>
    <t>7,293,037,897,000</t>
  </si>
  <si>
    <t>2001/04-09</t>
  </si>
  <si>
    <t>29,914,226,756,000</t>
  </si>
  <si>
    <t>8,935,979,876,000</t>
  </si>
  <si>
    <t>4.12</t>
  </si>
  <si>
    <t>2001/10-03</t>
  </si>
  <si>
    <t>11.6</t>
  </si>
  <si>
    <t>33,963,518,465,000</t>
  </si>
  <si>
    <t>12,000,413,040,000</t>
  </si>
  <si>
    <t>2002/04-09</t>
  </si>
  <si>
    <t>36,551,198,353,000</t>
  </si>
  <si>
    <t>12,074,137,078,000</t>
  </si>
  <si>
    <t>2002/10-03</t>
  </si>
  <si>
    <t>31,839,326,012,000</t>
  </si>
  <si>
    <t>11,652,339,737,000</t>
  </si>
  <si>
    <t>2003/04-09</t>
  </si>
  <si>
    <t>45,309,793,927,000</t>
  </si>
  <si>
    <t>17,051,739,127,000</t>
  </si>
  <si>
    <t>4.28</t>
  </si>
  <si>
    <t>2003/10-03</t>
  </si>
  <si>
    <t>52,418,377,159,000</t>
  </si>
  <si>
    <t>17,449,859,144,000</t>
  </si>
  <si>
    <t>2004/04-09</t>
  </si>
  <si>
    <t>61,496,344,420,000</t>
  </si>
  <si>
    <t>21,998,244,995,000</t>
  </si>
  <si>
    <t>2004/10-03</t>
  </si>
  <si>
    <t>57,088,521,056,000</t>
  </si>
  <si>
    <t>19,638,925,446,000</t>
  </si>
  <si>
    <t>11.1</t>
  </si>
  <si>
    <t>2005/04-09</t>
  </si>
  <si>
    <t>72,120,994,722,000</t>
  </si>
  <si>
    <t>22,862,657,387,000</t>
  </si>
  <si>
    <t>2005/10-03</t>
  </si>
  <si>
    <t>3.24</t>
  </si>
  <si>
    <t>131,959,205,809,000</t>
  </si>
  <si>
    <t>32,546,178,539,000</t>
  </si>
  <si>
    <t>10.24</t>
  </si>
  <si>
    <t>2006/04-09</t>
  </si>
  <si>
    <t>121,343,170,727,000</t>
  </si>
  <si>
    <t>29,635,048,507,000</t>
  </si>
  <si>
    <t>2006/10-03</t>
  </si>
  <si>
    <t>120,017,126,950,000</t>
  </si>
  <si>
    <t>30,715,316,585,000</t>
  </si>
  <si>
    <t>2007/04-09</t>
  </si>
  <si>
    <t>7.4</t>
  </si>
  <si>
    <t>137,099,242,308,000</t>
  </si>
  <si>
    <t>31,597,339,143,000</t>
  </si>
  <si>
    <t>2007/10-03</t>
  </si>
  <si>
    <t>129,465,433,588,000</t>
  </si>
  <si>
    <t>23,350,739,381,000</t>
  </si>
  <si>
    <t>3.17</t>
  </si>
  <si>
    <t>2008/04-09</t>
  </si>
  <si>
    <t>8.27</t>
  </si>
  <si>
    <t>111,290,898,629,000</t>
  </si>
  <si>
    <t>16,228,850,923,000</t>
  </si>
  <si>
    <t>2008/10-03</t>
  </si>
  <si>
    <t>73,304,172,097,000</t>
  </si>
  <si>
    <t>14,344,218,748,000</t>
  </si>
  <si>
    <t>12.22</t>
  </si>
  <si>
    <t>2009/04-09</t>
  </si>
  <si>
    <t>8.13</t>
  </si>
  <si>
    <t>67,181,806,091,000</t>
  </si>
  <si>
    <t>11,786,315,813,000</t>
  </si>
  <si>
    <t>2009/10-03</t>
  </si>
  <si>
    <t>67,944,414,213,000</t>
  </si>
  <si>
    <t>11,253,343,154,000</t>
  </si>
  <si>
    <t>2010/04-09</t>
  </si>
  <si>
    <t>64,979,065,655,000</t>
  </si>
  <si>
    <t>10,510,834,098,000</t>
  </si>
  <si>
    <t>2010/10-03</t>
  </si>
  <si>
    <t>66,260,571,751,000</t>
  </si>
  <si>
    <t>12,306,469,404,000</t>
  </si>
  <si>
    <t>2011/04-09</t>
  </si>
  <si>
    <t>4.25</t>
  </si>
  <si>
    <t>59,166,763,614,000</t>
  </si>
  <si>
    <t>10,315,965,879,000</t>
  </si>
  <si>
    <t>2011/10-03</t>
  </si>
  <si>
    <t>53,303,762,102,000</t>
  </si>
  <si>
    <t>11,320,925,180,000</t>
  </si>
  <si>
    <t>2012/04-09</t>
  </si>
  <si>
    <t>57,467,016,923,000</t>
  </si>
  <si>
    <t>11,998,784,327,000</t>
  </si>
  <si>
    <t>2012/10-03</t>
  </si>
  <si>
    <t>11.5</t>
  </si>
  <si>
    <t>79,829,198,325,000</t>
  </si>
  <si>
    <t>15,550,499,472,000</t>
  </si>
  <si>
    <t>11.14</t>
  </si>
  <si>
    <t>2013/04-09</t>
  </si>
  <si>
    <t>8.19</t>
  </si>
  <si>
    <t>141,186,272,512,000</t>
  </si>
  <si>
    <t>25,043,934,311,000</t>
  </si>
  <si>
    <t>2013/10-03</t>
  </si>
  <si>
    <t>131,997,555,600,000</t>
  </si>
  <si>
    <t>23,857,669,448,000</t>
  </si>
  <si>
    <t>3.18</t>
  </si>
  <si>
    <t>2014/04-09</t>
  </si>
  <si>
    <t>9.1</t>
  </si>
  <si>
    <t>114,199,285,185,000</t>
  </si>
  <si>
    <t>26,271,068,117,000</t>
  </si>
  <si>
    <t>166,809,670,213,000</t>
  </si>
  <si>
    <t>38,047,510,278,000</t>
  </si>
  <si>
    <t>10.23</t>
  </si>
  <si>
    <t>179,876,025,472,000</t>
  </si>
  <si>
    <t>35,408,510,824,000</t>
  </si>
  <si>
    <t>9.25</t>
  </si>
  <si>
    <t>167,283,615,847,000</t>
  </si>
  <si>
    <t>34,404,812,742,000</t>
  </si>
  <si>
    <t>136,905,766,639,891</t>
  </si>
  <si>
    <t>28,684,037,724,891</t>
  </si>
  <si>
    <t>2.21</t>
  </si>
  <si>
    <t>173,632,736,996,066</t>
  </si>
  <si>
    <t>40,648,965,520,066</t>
  </si>
  <si>
    <t>9.5</t>
  </si>
  <si>
    <t>189,775,236,302,073</t>
  </si>
  <si>
    <t>40,530,017,057,073</t>
  </si>
  <si>
    <t>4.17</t>
  </si>
  <si>
    <t>244,683,221,310,934</t>
  </si>
  <si>
    <t>53,485,140,681,934</t>
  </si>
  <si>
    <t>205,331,085,824,092</t>
  </si>
  <si>
    <t>49,008,295,962,092</t>
  </si>
  <si>
    <t>11.19</t>
  </si>
  <si>
    <t>217,805,432,652,494</t>
  </si>
  <si>
    <t>47,828,932,814,494</t>
  </si>
  <si>
    <t>4.22</t>
  </si>
  <si>
    <t>206,213,004,618,974</t>
  </si>
  <si>
    <t>48,047,652,950,974</t>
  </si>
  <si>
    <t>250,065,792,206,629</t>
  </si>
  <si>
    <t>51,115,028,123,629</t>
  </si>
  <si>
    <t>193,861,046,635,639</t>
  </si>
  <si>
    <t>46,557,513,582,639</t>
  </si>
  <si>
    <t>228,317,727,490,377</t>
  </si>
  <si>
    <t>52,517,575,064,377</t>
  </si>
  <si>
    <t>7.6</t>
  </si>
  <si>
    <t>223,663,769,602,327</t>
  </si>
  <si>
    <t>55,017,916,619,227</t>
  </si>
  <si>
    <t>7.29</t>
  </si>
  <si>
    <t>233,612,349,043,288</t>
  </si>
  <si>
    <t>54,883,028,862,288</t>
  </si>
  <si>
    <t>12.24</t>
  </si>
  <si>
    <t>250,149,181,477,818</t>
  </si>
  <si>
    <t>63,796,659,486,818</t>
  </si>
  <si>
    <t>244,672,561,107,670</t>
  </si>
  <si>
    <t>66,293,573,203,670</t>
  </si>
  <si>
    <t>308,511,436,270,204</t>
  </si>
  <si>
    <t>80,889,888,806,204</t>
  </si>
  <si>
    <t>7.25</t>
  </si>
  <si>
    <t>331,795,631,849,253</t>
  </si>
  <si>
    <t>85,789,138,001,253</t>
  </si>
  <si>
    <t>ミニTOPIX先物</t>
  </si>
  <si>
    <t>mini-TOPIX Futures</t>
  </si>
  <si>
    <t>8.18</t>
  </si>
  <si>
    <t>687,757,644,750</t>
  </si>
  <si>
    <t>252,145,500</t>
  </si>
  <si>
    <t>85,665,038,950</t>
  </si>
  <si>
    <t>489,892,700</t>
  </si>
  <si>
    <t>6.25</t>
  </si>
  <si>
    <t>266,052,473,550</t>
  </si>
  <si>
    <t>454,016,000</t>
  </si>
  <si>
    <t>10.27</t>
  </si>
  <si>
    <t>643,845,215,650</t>
  </si>
  <si>
    <t>2,824,158,450</t>
  </si>
  <si>
    <t>11.27</t>
  </si>
  <si>
    <t>481,968,014,300</t>
  </si>
  <si>
    <t>882,075,950</t>
  </si>
  <si>
    <t>4.7</t>
  </si>
  <si>
    <t>3.25</t>
  </si>
  <si>
    <t>280,723,288,800</t>
  </si>
  <si>
    <t>4,128,902,750</t>
  </si>
  <si>
    <t>198,760,290,350</t>
  </si>
  <si>
    <t>860,437,200</t>
  </si>
  <si>
    <t>2.28</t>
  </si>
  <si>
    <t>557,462,770,050</t>
  </si>
  <si>
    <t>906,247,550</t>
  </si>
  <si>
    <t>10.5</t>
  </si>
  <si>
    <t>9.28</t>
  </si>
  <si>
    <t>765,443,531,650</t>
  </si>
  <si>
    <t>1,331,990,050</t>
  </si>
  <si>
    <t>1,391,780,043,650</t>
  </si>
  <si>
    <t>4,185,734,350</t>
  </si>
  <si>
    <t>5.24</t>
  </si>
  <si>
    <t>1,949,086,864,800</t>
  </si>
  <si>
    <t>22,397,253,300</t>
  </si>
  <si>
    <t>10.16</t>
  </si>
  <si>
    <t>1,564,117,162,650</t>
  </si>
  <si>
    <t>13,156,565,550</t>
  </si>
  <si>
    <t>2,776,460,644,050</t>
  </si>
  <si>
    <t>16,567,341,100</t>
  </si>
  <si>
    <t>10.31</t>
  </si>
  <si>
    <t>4,130,105,290,850</t>
  </si>
  <si>
    <t>30,602,094,650</t>
  </si>
  <si>
    <t>12.15</t>
  </si>
  <si>
    <t>5.25</t>
  </si>
  <si>
    <t>3,790,859,671,200</t>
  </si>
  <si>
    <t>56,207,631,550</t>
  </si>
  <si>
    <t>1.8</t>
  </si>
  <si>
    <t>12.2</t>
  </si>
  <si>
    <t>2,546,532,707,300</t>
  </si>
  <si>
    <t>60,335,906,800</t>
  </si>
  <si>
    <t>8.15</t>
  </si>
  <si>
    <t>1,633,489,057,202</t>
  </si>
  <si>
    <t>74,136,872,652</t>
  </si>
  <si>
    <t>1,730,140,935,013</t>
  </si>
  <si>
    <t>120,329,067,013</t>
  </si>
  <si>
    <t>5.1</t>
  </si>
  <si>
    <t>2,827,965,931,591</t>
  </si>
  <si>
    <t>94,957,188,591</t>
  </si>
  <si>
    <t>2.6</t>
  </si>
  <si>
    <t>4,452,282,348,868</t>
  </si>
  <si>
    <t>77,410,446,468</t>
  </si>
  <si>
    <t>3,542,953,425,329</t>
  </si>
  <si>
    <t>80,526,145,629</t>
  </si>
  <si>
    <t>3,618,925,834,506</t>
  </si>
  <si>
    <t>117,531,545,506</t>
  </si>
  <si>
    <t>3,680,429,362,641</t>
  </si>
  <si>
    <t>140,352,178,691</t>
  </si>
  <si>
    <t>5,616,862,932,429</t>
  </si>
  <si>
    <t>259,294,485,029</t>
  </si>
  <si>
    <t>8.28</t>
  </si>
  <si>
    <t>6,344,530,240,324</t>
  </si>
  <si>
    <t>318,933,338,824</t>
  </si>
  <si>
    <t>7,608,730,713,364</t>
  </si>
  <si>
    <t>212,948,785,064</t>
  </si>
  <si>
    <t>3.29</t>
  </si>
  <si>
    <t>8,628,136,743,962</t>
  </si>
  <si>
    <t>261,385,503,162</t>
  </si>
  <si>
    <t>9,023,615,284,370</t>
  </si>
  <si>
    <t>295,122,068,170</t>
  </si>
  <si>
    <t>8.22</t>
  </si>
  <si>
    <t>6,319,273,717,264</t>
  </si>
  <si>
    <t>312,963,218,114</t>
  </si>
  <si>
    <t>6,033,819,136,437</t>
  </si>
  <si>
    <t>273,692,314,937</t>
  </si>
  <si>
    <t>7,828,788,022,663</t>
  </si>
  <si>
    <t>295,439,983,513</t>
  </si>
  <si>
    <t>8,536,291,467,930</t>
  </si>
  <si>
    <t>328,426,253,680</t>
  </si>
  <si>
    <t>12.20</t>
  </si>
  <si>
    <t>JPXプライム150指数先物</t>
  </si>
  <si>
    <t>JPX Prime 150 Index Futures</t>
  </si>
  <si>
    <t>3.28</t>
  </si>
  <si>
    <t>3.19</t>
  </si>
  <si>
    <t>30,011,980</t>
  </si>
  <si>
    <t>26,473,480</t>
  </si>
  <si>
    <t>JPX日経インデックス400先物</t>
  </si>
  <si>
    <t>JPX-Nikkei Index 400 Futures</t>
  </si>
  <si>
    <t>5,471,181,888,800</t>
  </si>
  <si>
    <t>1,311,762,531,500</t>
  </si>
  <si>
    <t>11.25</t>
  </si>
  <si>
    <t>7.3</t>
  </si>
  <si>
    <t>8,211,581,308,700</t>
  </si>
  <si>
    <t>1,591,192,712,200</t>
  </si>
  <si>
    <t>5,432,776,911,500</t>
  </si>
  <si>
    <t>1,307,757,442,200</t>
  </si>
  <si>
    <t>4,364,376,950,376</t>
  </si>
  <si>
    <t>1,128,216,536,376</t>
  </si>
  <si>
    <t>4,461,193,437,548</t>
  </si>
  <si>
    <t>1,125,526,594,348</t>
  </si>
  <si>
    <t>10.18</t>
  </si>
  <si>
    <t>5,141,103,709,556</t>
  </si>
  <si>
    <t>1,091,086,124,256</t>
  </si>
  <si>
    <t>7,696,465,656,677</t>
  </si>
  <si>
    <t>1,046,150,179,677</t>
  </si>
  <si>
    <t>5,429,254,248,233</t>
  </si>
  <si>
    <t>991,247,016,633</t>
  </si>
  <si>
    <t>5,489,136,808,396</t>
  </si>
  <si>
    <t>1,043,259,652,696</t>
  </si>
  <si>
    <t>2.14</t>
  </si>
  <si>
    <t>4,953,010,610,092</t>
  </si>
  <si>
    <t>1,250,036,644,892</t>
  </si>
  <si>
    <t>4,768,155,943,386</t>
  </si>
  <si>
    <t>1,077,809,799,986</t>
  </si>
  <si>
    <t>3,660,681,215,504</t>
  </si>
  <si>
    <t>773,093,572,004</t>
  </si>
  <si>
    <t>4,390,954,611,356</t>
  </si>
  <si>
    <t>566,973,549,556</t>
  </si>
  <si>
    <t>3,220,885,444,110</t>
  </si>
  <si>
    <t>483,109,377,210</t>
  </si>
  <si>
    <t>3,382,418,451,825</t>
  </si>
  <si>
    <t>458,904,948,925</t>
  </si>
  <si>
    <t>2,418,948,283,285</t>
  </si>
  <si>
    <t>380,264,512,485</t>
  </si>
  <si>
    <t>2,290,866,074,609</t>
  </si>
  <si>
    <t>454,606,391,009</t>
  </si>
  <si>
    <t>3,476,939,359,412</t>
  </si>
  <si>
    <t>629,573,509,712</t>
  </si>
  <si>
    <t>9.26</t>
  </si>
  <si>
    <t>3,254,168,670,884</t>
  </si>
  <si>
    <t>593,668,205,784</t>
  </si>
  <si>
    <t>12.19</t>
  </si>
  <si>
    <t>TOPIX Core30先物</t>
  </si>
  <si>
    <t>TOPIX Core30 Futures</t>
  </si>
  <si>
    <t>74,743,585,300</t>
  </si>
  <si>
    <t>58,619,434,000</t>
  </si>
  <si>
    <t>107,096,106,300</t>
  </si>
  <si>
    <t>94,077,885,300</t>
  </si>
  <si>
    <t>11.11</t>
  </si>
  <si>
    <t>73,862,325,400</t>
  </si>
  <si>
    <t>69,884,560,000</t>
  </si>
  <si>
    <t>10.14</t>
  </si>
  <si>
    <t>73,971,061,200</t>
  </si>
  <si>
    <t>72,452,103,200</t>
  </si>
  <si>
    <t>60,731,008,000</t>
  </si>
  <si>
    <t>60,630,000,000</t>
  </si>
  <si>
    <t>44,547,179,000</t>
  </si>
  <si>
    <t>44,542,500,000</t>
  </si>
  <si>
    <t>16,145,918,000</t>
  </si>
  <si>
    <t>16,145,000,000</t>
  </si>
  <si>
    <t>9,056,651,000</t>
  </si>
  <si>
    <t>9,055,214,500</t>
  </si>
  <si>
    <t>1,615,293,400</t>
  </si>
  <si>
    <t>7.13</t>
  </si>
  <si>
    <t>2,225,765,900</t>
  </si>
  <si>
    <t>3.4</t>
  </si>
  <si>
    <t>4.16</t>
  </si>
  <si>
    <t>3,853,687,600</t>
  </si>
  <si>
    <t>970,133,600</t>
  </si>
  <si>
    <t>1,275,320,400</t>
  </si>
  <si>
    <t>1,096,080,400</t>
  </si>
  <si>
    <t>1,496,091,600</t>
  </si>
  <si>
    <t>969,075,100</t>
  </si>
  <si>
    <t>4.3</t>
  </si>
  <si>
    <t>1,848,522,100</t>
  </si>
  <si>
    <t>1,302,550,600</t>
  </si>
  <si>
    <t>10.13</t>
  </si>
  <si>
    <t>2,379,470,100</t>
  </si>
  <si>
    <t>1,119,756,600</t>
  </si>
  <si>
    <t>4.5</t>
  </si>
  <si>
    <t>1,187,954,200</t>
  </si>
  <si>
    <t>939,496,700</t>
  </si>
  <si>
    <t>5.30</t>
  </si>
  <si>
    <t>1,896,300,840</t>
  </si>
  <si>
    <t>1,452,701,340</t>
  </si>
  <si>
    <t>905,729,580</t>
  </si>
  <si>
    <t>792,698,080</t>
  </si>
  <si>
    <t>1,126,623,480</t>
  </si>
  <si>
    <t>826,606,980</t>
  </si>
  <si>
    <t>1,299,818,480</t>
  </si>
  <si>
    <t>981,073,980</t>
  </si>
  <si>
    <t>1,083,198,110</t>
  </si>
  <si>
    <t>774,649,610</t>
  </si>
  <si>
    <t>771,280,160</t>
  </si>
  <si>
    <t>642,966,660</t>
  </si>
  <si>
    <t>478,374,380</t>
  </si>
  <si>
    <t>360,997,380</t>
  </si>
  <si>
    <t>445,890,130</t>
  </si>
  <si>
    <t>422,507,130</t>
  </si>
  <si>
    <t>226,408,330</t>
  </si>
  <si>
    <t>211,875,830</t>
  </si>
  <si>
    <t>264,214,970</t>
  </si>
  <si>
    <t>251,783,470</t>
  </si>
  <si>
    <t>240,044,170</t>
  </si>
  <si>
    <t>238,294,170</t>
  </si>
  <si>
    <t>3.30</t>
  </si>
  <si>
    <t>430,368,170</t>
  </si>
  <si>
    <t>370,540,670</t>
  </si>
  <si>
    <t>367,277,370</t>
  </si>
  <si>
    <t>332,223,870</t>
  </si>
  <si>
    <t>539,207,660</t>
  </si>
  <si>
    <t>490,337,160</t>
  </si>
  <si>
    <t>642,808,560</t>
  </si>
  <si>
    <t>607,142,560</t>
  </si>
  <si>
    <t>東証銀行業株価指数先物</t>
  </si>
  <si>
    <t>TOPIX Banks Index Futures</t>
  </si>
  <si>
    <t>9.2</t>
  </si>
  <si>
    <t>4,242,898,000</t>
  </si>
  <si>
    <t>11,028,925,000</t>
  </si>
  <si>
    <t>6.22</t>
  </si>
  <si>
    <t>78,050,108,000</t>
  </si>
  <si>
    <t>2.15</t>
  </si>
  <si>
    <t>85,768,254,000</t>
  </si>
  <si>
    <t>135,595,197,000</t>
  </si>
  <si>
    <t>7.18</t>
  </si>
  <si>
    <t>15,775,275,000</t>
  </si>
  <si>
    <t>19,035,455,000</t>
  </si>
  <si>
    <t>24,028,651,000</t>
  </si>
  <si>
    <t>19,006,035,000</t>
  </si>
  <si>
    <t>140,821,412,000</t>
  </si>
  <si>
    <t>140,660,479,000</t>
  </si>
  <si>
    <t>187,306,650,000</t>
  </si>
  <si>
    <t>187,251,633,000</t>
  </si>
  <si>
    <t>2.17</t>
  </si>
  <si>
    <t>114,297,865,000</t>
  </si>
  <si>
    <t>114,240,798,000</t>
  </si>
  <si>
    <t>1,432,848,000</t>
  </si>
  <si>
    <t>1,430,300,000</t>
  </si>
  <si>
    <t>5.17</t>
  </si>
  <si>
    <t>498,000,000</t>
  </si>
  <si>
    <t>2,694,090,000</t>
  </si>
  <si>
    <t>4,049,047,000</t>
  </si>
  <si>
    <t>4.23</t>
  </si>
  <si>
    <t>4,289,499,000</t>
  </si>
  <si>
    <t>4.19</t>
  </si>
  <si>
    <t>3,987,725,000</t>
  </si>
  <si>
    <t>891,763,000</t>
  </si>
  <si>
    <t>18,829,956,000</t>
  </si>
  <si>
    <t>17,996,024,000</t>
  </si>
  <si>
    <t>23,676,807,000</t>
  </si>
  <si>
    <t>23,130,205,000</t>
  </si>
  <si>
    <t>37,098,070,000</t>
  </si>
  <si>
    <t>36,151,284,000</t>
  </si>
  <si>
    <t>29,342,676,000</t>
  </si>
  <si>
    <t>27,918,801,000</t>
  </si>
  <si>
    <t>1,027,271,000</t>
  </si>
  <si>
    <t>88,089,000</t>
  </si>
  <si>
    <t>9.20</t>
  </si>
  <si>
    <t>4.4</t>
  </si>
  <si>
    <t>16,133,968,661</t>
  </si>
  <si>
    <t>15,962,877,661</t>
  </si>
  <si>
    <t>9.27</t>
  </si>
  <si>
    <t>135,141,771,542</t>
  </si>
  <si>
    <t>134,457,573,542</t>
  </si>
  <si>
    <t>1.6</t>
  </si>
  <si>
    <t>134,383,186,871</t>
  </si>
  <si>
    <t>134,256,665,871</t>
  </si>
  <si>
    <t>409,197,515,534</t>
  </si>
  <si>
    <t>404,827,951,534</t>
  </si>
  <si>
    <t>305,999,665,240</t>
  </si>
  <si>
    <t>304,408,240,240</t>
  </si>
  <si>
    <t>4.20</t>
  </si>
  <si>
    <t>245,125,478,407</t>
  </si>
  <si>
    <t>243,695,948,407</t>
  </si>
  <si>
    <t>10.26</t>
  </si>
  <si>
    <t>335,907,792,322</t>
  </si>
  <si>
    <t>335,848,200,322</t>
  </si>
  <si>
    <t>264,934,183,900</t>
  </si>
  <si>
    <t>264,767,534,900</t>
  </si>
  <si>
    <t>201,903,566,500</t>
  </si>
  <si>
    <t>201,414,671,500</t>
  </si>
  <si>
    <t>286,017,897,390</t>
  </si>
  <si>
    <t>308,844,484,571</t>
  </si>
  <si>
    <t>308,786,308,571</t>
  </si>
  <si>
    <t>276,611,826,119</t>
  </si>
  <si>
    <t>274,081,831,119</t>
  </si>
  <si>
    <t>357,395,004,346</t>
  </si>
  <si>
    <t>356,269,862,346</t>
  </si>
  <si>
    <t>5.23</t>
  </si>
  <si>
    <t>984,668,321,295</t>
  </si>
  <si>
    <t>980,178,301,295</t>
  </si>
  <si>
    <t>4.6</t>
  </si>
  <si>
    <t>825,492,163,448</t>
  </si>
  <si>
    <t>822,386,176,448</t>
  </si>
  <si>
    <t>3.1</t>
  </si>
  <si>
    <t>1,109,470,571,955</t>
  </si>
  <si>
    <t>1,108,140,422,955</t>
  </si>
  <si>
    <t>東証REIT指数先物</t>
  </si>
  <si>
    <t>TSE REIT Index Futures</t>
  </si>
  <si>
    <t>7.17</t>
  </si>
  <si>
    <t>59,786,965,700</t>
  </si>
  <si>
    <t>34,505,392,600</t>
  </si>
  <si>
    <t>44,297,502,100</t>
  </si>
  <si>
    <t>31,099,011,600</t>
  </si>
  <si>
    <t>28,579,910,400</t>
  </si>
  <si>
    <t>27,332,714,400</t>
  </si>
  <si>
    <t>18,445,637,500</t>
  </si>
  <si>
    <t>18,310,708,000</t>
  </si>
  <si>
    <t>19,103,937,000</t>
  </si>
  <si>
    <t>18,750,989,500</t>
  </si>
  <si>
    <t>31,879,906,200</t>
  </si>
  <si>
    <t>31,610,747,700</t>
  </si>
  <si>
    <t>25,703,308,500</t>
  </si>
  <si>
    <t>25,689,678,500</t>
  </si>
  <si>
    <t>22,520,643,200</t>
  </si>
  <si>
    <t>22,496,607,200</t>
  </si>
  <si>
    <t>11.28</t>
  </si>
  <si>
    <t>27,635,946,500</t>
  </si>
  <si>
    <t>27,217,140,800</t>
  </si>
  <si>
    <t>46,859,871,500</t>
  </si>
  <si>
    <t>42,427,470,000</t>
  </si>
  <si>
    <t>52,114,546,500</t>
  </si>
  <si>
    <t>45,594,856,800</t>
  </si>
  <si>
    <t>53,281,677,500</t>
  </si>
  <si>
    <t>47,015,846,100</t>
  </si>
  <si>
    <t>5.9</t>
  </si>
  <si>
    <t>112,724,061,300</t>
  </si>
  <si>
    <t>111,026,372,300</t>
  </si>
  <si>
    <t>149,786,445,300</t>
  </si>
  <si>
    <t>137,642,665,100</t>
  </si>
  <si>
    <t>6.3</t>
  </si>
  <si>
    <t>157,961,014,900</t>
  </si>
  <si>
    <t>142,890,542,600</t>
  </si>
  <si>
    <t>199,725,189,900</t>
  </si>
  <si>
    <t>184,524,080,100</t>
  </si>
  <si>
    <t>10.15</t>
  </si>
  <si>
    <t>8.5</t>
  </si>
  <si>
    <t>223,777,345,740</t>
  </si>
  <si>
    <t>202,037,968,840</t>
  </si>
  <si>
    <t>237,241,613,240</t>
  </si>
  <si>
    <t>198,801,427,140</t>
  </si>
  <si>
    <t>6.21</t>
  </si>
  <si>
    <t>263,582,921,038</t>
  </si>
  <si>
    <t>224,120,396,138</t>
  </si>
  <si>
    <t>276,267,652,138</t>
  </si>
  <si>
    <t>221,281,460,638</t>
  </si>
  <si>
    <t>284,289,293,182</t>
  </si>
  <si>
    <t>243,146,607,382</t>
  </si>
  <si>
    <t>341,167,262,476</t>
  </si>
  <si>
    <t>281,126,228,676</t>
  </si>
  <si>
    <t>12.21</t>
  </si>
  <si>
    <t>791,956,830,860</t>
  </si>
  <si>
    <t>652,544,099,260</t>
  </si>
  <si>
    <t>1,287,609,541,864</t>
  </si>
  <si>
    <t>910,518,105,564</t>
  </si>
  <si>
    <t>4.8</t>
  </si>
  <si>
    <t>781,848,037,911</t>
  </si>
  <si>
    <t>632,646,126,111</t>
  </si>
  <si>
    <t>828,986,813,920</t>
  </si>
  <si>
    <t>607,654,742,320</t>
  </si>
  <si>
    <t>7.27</t>
  </si>
  <si>
    <t>828,127,999,180</t>
  </si>
  <si>
    <t>707,100,656,580</t>
  </si>
  <si>
    <t>5.7</t>
  </si>
  <si>
    <t>906,928,730,390</t>
  </si>
  <si>
    <t>771,825,184,890</t>
  </si>
  <si>
    <t>7.14</t>
  </si>
  <si>
    <t>920,972,583,777</t>
  </si>
  <si>
    <t>796,104,004,177</t>
  </si>
  <si>
    <t>11.18</t>
  </si>
  <si>
    <t>1,112,376,350,904</t>
  </si>
  <si>
    <t>972,808,118,404</t>
  </si>
  <si>
    <t>10.17</t>
  </si>
  <si>
    <t>1,153,797,866,111</t>
  </si>
  <si>
    <t>995,993,766,711</t>
  </si>
  <si>
    <t>6.2</t>
  </si>
  <si>
    <t>6.27</t>
  </si>
  <si>
    <t>1,252,226,417,073</t>
  </si>
  <si>
    <t>1,045,720,298,273</t>
  </si>
  <si>
    <t>12.1</t>
  </si>
  <si>
    <t>RNプライム指数先物</t>
  </si>
  <si>
    <t>RN Prime Index Futures</t>
  </si>
  <si>
    <t>東証グロース市場250指数先物</t>
  </si>
  <si>
    <t>TSE Growth Market 250 Index Futures</t>
  </si>
  <si>
    <t>29,713,894,359</t>
  </si>
  <si>
    <t>2,539,549,859</t>
  </si>
  <si>
    <t>52,252,320,900</t>
  </si>
  <si>
    <t>5,971,115,600</t>
  </si>
  <si>
    <t>5.16</t>
  </si>
  <si>
    <t>145,027,317,940</t>
  </si>
  <si>
    <t>8,821,291,440</t>
  </si>
  <si>
    <t>279,546,580,340</t>
  </si>
  <si>
    <t>22,398,761,240</t>
  </si>
  <si>
    <t>5.14</t>
  </si>
  <si>
    <t>299,694,547,296</t>
  </si>
  <si>
    <t>42,598,942,196</t>
  </si>
  <si>
    <t>2.19</t>
  </si>
  <si>
    <t>401,943,943,475</t>
  </si>
  <si>
    <t>44,678,003,375</t>
  </si>
  <si>
    <t>8.23</t>
  </si>
  <si>
    <t>193,894,205,790</t>
  </si>
  <si>
    <t>45,479,479,290</t>
  </si>
  <si>
    <t>9.24</t>
  </si>
  <si>
    <t>11.7</t>
  </si>
  <si>
    <t>280,118,815,540</t>
  </si>
  <si>
    <t>43,857,227,540</t>
  </si>
  <si>
    <t>840,860,340,178</t>
  </si>
  <si>
    <t>76,000,131,178</t>
  </si>
  <si>
    <t>2.8</t>
  </si>
  <si>
    <t>971,293,650,640</t>
  </si>
  <si>
    <t>103,106,899,640</t>
  </si>
  <si>
    <t>6.28</t>
  </si>
  <si>
    <t>666,120,132,200</t>
  </si>
  <si>
    <t>135,801,462,700</t>
  </si>
  <si>
    <t>1,506,050,063,450</t>
  </si>
  <si>
    <t>193,796,697,950</t>
  </si>
  <si>
    <t>8.10</t>
  </si>
  <si>
    <t>1,037,512,974,288</t>
  </si>
  <si>
    <t>162,161,353,788</t>
  </si>
  <si>
    <t>682,527,869,749</t>
  </si>
  <si>
    <t>132,754,782,249</t>
  </si>
  <si>
    <t>3.22</t>
  </si>
  <si>
    <t>749,694,943,090</t>
  </si>
  <si>
    <t>139,408,531,090</t>
  </si>
  <si>
    <t>856,391,807,513</t>
  </si>
  <si>
    <t>168,584,900,513</t>
  </si>
  <si>
    <t>NYダウ先物</t>
  </si>
  <si>
    <t>DJIA Futures</t>
  </si>
  <si>
    <t>2.26</t>
  </si>
  <si>
    <t>51,577,611,500</t>
  </si>
  <si>
    <t>1.23</t>
  </si>
  <si>
    <t>7.21</t>
  </si>
  <si>
    <t>68,814,799,000</t>
  </si>
  <si>
    <t>46,182,886,700</t>
  </si>
  <si>
    <t>9.29</t>
  </si>
  <si>
    <t>57,661,633,300</t>
  </si>
  <si>
    <t>62,778,851,200</t>
  </si>
  <si>
    <t>9.15</t>
  </si>
  <si>
    <t>5.15</t>
  </si>
  <si>
    <t>79,662,851,900</t>
  </si>
  <si>
    <t>261,387,877,200</t>
  </si>
  <si>
    <t>1.29</t>
  </si>
  <si>
    <t>179,287,628,100</t>
  </si>
  <si>
    <t>6.20</t>
  </si>
  <si>
    <t>357,541,756,300</t>
  </si>
  <si>
    <t>416,535,817,000</t>
  </si>
  <si>
    <t>2,667,281,200</t>
  </si>
  <si>
    <t>547,437,642,600</t>
  </si>
  <si>
    <t>64,636,050,300</t>
  </si>
  <si>
    <t>392,358,205,280</t>
  </si>
  <si>
    <t>36,830,876,980</t>
  </si>
  <si>
    <t>6.23</t>
  </si>
  <si>
    <t>1.7</t>
  </si>
  <si>
    <t>579,227,356,500</t>
  </si>
  <si>
    <t>180,129,224,200</t>
  </si>
  <si>
    <t>705,740,151,460</t>
  </si>
  <si>
    <t>260,755,856,260</t>
  </si>
  <si>
    <t>788,995,666,280</t>
  </si>
  <si>
    <t>91,872,344,780</t>
  </si>
  <si>
    <t>1,096,491,585,800</t>
  </si>
  <si>
    <t>74,817,664,400</t>
  </si>
  <si>
    <t>11.4</t>
  </si>
  <si>
    <t>1,129,114,523,480</t>
  </si>
  <si>
    <t>133,680,456,880</t>
  </si>
  <si>
    <t>745,325,913,200</t>
  </si>
  <si>
    <t>26,955,140,000</t>
  </si>
  <si>
    <t>650,989,416,620</t>
  </si>
  <si>
    <t>9,042,571,720</t>
  </si>
  <si>
    <t>台湾加権指数先物</t>
  </si>
  <si>
    <t>TAIEX Futures</t>
  </si>
  <si>
    <t>7.20</t>
  </si>
  <si>
    <t>181,900,400</t>
  </si>
  <si>
    <t>2,920,900</t>
  </si>
  <si>
    <t>7.12</t>
  </si>
  <si>
    <t>52,148,000</t>
  </si>
  <si>
    <t>11.16</t>
  </si>
  <si>
    <t>208,440,800</t>
  </si>
  <si>
    <t>213,212,200</t>
  </si>
  <si>
    <t>316,306,200</t>
  </si>
  <si>
    <t>7.28</t>
  </si>
  <si>
    <t>425,272,000</t>
  </si>
  <si>
    <t>1.12</t>
  </si>
  <si>
    <t>1,089,701,900</t>
  </si>
  <si>
    <t>1.20</t>
  </si>
  <si>
    <t>20,477,100</t>
  </si>
  <si>
    <t>4.15</t>
  </si>
  <si>
    <t>FTSE中国50指数先物</t>
  </si>
  <si>
    <t>FTSE China 50 Index Futures</t>
  </si>
  <si>
    <t>6,012,000</t>
  </si>
  <si>
    <t>1,790,000</t>
  </si>
  <si>
    <t>8.2</t>
  </si>
  <si>
    <t>5,396,000</t>
  </si>
  <si>
    <t>7.2</t>
  </si>
  <si>
    <t>55,958,000</t>
  </si>
  <si>
    <t>1.27</t>
  </si>
  <si>
    <t>316,912,500</t>
  </si>
  <si>
    <t>日経平均・配当指数先物</t>
  </si>
  <si>
    <t>Nikkei 225 Dividend Index Futures</t>
  </si>
  <si>
    <t>367,296,500</t>
  </si>
  <si>
    <t>198,000,000</t>
  </si>
  <si>
    <t>7.26</t>
  </si>
  <si>
    <t>10.19</t>
  </si>
  <si>
    <t>9,610,337,000</t>
  </si>
  <si>
    <t>8,554,268,500</t>
  </si>
  <si>
    <t>3,002,250,000</t>
  </si>
  <si>
    <t>2,832,750,000</t>
  </si>
  <si>
    <t>9.22</t>
  </si>
  <si>
    <t>11.2</t>
  </si>
  <si>
    <t>1,148,850,000</t>
  </si>
  <si>
    <t>1.17</t>
  </si>
  <si>
    <t>8.24</t>
  </si>
  <si>
    <t>23,950,793,100</t>
  </si>
  <si>
    <t>23,858,393,100</t>
  </si>
  <si>
    <t>9,100,429,800</t>
  </si>
  <si>
    <t>17,518,692,600</t>
  </si>
  <si>
    <t>5.20</t>
  </si>
  <si>
    <t>2.10</t>
  </si>
  <si>
    <t>1,369,151,000</t>
  </si>
  <si>
    <t>1,308,501,000</t>
  </si>
  <si>
    <t>10.21</t>
  </si>
  <si>
    <t>8.11</t>
  </si>
  <si>
    <t>670,235,000</t>
  </si>
  <si>
    <t>2.2</t>
  </si>
  <si>
    <t>1,638,079,500</t>
  </si>
  <si>
    <t>1,626,634,500</t>
  </si>
  <si>
    <t>1.15</t>
  </si>
  <si>
    <t>10,484,000</t>
  </si>
  <si>
    <t>2,970,000</t>
  </si>
  <si>
    <t>4.21</t>
  </si>
  <si>
    <t>2.4</t>
  </si>
  <si>
    <t>23,780,500</t>
  </si>
  <si>
    <t>6,797,310,000</t>
  </si>
  <si>
    <t>1,864,930,000</t>
  </si>
  <si>
    <t>1,864,500,000</t>
  </si>
  <si>
    <t>657,135,000</t>
  </si>
  <si>
    <t>656,680,000</t>
  </si>
  <si>
    <t>605,917,500</t>
  </si>
  <si>
    <t>603,615,000</t>
  </si>
  <si>
    <t>600,271,000</t>
  </si>
  <si>
    <t>599,841,000</t>
  </si>
  <si>
    <t>17,457,402,000</t>
  </si>
  <si>
    <t>17,455,560,000</t>
  </si>
  <si>
    <t>1,983,985,000</t>
  </si>
  <si>
    <t>1,952,515,000</t>
  </si>
  <si>
    <t>508,578,500</t>
  </si>
  <si>
    <t>495,219,000</t>
  </si>
  <si>
    <t>2.18</t>
  </si>
  <si>
    <t>4,336,425,800</t>
  </si>
  <si>
    <t>588,643,500</t>
  </si>
  <si>
    <t>572,977,500</t>
  </si>
  <si>
    <t>3,008,630,000</t>
  </si>
  <si>
    <t>30,705,000</t>
  </si>
  <si>
    <t>1,052,076,000</t>
  </si>
  <si>
    <t>1,049,006,000</t>
  </si>
  <si>
    <t>1,375,863,000</t>
  </si>
  <si>
    <t>1,369,558,000</t>
  </si>
  <si>
    <t>日経平均VI先物</t>
  </si>
  <si>
    <t>Nikkei 225 VI Futures</t>
  </si>
  <si>
    <t>18,789,994,500</t>
  </si>
  <si>
    <t>8,866,067,000</t>
  </si>
  <si>
    <t>12.18</t>
  </si>
  <si>
    <t>24,612,455,000</t>
  </si>
  <si>
    <t>9,611,649,000</t>
  </si>
  <si>
    <t>1.26</t>
  </si>
  <si>
    <t>23,351,481,000</t>
  </si>
  <si>
    <t>1,664,922,000</t>
  </si>
  <si>
    <t>7,151,804,500</t>
  </si>
  <si>
    <t>3,329,346,000</t>
  </si>
  <si>
    <t>1,372,000,000</t>
  </si>
  <si>
    <t>1,102,220,500</t>
  </si>
  <si>
    <t>80,144,500</t>
  </si>
  <si>
    <t>2.22</t>
  </si>
  <si>
    <t>1,049,619,000</t>
  </si>
  <si>
    <t>108,276,000</t>
  </si>
  <si>
    <t>884,771,000</t>
  </si>
  <si>
    <t>1.30</t>
  </si>
  <si>
    <t>1,172,238,500</t>
  </si>
  <si>
    <t>2.1</t>
  </si>
  <si>
    <t>2,472,161,000</t>
  </si>
  <si>
    <t>8.1</t>
  </si>
  <si>
    <t>6,588,626,500</t>
  </si>
  <si>
    <t>2,158,253,000</t>
  </si>
  <si>
    <t>1.28</t>
  </si>
  <si>
    <t>4,753,612,000</t>
  </si>
  <si>
    <t>7.1</t>
  </si>
  <si>
    <t>6,003,318,000</t>
  </si>
  <si>
    <t>3,472,391,500</t>
  </si>
  <si>
    <t>4.26</t>
  </si>
  <si>
    <t>859,873,500</t>
  </si>
  <si>
    <t>11.22</t>
  </si>
  <si>
    <t>377,919,500</t>
  </si>
  <si>
    <t>303,783,500</t>
  </si>
  <si>
    <t>288,296,000</t>
  </si>
  <si>
    <t>1.11</t>
  </si>
  <si>
    <t>日経平均トータルリターン・インデックス先物</t>
  </si>
  <si>
    <t>Nikkei 225 Total Return Index Futures</t>
  </si>
  <si>
    <t>S&amp;P/JPX 500 ESGスコア・ティルト指数先物</t>
  </si>
  <si>
    <t>S&amp;P/JPX 500 ESG Score Tilted Index Futures</t>
  </si>
  <si>
    <t>FTSE JPXネットゼロ・ジャパン500指数先物</t>
  </si>
  <si>
    <t>FTSE JPX Net Zero Japan 500 Index Futures</t>
  </si>
  <si>
    <t>日経気候変動指数先物</t>
  </si>
  <si>
    <t>Nikkei Climate 1.5C Target Index Futures</t>
  </si>
  <si>
    <t>中期国債先物</t>
  </si>
  <si>
    <t>5-year JGB Futures</t>
  </si>
  <si>
    <t>2.16</t>
  </si>
  <si>
    <t>8,919,001,360,000</t>
  </si>
  <si>
    <t>15,784,249,630,000</t>
  </si>
  <si>
    <t>8,705,279,490,000</t>
  </si>
  <si>
    <t>6,363,348,780,000</t>
  </si>
  <si>
    <t>7,832,187,380,000</t>
  </si>
  <si>
    <t>11,715,346,270,000</t>
  </si>
  <si>
    <t>11,476,120,900,000</t>
  </si>
  <si>
    <t>7,175,342,790,000</t>
  </si>
  <si>
    <t>894,773,350,000</t>
  </si>
  <si>
    <t>10,917,333,910,000</t>
  </si>
  <si>
    <t>6.26</t>
  </si>
  <si>
    <t>1,150,239,670,000</t>
  </si>
  <si>
    <t>40,201,310,000</t>
  </si>
  <si>
    <t>8,940,810,000</t>
  </si>
  <si>
    <t>3.20</t>
  </si>
  <si>
    <t>長期国債先物</t>
  </si>
  <si>
    <t>10-year JGB Futures</t>
  </si>
  <si>
    <t>1985/10-03</t>
  </si>
  <si>
    <t>10.25</t>
  </si>
  <si>
    <t>160,466,072,190,000</t>
  </si>
  <si>
    <t>1986/04-09</t>
  </si>
  <si>
    <t>500,536,080,100,000</t>
  </si>
  <si>
    <t>1986/10-03</t>
  </si>
  <si>
    <t>930,521,359,570,000</t>
  </si>
  <si>
    <t>1987/04-09</t>
  </si>
  <si>
    <t>5.18</t>
  </si>
  <si>
    <t>1,058,489,130,210,000</t>
  </si>
  <si>
    <t>1987/10-03</t>
  </si>
  <si>
    <t>1.14</t>
  </si>
  <si>
    <t>783,211,521,020,000</t>
  </si>
  <si>
    <t>1,016,509,249,710,000</t>
  </si>
  <si>
    <t>991,498,686,430,000</t>
  </si>
  <si>
    <t>1,001,417,452,390,000</t>
  </si>
  <si>
    <t>893,695,646,950,000</t>
  </si>
  <si>
    <t>8.7</t>
  </si>
  <si>
    <t>7.16</t>
  </si>
  <si>
    <t>747,898,216,040,000</t>
  </si>
  <si>
    <t>712,424,651,320,000</t>
  </si>
  <si>
    <t>593,108,528,880,000</t>
  </si>
  <si>
    <t>8.21</t>
  </si>
  <si>
    <t>618,132,464,690,000</t>
  </si>
  <si>
    <t>634,467,985,490,000</t>
  </si>
  <si>
    <t>2.9</t>
  </si>
  <si>
    <t>726,377,547,720,000</t>
  </si>
  <si>
    <t>796,217,982,670,000</t>
  </si>
  <si>
    <t>869,821,470,400,000</t>
  </si>
  <si>
    <t>11.24</t>
  </si>
  <si>
    <t>717,917,510,480,000</t>
  </si>
  <si>
    <t>707,484,507,360,000</t>
  </si>
  <si>
    <t>2.23</t>
  </si>
  <si>
    <t>5.31</t>
  </si>
  <si>
    <t>862,306,936,320,000</t>
  </si>
  <si>
    <t>745,579,486,860,000</t>
  </si>
  <si>
    <t>736,696,177,860,000</t>
  </si>
  <si>
    <t>776,257,149,300,000</t>
  </si>
  <si>
    <t>762,165,590,290,000</t>
  </si>
  <si>
    <t>684,715,912,570,000</t>
  </si>
  <si>
    <t>2.20</t>
  </si>
  <si>
    <t>767,347,583,780,000</t>
  </si>
  <si>
    <t>688,320,684,160,000</t>
  </si>
  <si>
    <t>709,726,464,020,000</t>
  </si>
  <si>
    <t>624,307,195,350,000</t>
  </si>
  <si>
    <t>611,934,089,030,000</t>
  </si>
  <si>
    <t>604,602,266,030,000</t>
  </si>
  <si>
    <t>6.18</t>
  </si>
  <si>
    <t>531,255,447,520,000</t>
  </si>
  <si>
    <t>442,656,155,770,000</t>
  </si>
  <si>
    <t>178,207,660,000</t>
  </si>
  <si>
    <t>460,055,803,420,000</t>
  </si>
  <si>
    <t>180,944,000,000</t>
  </si>
  <si>
    <t>370,532,060,340,000</t>
  </si>
  <si>
    <t>97,639,010,000</t>
  </si>
  <si>
    <t>507,292,886,480,000</t>
  </si>
  <si>
    <t>13,782,000,000</t>
  </si>
  <si>
    <t>461,635,825,140,000</t>
  </si>
  <si>
    <t>121,089,400,000</t>
  </si>
  <si>
    <t>590,810,509,160,000</t>
  </si>
  <si>
    <t>46,373,750,000</t>
  </si>
  <si>
    <t>548,862,081,960,000</t>
  </si>
  <si>
    <t>566,578,860,000</t>
  </si>
  <si>
    <t>684,340,056,950,000</t>
  </si>
  <si>
    <t>103,208,800,000</t>
  </si>
  <si>
    <t>823,973,297,640,000</t>
  </si>
  <si>
    <t>663,519,740,000</t>
  </si>
  <si>
    <t>802,916,273,020,000</t>
  </si>
  <si>
    <t>1,513,735,690,000</t>
  </si>
  <si>
    <t>774,837,811,760,000</t>
  </si>
  <si>
    <t>1,001,062,870,000</t>
  </si>
  <si>
    <t>987,335,062,230,000</t>
  </si>
  <si>
    <t>3,841,986,550,000</t>
  </si>
  <si>
    <t>920,374,110,400,000</t>
  </si>
  <si>
    <t>6,092,226,370,000</t>
  </si>
  <si>
    <t>778,513,335,490,000</t>
  </si>
  <si>
    <t>9,611,191,080,000</t>
  </si>
  <si>
    <t>412,754,494,040,000</t>
  </si>
  <si>
    <t>6,469,300,260,000</t>
  </si>
  <si>
    <t>475,829,276,210,000</t>
  </si>
  <si>
    <t>6,904,358,580,000</t>
  </si>
  <si>
    <t>503,868,767,860,000</t>
  </si>
  <si>
    <t>7,800,766,320,000</t>
  </si>
  <si>
    <t>571,732,986,690,000</t>
  </si>
  <si>
    <t>8,349,850,020,000</t>
  </si>
  <si>
    <t>555,764,380,780,000</t>
  </si>
  <si>
    <t>10,345,035,540,000</t>
  </si>
  <si>
    <t>482,058,503,990,000</t>
  </si>
  <si>
    <t>13,992,750,300,000</t>
  </si>
  <si>
    <t>540,418,174,120,000</t>
  </si>
  <si>
    <t>26,678,317,400,000</t>
  </si>
  <si>
    <t>655,361,841,370,000</t>
  </si>
  <si>
    <t>39,982,860,850,000</t>
  </si>
  <si>
    <t>710,196,659,660,000</t>
  </si>
  <si>
    <t>42,277,198,860,000</t>
  </si>
  <si>
    <t>636,398,347,190,000</t>
  </si>
  <si>
    <t>46,062,870,030,000</t>
  </si>
  <si>
    <t>597,346,686,570,000</t>
  </si>
  <si>
    <t>48,380,513,790,000</t>
  </si>
  <si>
    <t>619,344,588,500,000</t>
  </si>
  <si>
    <t>40,202,724,800,000</t>
  </si>
  <si>
    <t>704,135,660,890,000</t>
  </si>
  <si>
    <t>40,903,491,310,000</t>
  </si>
  <si>
    <t>647,658,128,170,000</t>
  </si>
  <si>
    <t>33,769,880,760,000</t>
  </si>
  <si>
    <t>613,836,321,930,000</t>
  </si>
  <si>
    <t>30,943,218,170,000</t>
  </si>
  <si>
    <t>529,987,378,800,000</t>
  </si>
  <si>
    <t>25,696,076,210,000</t>
  </si>
  <si>
    <t>528,774,095,632,500</t>
  </si>
  <si>
    <t>28,539,884,762,500</t>
  </si>
  <si>
    <t>605,128,721,117,500</t>
  </si>
  <si>
    <t>36,554,974,157,500</t>
  </si>
  <si>
    <t>723,087,880,095,000</t>
  </si>
  <si>
    <t>41,949,728,715,000</t>
  </si>
  <si>
    <t>747,750,096,035,200</t>
  </si>
  <si>
    <t>62,037,082,675,200</t>
  </si>
  <si>
    <t>805,442,687,203,200</t>
  </si>
  <si>
    <t>56,112,760,353,200</t>
  </si>
  <si>
    <t>766,059,421,379,900</t>
  </si>
  <si>
    <t>47,115,539,859,900</t>
  </si>
  <si>
    <t>700,663,745,071,600</t>
  </si>
  <si>
    <t>45,779,878,281,600</t>
  </si>
  <si>
    <t>446,913,874,081,900</t>
  </si>
  <si>
    <t>30,988,527,041,900</t>
  </si>
  <si>
    <t>635,097,251,767,100</t>
  </si>
  <si>
    <t>39,288,566,077,100</t>
  </si>
  <si>
    <t>561,368,980,491,800</t>
  </si>
  <si>
    <t>45,484,670,981,800</t>
  </si>
  <si>
    <t>669,606,035,032,800</t>
  </si>
  <si>
    <t>52,355,993,182,800</t>
  </si>
  <si>
    <t>594,137,228,524,000</t>
  </si>
  <si>
    <t>57,996,163,584,000</t>
  </si>
  <si>
    <t>575,630,766,858,600</t>
  </si>
  <si>
    <t>68,988,507,458,600</t>
  </si>
  <si>
    <t>644,737,122,607,700</t>
  </si>
  <si>
    <t>73,698,637,757,700</t>
  </si>
  <si>
    <t>847,317,286,337,400</t>
  </si>
  <si>
    <t>90,914,899,017,400</t>
  </si>
  <si>
    <t>長期国債先物（現金決済型ミニ）</t>
  </si>
  <si>
    <t>mini-10-year JGB Futures (Cash-Settled)</t>
  </si>
  <si>
    <t>3.23</t>
  </si>
  <si>
    <t>223,242,000</t>
  </si>
  <si>
    <t>409,350,000</t>
  </si>
  <si>
    <t>4.24</t>
  </si>
  <si>
    <t>14,147,000</t>
  </si>
  <si>
    <t>356,644,411,500</t>
  </si>
  <si>
    <t>177,203,884,500</t>
  </si>
  <si>
    <t>269,936,000</t>
  </si>
  <si>
    <t>116,785,234,000</t>
  </si>
  <si>
    <t>7.31</t>
  </si>
  <si>
    <t>152,028,703,000</t>
  </si>
  <si>
    <t>1,804,119,000</t>
  </si>
  <si>
    <t>62,507,027,500</t>
  </si>
  <si>
    <t>405,625,000</t>
  </si>
  <si>
    <t>5.27</t>
  </si>
  <si>
    <t>134,887,561,000</t>
  </si>
  <si>
    <t>335,859,500</t>
  </si>
  <si>
    <t>429,500,438,500</t>
  </si>
  <si>
    <t>353,658,000</t>
  </si>
  <si>
    <t>272,276,066,000</t>
  </si>
  <si>
    <t>884,518,000</t>
  </si>
  <si>
    <t>10.9</t>
  </si>
  <si>
    <t>95,886,695,000</t>
  </si>
  <si>
    <t>453,998,000</t>
  </si>
  <si>
    <t>14,526,763,500</t>
  </si>
  <si>
    <t>212,863,000</t>
  </si>
  <si>
    <t>11.15</t>
  </si>
  <si>
    <t>9,445,102,000</t>
  </si>
  <si>
    <t>14,792,822,000</t>
  </si>
  <si>
    <t>10,260,023,500</t>
  </si>
  <si>
    <t>34,838,478,000</t>
  </si>
  <si>
    <t>16,328,738,000</t>
  </si>
  <si>
    <t>12,684,515,500</t>
  </si>
  <si>
    <t>30,677,475,000</t>
  </si>
  <si>
    <t>5,355,086,000</t>
  </si>
  <si>
    <t>6,654,738,500</t>
  </si>
  <si>
    <t>8,026,157,500</t>
  </si>
  <si>
    <t>10,219,267,000</t>
  </si>
  <si>
    <t>33,009,943,500</t>
  </si>
  <si>
    <t>7.8</t>
  </si>
  <si>
    <t>34,026,815,000</t>
  </si>
  <si>
    <t>17,072,521,000</t>
  </si>
  <si>
    <t>29,419,592,000</t>
  </si>
  <si>
    <t>超長期国債先物（ミニ）</t>
  </si>
  <si>
    <t>mini-20-year JGB Futures</t>
  </si>
  <si>
    <t>3,011,754,680,000</t>
  </si>
  <si>
    <t>2,439,031,160,000</t>
  </si>
  <si>
    <t>1,202,616,950,000</t>
  </si>
  <si>
    <t>1.19</t>
  </si>
  <si>
    <t>1,158,398,370,000</t>
  </si>
  <si>
    <t>5.11</t>
  </si>
  <si>
    <t>550,552,970,000</t>
  </si>
  <si>
    <t>338,039,280,000</t>
  </si>
  <si>
    <t>296,928,500,000</t>
  </si>
  <si>
    <t>247,591,220,000</t>
  </si>
  <si>
    <t>175,114,560,000</t>
  </si>
  <si>
    <t>190,775,550,000</t>
  </si>
  <si>
    <t>154,675,670,000</t>
  </si>
  <si>
    <t>148,718,300,000</t>
  </si>
  <si>
    <t>182,431,250,000</t>
  </si>
  <si>
    <t>11.17</t>
  </si>
  <si>
    <t>198,946,100,000</t>
  </si>
  <si>
    <t>164,193,900,000</t>
  </si>
  <si>
    <t>142,382,140,000</t>
  </si>
  <si>
    <t>2.27</t>
  </si>
  <si>
    <t>154,334,510,000</t>
  </si>
  <si>
    <t>131,321,890,000</t>
  </si>
  <si>
    <t>160,104,170,000</t>
  </si>
  <si>
    <t>96,956,590,000</t>
  </si>
  <si>
    <t>934,853,160,000</t>
  </si>
  <si>
    <t>294,238,620,000</t>
  </si>
  <si>
    <t>207,812,750,000</t>
  </si>
  <si>
    <t>24,235,150,000</t>
  </si>
  <si>
    <t>195,965,340,000</t>
  </si>
  <si>
    <t>27,750,380,000</t>
  </si>
  <si>
    <t>205,967,250,000</t>
  </si>
  <si>
    <t>64,385,390,000</t>
  </si>
  <si>
    <t>35,923,160,000</t>
  </si>
  <si>
    <t>11,296,950,000</t>
  </si>
  <si>
    <t>32,226,080,000</t>
  </si>
  <si>
    <t>23,839,030,000</t>
  </si>
  <si>
    <t>10,520,740,000</t>
  </si>
  <si>
    <t>14,788,630,000</t>
  </si>
  <si>
    <t>11.20</t>
  </si>
  <si>
    <t>6,738,700,000</t>
  </si>
  <si>
    <t>3,047,480,000</t>
  </si>
  <si>
    <t>1,082,372,000</t>
  </si>
  <si>
    <t>44,880,000</t>
  </si>
  <si>
    <t>TONA3か月金利先物</t>
  </si>
  <si>
    <t>3-Month TONA Futures</t>
  </si>
  <si>
    <t>3,968,967,397,975</t>
  </si>
  <si>
    <t>100,008,525</t>
  </si>
  <si>
    <t>12,292,015,168,800</t>
  </si>
  <si>
    <t>56,379,521,875</t>
  </si>
  <si>
    <t>金標準先物</t>
  </si>
  <si>
    <t>Gold Standard Futures</t>
  </si>
  <si>
    <t>11,770,041,591,000</t>
  </si>
  <si>
    <t>15,231,045,000</t>
  </si>
  <si>
    <t>9.23</t>
  </si>
  <si>
    <t>21,908,888,668,000</t>
  </si>
  <si>
    <t>3,634,777,000</t>
  </si>
  <si>
    <t>17,561,323,441,000</t>
  </si>
  <si>
    <t>1,331,578,000</t>
  </si>
  <si>
    <t>26,987,646,342,000</t>
  </si>
  <si>
    <t>3,988,491,000</t>
  </si>
  <si>
    <t>26,806,729,876,000</t>
  </si>
  <si>
    <t>1,685,235,000</t>
  </si>
  <si>
    <t>28,100,453,328,000</t>
  </si>
  <si>
    <t>5,220,541,000</t>
  </si>
  <si>
    <t>32,255,879,096,000</t>
  </si>
  <si>
    <t>3,154,793,000</t>
  </si>
  <si>
    <t>43,158,407,008,000</t>
  </si>
  <si>
    <t>8,925,079,000</t>
  </si>
  <si>
    <t>金ミニ先物</t>
  </si>
  <si>
    <t>Gold Mini Futures</t>
  </si>
  <si>
    <t>247,944,516,200</t>
  </si>
  <si>
    <t>5,447,663,900</t>
  </si>
  <si>
    <t>685,672,733,900</t>
  </si>
  <si>
    <t>2,509,600</t>
  </si>
  <si>
    <t>519,803,389,100</t>
  </si>
  <si>
    <t>1,854,000</t>
  </si>
  <si>
    <t>5.10</t>
  </si>
  <si>
    <t>766,063,503,700</t>
  </si>
  <si>
    <t>4,719,200</t>
  </si>
  <si>
    <t>690,424,982,850</t>
  </si>
  <si>
    <t>6,215,600</t>
  </si>
  <si>
    <t>512,680,699,900</t>
  </si>
  <si>
    <t>47,203,750</t>
  </si>
  <si>
    <t>514,694,628,400</t>
  </si>
  <si>
    <t>18,360,100</t>
  </si>
  <si>
    <t>692,871,689,050</t>
  </si>
  <si>
    <t>41,259,350</t>
  </si>
  <si>
    <t>金限日先物</t>
  </si>
  <si>
    <t>Gold Rolling-Spot Futures</t>
  </si>
  <si>
    <t>229,252,959,100</t>
  </si>
  <si>
    <t>4,279,732,700</t>
  </si>
  <si>
    <t>260,944,319,300</t>
  </si>
  <si>
    <t>1,521,360,000</t>
  </si>
  <si>
    <t>201,906,447,100</t>
  </si>
  <si>
    <t>30,688,200</t>
  </si>
  <si>
    <t>4.30</t>
  </si>
  <si>
    <t>336,264,987,900</t>
  </si>
  <si>
    <t>545,392,500</t>
  </si>
  <si>
    <t>382,530,186,700</t>
  </si>
  <si>
    <t>121,219,300</t>
  </si>
  <si>
    <t>683,414,705,100</t>
  </si>
  <si>
    <t>6,848,000</t>
  </si>
  <si>
    <t>938,243,486,500</t>
  </si>
  <si>
    <t>153,423,500</t>
  </si>
  <si>
    <t>1,091,344,897,400</t>
  </si>
  <si>
    <t>448,850,200</t>
  </si>
  <si>
    <t>銀先物</t>
  </si>
  <si>
    <t>Silver Futures</t>
  </si>
  <si>
    <t>15,251,926,000</t>
  </si>
  <si>
    <t>277,712,000</t>
  </si>
  <si>
    <t>26,149,642,000</t>
  </si>
  <si>
    <t>15,855,203,000</t>
  </si>
  <si>
    <t>13,068,000</t>
  </si>
  <si>
    <t>19,310,378,000</t>
  </si>
  <si>
    <t>6,017,000</t>
  </si>
  <si>
    <t>7.7</t>
  </si>
  <si>
    <t>16,068,478,000</t>
  </si>
  <si>
    <t>13,604,000</t>
  </si>
  <si>
    <t>9,806,538,000</t>
  </si>
  <si>
    <t>7,419,000</t>
  </si>
  <si>
    <t>5,873,569,000</t>
  </si>
  <si>
    <t>12,450,000</t>
  </si>
  <si>
    <t>2,508,196,000</t>
  </si>
  <si>
    <t>11,030,000</t>
  </si>
  <si>
    <t>白金標準先物</t>
  </si>
  <si>
    <t>Platinum Standard Futures</t>
  </si>
  <si>
    <t>460,229,756,500</t>
  </si>
  <si>
    <t>698,010,000</t>
  </si>
  <si>
    <t>2,210,639,557,000</t>
  </si>
  <si>
    <t>665,463,500</t>
  </si>
  <si>
    <t>2,490,951,472,000</t>
  </si>
  <si>
    <t>1,581,210,000</t>
  </si>
  <si>
    <t>1.18</t>
  </si>
  <si>
    <t>2,299,025,321,000</t>
  </si>
  <si>
    <t>1,003,158,500</t>
  </si>
  <si>
    <t>2,471,201,401,000</t>
  </si>
  <si>
    <t>467,230,500</t>
  </si>
  <si>
    <t>2,530,483,205,500</t>
  </si>
  <si>
    <t>341,086,500</t>
  </si>
  <si>
    <t>2,378,033,157,500</t>
  </si>
  <si>
    <t>489,995,500</t>
  </si>
  <si>
    <t>3,176,472,407,500</t>
  </si>
  <si>
    <t>11,741,658,000</t>
  </si>
  <si>
    <t>白金ミニ先物</t>
  </si>
  <si>
    <t>Platinum Mini Futures</t>
  </si>
  <si>
    <t>7.30</t>
  </si>
  <si>
    <t>9,504,744,200</t>
  </si>
  <si>
    <t>113,795,700</t>
  </si>
  <si>
    <t>60,383,313,200</t>
  </si>
  <si>
    <t>53,376,042,200</t>
  </si>
  <si>
    <t>1,089,000</t>
  </si>
  <si>
    <t>105,761,841,600</t>
  </si>
  <si>
    <t>17,555,800</t>
  </si>
  <si>
    <t>91,471,651,450</t>
  </si>
  <si>
    <t>23,958,100</t>
  </si>
  <si>
    <t>72,156,496,500</t>
  </si>
  <si>
    <t>3,372,300</t>
  </si>
  <si>
    <t>47,600,202,950</t>
  </si>
  <si>
    <t>833,300</t>
  </si>
  <si>
    <t>7.10</t>
  </si>
  <si>
    <t>47,382,725,050</t>
  </si>
  <si>
    <t>415,800</t>
  </si>
  <si>
    <t>白金限日先物</t>
  </si>
  <si>
    <t>Platinum Rolling-Spot Futures</t>
  </si>
  <si>
    <t>5,353,817,200</t>
  </si>
  <si>
    <t>21,926,036,300</t>
  </si>
  <si>
    <t>451,300</t>
  </si>
  <si>
    <t>22,873,596,100</t>
  </si>
  <si>
    <t>375,444,300</t>
  </si>
  <si>
    <t>20,742,895,800</t>
  </si>
  <si>
    <t>31,701,600</t>
  </si>
  <si>
    <t>42,276,617,700</t>
  </si>
  <si>
    <t>10.12</t>
  </si>
  <si>
    <t>74,741,233,300</t>
  </si>
  <si>
    <t>2,636,100</t>
  </si>
  <si>
    <t>137,097,127,100</t>
  </si>
  <si>
    <t>276,257,559,400</t>
  </si>
  <si>
    <t>25,668,000</t>
  </si>
  <si>
    <t>パラジウム先物</t>
  </si>
  <si>
    <t>Palladium Futures</t>
  </si>
  <si>
    <t>4,642,021,500</t>
  </si>
  <si>
    <t>6,988,284,000</t>
  </si>
  <si>
    <t>526,715,000</t>
  </si>
  <si>
    <t>3,583,630,500</t>
  </si>
  <si>
    <t>1,058,950,500</t>
  </si>
  <si>
    <t>3,826,000</t>
  </si>
  <si>
    <t>245,772,000</t>
  </si>
  <si>
    <t>140,567,500</t>
  </si>
  <si>
    <t>27,542,500</t>
  </si>
  <si>
    <t>9,240,000</t>
  </si>
  <si>
    <t>CME原油等指数先物</t>
  </si>
  <si>
    <t>CME Petroleum Index Futures</t>
  </si>
  <si>
    <t>4,539,107,500</t>
  </si>
  <si>
    <t>24,652,000</t>
  </si>
  <si>
    <t>10.29</t>
  </si>
  <si>
    <t>20,972,339,100</t>
  </si>
  <si>
    <t>236,033,000</t>
  </si>
  <si>
    <t>929,766,500</t>
  </si>
  <si>
    <t>48,589,500</t>
  </si>
  <si>
    <t>71,886,000</t>
  </si>
  <si>
    <t>361,276,500</t>
  </si>
  <si>
    <t>84,374,000</t>
  </si>
  <si>
    <t>485,445,000</t>
  </si>
  <si>
    <t>ゴム（RSS3）先物</t>
  </si>
  <si>
    <t>RSS3 Rubber Futures</t>
  </si>
  <si>
    <t>176,167,669,000</t>
  </si>
  <si>
    <t>663,550,500</t>
  </si>
  <si>
    <t>729,559,571,500</t>
  </si>
  <si>
    <t>3,714,690,000</t>
  </si>
  <si>
    <t>386,741,856,200</t>
  </si>
  <si>
    <t>1,442,671,700</t>
  </si>
  <si>
    <t>5.6</t>
  </si>
  <si>
    <t>394,404,231,000</t>
  </si>
  <si>
    <t>2,146,374,000</t>
  </si>
  <si>
    <t>335,045,484,000</t>
  </si>
  <si>
    <t>967,604,500</t>
  </si>
  <si>
    <t>340,814,877,500</t>
  </si>
  <si>
    <t>2,026,882,000</t>
  </si>
  <si>
    <t>366,055,417,500</t>
  </si>
  <si>
    <t>3,363,006,500</t>
  </si>
  <si>
    <t>384,871,744,000</t>
  </si>
  <si>
    <t>2,375,148,000</t>
  </si>
  <si>
    <t>1.10</t>
  </si>
  <si>
    <t>1.9</t>
  </si>
  <si>
    <t>ゴム（TSR20）先物</t>
  </si>
  <si>
    <t>TSR20 Rubber Futures</t>
  </si>
  <si>
    <t>57,500,000</t>
  </si>
  <si>
    <t>29,000,000</t>
  </si>
  <si>
    <t>8,640,000</t>
  </si>
  <si>
    <t>80,082,500</t>
  </si>
  <si>
    <t>8,944,000</t>
  </si>
  <si>
    <t>548,629,500</t>
  </si>
  <si>
    <t>9,957,000</t>
  </si>
  <si>
    <t>226,062,000</t>
  </si>
  <si>
    <t>172,694,000</t>
  </si>
  <si>
    <t>21,873,000</t>
  </si>
  <si>
    <t>24,603,000</t>
  </si>
  <si>
    <t>とうもろこし先物</t>
  </si>
  <si>
    <t>Corn Futures</t>
  </si>
  <si>
    <t>9,599,530,500</t>
  </si>
  <si>
    <t>46,641,000</t>
  </si>
  <si>
    <t>32,297,175,000</t>
  </si>
  <si>
    <t>431,425,000</t>
  </si>
  <si>
    <t>75,113,328,500</t>
  </si>
  <si>
    <t>450,760,500</t>
  </si>
  <si>
    <t>4.9</t>
  </si>
  <si>
    <t>56,847,782,500</t>
  </si>
  <si>
    <t>373,252,000</t>
  </si>
  <si>
    <t>81,929,842,500</t>
  </si>
  <si>
    <t>2,137,289,000</t>
  </si>
  <si>
    <t>31,095,777,000</t>
  </si>
  <si>
    <t>1,834,281,000</t>
  </si>
  <si>
    <t>20,630,466,500</t>
  </si>
  <si>
    <t>243,712,000</t>
  </si>
  <si>
    <t>14,439,385,500</t>
  </si>
  <si>
    <t>897,367,500</t>
  </si>
  <si>
    <t>一般大豆先物</t>
  </si>
  <si>
    <t>Soybean Futures</t>
  </si>
  <si>
    <t>2,420,000</t>
  </si>
  <si>
    <t>3,152,500</t>
  </si>
  <si>
    <t>小豆先物</t>
  </si>
  <si>
    <t>Azuki (Red Bean) Futures</t>
  </si>
  <si>
    <t>11,320,800</t>
  </si>
  <si>
    <t>760,000</t>
  </si>
  <si>
    <t>11,912,000</t>
  </si>
  <si>
    <t>940,000</t>
  </si>
  <si>
    <t>1,952,800</t>
  </si>
  <si>
    <t>バージガソリン先物</t>
  </si>
  <si>
    <t>Gasoline Futures</t>
  </si>
  <si>
    <t>22,947,489,000</t>
  </si>
  <si>
    <t>1,229,295,000</t>
  </si>
  <si>
    <t>61,751,066,000</t>
  </si>
  <si>
    <t>3,741,979,000</t>
  </si>
  <si>
    <t>59,087,197,000</t>
  </si>
  <si>
    <t>3,642,245,500</t>
  </si>
  <si>
    <t>28,382,373,000</t>
  </si>
  <si>
    <t>3,039,114,000</t>
  </si>
  <si>
    <t>1,713,527,500</t>
  </si>
  <si>
    <t>331,807,500</t>
  </si>
  <si>
    <t>198,757,500</t>
  </si>
  <si>
    <t>164,230,000</t>
  </si>
  <si>
    <t>バージ灯油先物</t>
  </si>
  <si>
    <t>Kerosene Futures</t>
  </si>
  <si>
    <t>13,345,114,000</t>
  </si>
  <si>
    <t>898,890,500</t>
  </si>
  <si>
    <t>43,220,899,000</t>
  </si>
  <si>
    <t>3,686,798,000</t>
  </si>
  <si>
    <t>31,404,488,000</t>
  </si>
  <si>
    <t>3,299,654,000</t>
  </si>
  <si>
    <t>18,360,296,000</t>
  </si>
  <si>
    <t>3,502,416,500</t>
  </si>
  <si>
    <t>1,358,696,000</t>
  </si>
  <si>
    <t>139,425,000</t>
  </si>
  <si>
    <t>11.21</t>
  </si>
  <si>
    <t>785,112,500</t>
  </si>
  <si>
    <t>773,420,000</t>
  </si>
  <si>
    <t>4,200,000</t>
  </si>
  <si>
    <t>バージ軽油先物</t>
  </si>
  <si>
    <t>Gas Oil Futures</t>
  </si>
  <si>
    <t>プラッツドバイ原油先物</t>
  </si>
  <si>
    <t>Platts Dubai Crude Oil Futures</t>
  </si>
  <si>
    <t>1,307,407,941,500</t>
  </si>
  <si>
    <t>7,300,185,500</t>
  </si>
  <si>
    <t>4,282,544,953,000</t>
  </si>
  <si>
    <t>57,893,280,500</t>
  </si>
  <si>
    <t>4,169,881,331,000</t>
  </si>
  <si>
    <t>62,111,286,000</t>
  </si>
  <si>
    <t>5,191,172,210,000</t>
  </si>
  <si>
    <t>117,951,270,500</t>
  </si>
  <si>
    <t>4,228,180,471,500</t>
  </si>
  <si>
    <t>102,306,344,000</t>
  </si>
  <si>
    <t>3,334,900,552,600</t>
  </si>
  <si>
    <t>76,956,582,600</t>
  </si>
  <si>
    <t>8.29</t>
  </si>
  <si>
    <t>3,146,046,625,500</t>
  </si>
  <si>
    <t>80,290,547,500</t>
  </si>
  <si>
    <t>2,943,933,035,750</t>
  </si>
  <si>
    <t>17,316,151,750</t>
  </si>
  <si>
    <t>東エリア・ベースロード電力先物</t>
  </si>
  <si>
    <t>East Area Baseload Electricity Futures</t>
  </si>
  <si>
    <t>209,998,656</t>
  </si>
  <si>
    <t>209,281,440</t>
  </si>
  <si>
    <t>3,126,968,544</t>
  </si>
  <si>
    <t>2,796,997,344</t>
  </si>
  <si>
    <t>3,915,429,576</t>
  </si>
  <si>
    <t>3,539,067,072</t>
  </si>
  <si>
    <t>7,274,907,264</t>
  </si>
  <si>
    <t>6,442,335,024</t>
  </si>
  <si>
    <t>15,809,892,912</t>
  </si>
  <si>
    <t>13,952,658,600</t>
  </si>
  <si>
    <t>14,635,206,216</t>
  </si>
  <si>
    <t>13,518,463,272</t>
  </si>
  <si>
    <t>5,109,495,504</t>
  </si>
  <si>
    <t>3,558,001,680</t>
  </si>
  <si>
    <t>1,792,353,504</t>
  </si>
  <si>
    <t>867,609,984</t>
  </si>
  <si>
    <t>西エリア・ベースロード電力先物</t>
  </si>
  <si>
    <t>West Area Baseload Electricity Futures</t>
  </si>
  <si>
    <t>2,811,600</t>
  </si>
  <si>
    <t>647,673,216</t>
  </si>
  <si>
    <t>577,832,160</t>
  </si>
  <si>
    <t>12.23</t>
  </si>
  <si>
    <t>1,240,168,464</t>
  </si>
  <si>
    <t>898,148,640</t>
  </si>
  <si>
    <t>3,112,965,600</t>
  </si>
  <si>
    <t>2,861,632,176</t>
  </si>
  <si>
    <t>6,834,794,928</t>
  </si>
  <si>
    <t>6,420,559,968</t>
  </si>
  <si>
    <t>3,156,981,480</t>
  </si>
  <si>
    <t>2,969,084,640</t>
  </si>
  <si>
    <t>1,081,496,568</t>
  </si>
  <si>
    <t>797,583,120</t>
  </si>
  <si>
    <t>521,863,440</t>
  </si>
  <si>
    <t>152,739,600</t>
  </si>
  <si>
    <t>東エリア・日中ロード電力先物</t>
  </si>
  <si>
    <t>East Area Peakload Electricity Futures</t>
  </si>
  <si>
    <t>103,640,760</t>
  </si>
  <si>
    <t>67,428,000</t>
  </si>
  <si>
    <t>457,190,112</t>
  </si>
  <si>
    <t>436,232,400</t>
  </si>
  <si>
    <t>527,303,148</t>
  </si>
  <si>
    <t>379,295,400</t>
  </si>
  <si>
    <t>499,255,452</t>
  </si>
  <si>
    <t>408,475,680</t>
  </si>
  <si>
    <t>3,891,237,468</t>
  </si>
  <si>
    <t>3,773,351,388</t>
  </si>
  <si>
    <t>6.30</t>
  </si>
  <si>
    <t>792,929,076</t>
  </si>
  <si>
    <t>783,405,504</t>
  </si>
  <si>
    <t>816,668,844</t>
  </si>
  <si>
    <t>650,983,680</t>
  </si>
  <si>
    <t>233,743,560</t>
  </si>
  <si>
    <t>126,413,760</t>
  </si>
  <si>
    <t>西エリア・日中ロード電力先物</t>
  </si>
  <si>
    <t>West Area Peakload Electricity Futures</t>
  </si>
  <si>
    <t>90,243,144</t>
  </si>
  <si>
    <t>87,180,000</t>
  </si>
  <si>
    <t>45,777,264</t>
  </si>
  <si>
    <t>29,796,000</t>
  </si>
  <si>
    <t>527,115,984</t>
  </si>
  <si>
    <t>369,672,240</t>
  </si>
  <si>
    <t>35,373,000</t>
  </si>
  <si>
    <t>14,289,000</t>
  </si>
  <si>
    <t>2,855,777,400</t>
  </si>
  <si>
    <t>33,844,860</t>
  </si>
  <si>
    <t>18,284,940</t>
  </si>
  <si>
    <t>116,611,980</t>
  </si>
  <si>
    <t>42,624,000</t>
  </si>
  <si>
    <t>84,519,972</t>
  </si>
  <si>
    <t>15,526,800</t>
  </si>
  <si>
    <t>東エリア・週間ベースロード電力先物</t>
  </si>
  <si>
    <t>East Area Baseload Electricity Futures (Weekly)</t>
  </si>
  <si>
    <t>1,515,360</t>
  </si>
  <si>
    <t>西エリア・週間ベースロード電力先物</t>
  </si>
  <si>
    <t>West Area Baseload Electricity Futures (Weekly)</t>
  </si>
  <si>
    <t>991,536</t>
  </si>
  <si>
    <t>東エリア・週間日中ロード電力先物</t>
  </si>
  <si>
    <t>East Area Peakload Electricity Futures (Weekly)</t>
  </si>
  <si>
    <t>西エリア・週間日中ロード電力先物</t>
  </si>
  <si>
    <t>West Area Peakload Electricity Futures (Weekly)</t>
  </si>
  <si>
    <t>348,000</t>
  </si>
  <si>
    <t>LNG（プラッツJKM）先物</t>
  </si>
  <si>
    <t>LNG（Platts JKM）Futures</t>
  </si>
  <si>
    <t>18,200,000</t>
  </si>
  <si>
    <t>3,550,000</t>
  </si>
  <si>
    <t>中京ローリーガソリン先物</t>
  </si>
  <si>
    <t>Chukyo Gasoline Futures</t>
  </si>
  <si>
    <t>1,160,459,100</t>
  </si>
  <si>
    <t>183,409,800</t>
  </si>
  <si>
    <t>1,571,366,500</t>
  </si>
  <si>
    <t>414,869,200</t>
  </si>
  <si>
    <t>2,341,660,600</t>
  </si>
  <si>
    <t>702,793,300</t>
  </si>
  <si>
    <t>1,416,852,000</t>
  </si>
  <si>
    <t>590,411,800</t>
  </si>
  <si>
    <t>618,636,900</t>
  </si>
  <si>
    <t>154,853,000</t>
  </si>
  <si>
    <t>445,400,000</t>
  </si>
  <si>
    <t>191,421,600</t>
  </si>
  <si>
    <t>755,103,000</t>
  </si>
  <si>
    <t>355,755,700</t>
  </si>
  <si>
    <t>531,532,200</t>
  </si>
  <si>
    <t>342,648,900</t>
  </si>
  <si>
    <t>中京ローリー灯油先物</t>
  </si>
  <si>
    <t>Chukyo Kerosene Futures</t>
  </si>
  <si>
    <t>685,206,900</t>
  </si>
  <si>
    <t>98,676,500</t>
  </si>
  <si>
    <t>3,097,252,400</t>
  </si>
  <si>
    <t>876,897,500</t>
  </si>
  <si>
    <t>1,505,789,300</t>
  </si>
  <si>
    <t>395,040,700</t>
  </si>
  <si>
    <t>2,531,310,000</t>
  </si>
  <si>
    <t>860,086,400</t>
  </si>
  <si>
    <t>266,724,000</t>
  </si>
  <si>
    <t>32,210,000</t>
  </si>
  <si>
    <t>249,519,800</t>
  </si>
  <si>
    <t>120,025,800</t>
  </si>
  <si>
    <t>175,946,000</t>
  </si>
  <si>
    <t>27,300,000</t>
  </si>
  <si>
    <t>166,094,400</t>
  </si>
  <si>
    <t>27,439,000</t>
  </si>
  <si>
    <t>日経225オプション</t>
  </si>
  <si>
    <t>Nikkei 225 Options</t>
  </si>
  <si>
    <t>プット</t>
  </si>
  <si>
    <t>Put</t>
  </si>
  <si>
    <t>1,068,360,008,000</t>
  </si>
  <si>
    <t>765,124,833,000</t>
  </si>
  <si>
    <t>コール</t>
  </si>
  <si>
    <t>Call</t>
  </si>
  <si>
    <t>1,329,843,482,000</t>
  </si>
  <si>
    <t>1,007,870,048,000</t>
  </si>
  <si>
    <t>合計</t>
  </si>
  <si>
    <t>Total</t>
  </si>
  <si>
    <t>2,398,203,490,000</t>
  </si>
  <si>
    <t>1,772,994,881,000</t>
  </si>
  <si>
    <t>2,025,867,443,000</t>
  </si>
  <si>
    <t>1,261,634,220,000</t>
  </si>
  <si>
    <t>7.23</t>
  </si>
  <si>
    <t>1,583,303,648,000</t>
  </si>
  <si>
    <t>1,051,135,826,000</t>
  </si>
  <si>
    <t>3,609,171,091,000</t>
  </si>
  <si>
    <t>2,312,770,046,000</t>
  </si>
  <si>
    <t>2,182,376,797,000</t>
  </si>
  <si>
    <t>1,526,926,208,000</t>
  </si>
  <si>
    <t>1,727,524,209,000</t>
  </si>
  <si>
    <t>1,196,330,258,000</t>
  </si>
  <si>
    <t>1.21</t>
  </si>
  <si>
    <t>3,909,901,006,000</t>
  </si>
  <si>
    <t>2,723,256,466,000</t>
  </si>
  <si>
    <t>1,581,787,895,925</t>
  </si>
  <si>
    <t>1,120,043,355,925</t>
  </si>
  <si>
    <t>1,428,363,058,139</t>
  </si>
  <si>
    <t>1,019,289,902,139</t>
  </si>
  <si>
    <t>3,010,150,954,064</t>
  </si>
  <si>
    <t>2,139,333,258,064</t>
  </si>
  <si>
    <t>1,508,036,326,940</t>
  </si>
  <si>
    <t>1,150,028,259,940</t>
  </si>
  <si>
    <t>1,563,510,405,721</t>
  </si>
  <si>
    <t>1,248,263,631,721</t>
  </si>
  <si>
    <t>3,071,546,732,661</t>
  </si>
  <si>
    <t>2,398,291,891,661</t>
  </si>
  <si>
    <t>1,367,126,061,913</t>
  </si>
  <si>
    <t>1,051,691,510,913</t>
  </si>
  <si>
    <t>1,080,188,349,892</t>
  </si>
  <si>
    <t>830,771,954,892</t>
  </si>
  <si>
    <t>2,447,314,411,805</t>
  </si>
  <si>
    <t>1,882,463,465,805</t>
  </si>
  <si>
    <t>2,252,900,843,350</t>
  </si>
  <si>
    <t>1,677,089,050,350</t>
  </si>
  <si>
    <t>1,917,976,657,052</t>
  </si>
  <si>
    <t>1,427,651,039,052</t>
  </si>
  <si>
    <t>4,170,877,500,402</t>
  </si>
  <si>
    <t>3,104,740,089,402</t>
  </si>
  <si>
    <t>1,366,663,914,636</t>
  </si>
  <si>
    <t>1,010,803,889,136</t>
  </si>
  <si>
    <t>948,999,585,842</t>
  </si>
  <si>
    <t>656,606,030,342</t>
  </si>
  <si>
    <t>2,315,663,500,478</t>
  </si>
  <si>
    <t>1,667,409,919,478</t>
  </si>
  <si>
    <t>2,124,112,024,988</t>
  </si>
  <si>
    <t>1,538,833,913,988</t>
  </si>
  <si>
    <t>1,181,518,585,346</t>
  </si>
  <si>
    <t>770,705,797,346</t>
  </si>
  <si>
    <t>3,305,630,610,334</t>
  </si>
  <si>
    <t>2,309,539,711,334</t>
  </si>
  <si>
    <t>1,550,916,444,712</t>
  </si>
  <si>
    <t>1,126,660,677,712</t>
  </si>
  <si>
    <t>887,468,702,726</t>
  </si>
  <si>
    <t>591,764,807,726</t>
  </si>
  <si>
    <t>2,438,385,147,438</t>
  </si>
  <si>
    <t>1,718,425,485,438</t>
  </si>
  <si>
    <t>2,762,042,852,897</t>
  </si>
  <si>
    <t>1,870,632,339,897</t>
  </si>
  <si>
    <t>1,270,409,638,958</t>
  </si>
  <si>
    <t>770,668,768,958</t>
  </si>
  <si>
    <t>4,032,452,491,855</t>
  </si>
  <si>
    <t>2,641,301,108,855</t>
  </si>
  <si>
    <t>2,050,276,722,896</t>
  </si>
  <si>
    <t>1,483,192,693,896</t>
  </si>
  <si>
    <t>1,314,655,601,870</t>
  </si>
  <si>
    <t>871,997,179,870</t>
  </si>
  <si>
    <t>3,364,932,324,766</t>
  </si>
  <si>
    <t>2,355,189,873,766</t>
  </si>
  <si>
    <t>1,658,588,728,161</t>
  </si>
  <si>
    <t>1,120,916,167,161</t>
  </si>
  <si>
    <t>1,471,003,021,978</t>
  </si>
  <si>
    <t>953,153,171,978</t>
  </si>
  <si>
    <t>3,129,591,750,139</t>
  </si>
  <si>
    <t>2,074,069,339,139</t>
  </si>
  <si>
    <t>1,548,375,026,126</t>
  </si>
  <si>
    <t>1,058,615,647,126</t>
  </si>
  <si>
    <t>1,019,640,248,177</t>
  </si>
  <si>
    <t>621,551,524,177</t>
  </si>
  <si>
    <t>2,568,015,274,303</t>
  </si>
  <si>
    <t>1,680,167,171,303</t>
  </si>
  <si>
    <t>11.29</t>
  </si>
  <si>
    <t>2,087,522,890,191</t>
  </si>
  <si>
    <t>1,512,784,811,191</t>
  </si>
  <si>
    <t>1,093,361,429,119</t>
  </si>
  <si>
    <t>714,780,890,119</t>
  </si>
  <si>
    <t>3,180,884,319,310</t>
  </si>
  <si>
    <t>2,227,565,701,310</t>
  </si>
  <si>
    <t>2,029,394,933,177</t>
  </si>
  <si>
    <t>1,561,953,243,177</t>
  </si>
  <si>
    <t>1,190,384,945,260</t>
  </si>
  <si>
    <t>861,742,886,260</t>
  </si>
  <si>
    <t>3,219,779,878,437</t>
  </si>
  <si>
    <t>2,423,696,129,437</t>
  </si>
  <si>
    <t>1,918,722,833,566</t>
  </si>
  <si>
    <t>1,523,462,342,566</t>
  </si>
  <si>
    <t>1,164,958,627,577</t>
  </si>
  <si>
    <t>862,746,307,577</t>
  </si>
  <si>
    <t>3,083,681,461,143</t>
  </si>
  <si>
    <t>2,386,208,650,143</t>
  </si>
  <si>
    <t>1,815,364,303,722</t>
  </si>
  <si>
    <t>1,417,378,259,722</t>
  </si>
  <si>
    <t>1,497,268,894,388</t>
  </si>
  <si>
    <t>1,070,680,582,388</t>
  </si>
  <si>
    <t>3,312,633,198,110</t>
  </si>
  <si>
    <t>2,488,058,842,110</t>
  </si>
  <si>
    <t>1,621,061,693,468</t>
  </si>
  <si>
    <t>1,282,334,035,468</t>
  </si>
  <si>
    <t>1,494,513,445,618</t>
  </si>
  <si>
    <t>1,111,139,686,618</t>
  </si>
  <si>
    <t>3,115,575,139,086</t>
  </si>
  <si>
    <t>2,393,473,722,086</t>
  </si>
  <si>
    <t>日経225ミニオプション</t>
  </si>
  <si>
    <t>Nikkei 225 mini Options</t>
  </si>
  <si>
    <t>19,287,365,030</t>
  </si>
  <si>
    <t>826,182,130</t>
  </si>
  <si>
    <t>19,152,611,830</t>
  </si>
  <si>
    <t>960,851,330</t>
  </si>
  <si>
    <t>38,439,976,860</t>
  </si>
  <si>
    <t>1,787,033,460</t>
  </si>
  <si>
    <t>25,226,352,300</t>
  </si>
  <si>
    <t>1,452,675,200</t>
  </si>
  <si>
    <t>27,706,254,240</t>
  </si>
  <si>
    <t>1,869,514,840</t>
  </si>
  <si>
    <t>52,932,606,540</t>
  </si>
  <si>
    <t>3,322,190,040</t>
  </si>
  <si>
    <t>TOPIXオプション</t>
  </si>
  <si>
    <t>TOPIX Options</t>
  </si>
  <si>
    <t>285,839,245,000</t>
  </si>
  <si>
    <t>557,350,245,000</t>
  </si>
  <si>
    <t>843,189,490,000</t>
  </si>
  <si>
    <t>35,623,345,000</t>
  </si>
  <si>
    <t>44,580,620,000</t>
  </si>
  <si>
    <t>80,203,965,000</t>
  </si>
  <si>
    <t>22,450,785,000</t>
  </si>
  <si>
    <t>98,913,090,000</t>
  </si>
  <si>
    <t>121,363,875,000</t>
  </si>
  <si>
    <t>4,149,695,000</t>
  </si>
  <si>
    <t>21,390,040,000</t>
  </si>
  <si>
    <t>25,539,735,000</t>
  </si>
  <si>
    <t>1,974,325,000</t>
  </si>
  <si>
    <t>3,510,595,000</t>
  </si>
  <si>
    <t>5,484,920,000</t>
  </si>
  <si>
    <t>2,034,190,000</t>
  </si>
  <si>
    <t>2,364,190,000</t>
  </si>
  <si>
    <t>4,398,380,000</t>
  </si>
  <si>
    <t>1,559,665,000</t>
  </si>
  <si>
    <t>2,070,645,000</t>
  </si>
  <si>
    <t>3,630,310,000</t>
  </si>
  <si>
    <t>1,855,775,000</t>
  </si>
  <si>
    <t>2,755,715,000</t>
  </si>
  <si>
    <t>4,611,490,000</t>
  </si>
  <si>
    <t>1,225,125,000</t>
  </si>
  <si>
    <t>1,502,300,000</t>
  </si>
  <si>
    <t>2,727,425,000</t>
  </si>
  <si>
    <t>677,305,000</t>
  </si>
  <si>
    <t>713,935,000</t>
  </si>
  <si>
    <t>1,391,240,000</t>
  </si>
  <si>
    <t>4.27</t>
  </si>
  <si>
    <t>1,079,145,000</t>
  </si>
  <si>
    <t>726,075,000</t>
  </si>
  <si>
    <t>1,805,220,000</t>
  </si>
  <si>
    <t>763,595,000</t>
  </si>
  <si>
    <t>6,554,305,000</t>
  </si>
  <si>
    <t>7,317,900,000</t>
  </si>
  <si>
    <t>1.24</t>
  </si>
  <si>
    <t>760,680,000</t>
  </si>
  <si>
    <t>1,052,455,000</t>
  </si>
  <si>
    <t>1,813,135,000</t>
  </si>
  <si>
    <t>707,525,000</t>
  </si>
  <si>
    <t>704,860,000</t>
  </si>
  <si>
    <t>1,412,385,000</t>
  </si>
  <si>
    <t>781,665,000</t>
  </si>
  <si>
    <t>849,050,000</t>
  </si>
  <si>
    <t>1,630,715,000</t>
  </si>
  <si>
    <t>745,620,000</t>
  </si>
  <si>
    <t>728,380,000</t>
  </si>
  <si>
    <t>1,474,000,000</t>
  </si>
  <si>
    <t>130,495,000</t>
  </si>
  <si>
    <t>111,230,000</t>
  </si>
  <si>
    <t>241,725,000</t>
  </si>
  <si>
    <t>39,910,000</t>
  </si>
  <si>
    <t>34,615,000</t>
  </si>
  <si>
    <t>74,525,000</t>
  </si>
  <si>
    <t>27,510,000</t>
  </si>
  <si>
    <t>24,640,000</t>
  </si>
  <si>
    <t>52,150,000</t>
  </si>
  <si>
    <t>31,170,000</t>
  </si>
  <si>
    <t>29,770,000</t>
  </si>
  <si>
    <t>60,940,000</t>
  </si>
  <si>
    <t>640,130,000</t>
  </si>
  <si>
    <t>604,430,000</t>
  </si>
  <si>
    <t>1,244,560,000</t>
  </si>
  <si>
    <t>165,550,000</t>
  </si>
  <si>
    <t>83,220,000</t>
  </si>
  <si>
    <t>248,770,000</t>
  </si>
  <si>
    <t>29,265,000</t>
  </si>
  <si>
    <t>7,320,000</t>
  </si>
  <si>
    <t>36,585,000</t>
  </si>
  <si>
    <t>510,890,000</t>
  </si>
  <si>
    <t>217,350,000</t>
  </si>
  <si>
    <t>728,240,000</t>
  </si>
  <si>
    <t>2,281,230,000</t>
  </si>
  <si>
    <t>1,494,340,000</t>
  </si>
  <si>
    <t>3,775,570,000</t>
  </si>
  <si>
    <t>9,290,570,000</t>
  </si>
  <si>
    <t>2,296,645,000</t>
  </si>
  <si>
    <t>11,587,215,000</t>
  </si>
  <si>
    <t>11,615,062,000</t>
  </si>
  <si>
    <t>3,076,540,000</t>
  </si>
  <si>
    <t>14,691,602,000</t>
  </si>
  <si>
    <t>2,843,394,000</t>
  </si>
  <si>
    <t>5,456,980,000</t>
  </si>
  <si>
    <t>8,300,374,000</t>
  </si>
  <si>
    <t>106,925,000</t>
  </si>
  <si>
    <t>3,497,895,000</t>
  </si>
  <si>
    <t>3,604,820,000</t>
  </si>
  <si>
    <t>545,305,000</t>
  </si>
  <si>
    <t>2,993,895,000</t>
  </si>
  <si>
    <t>3,539,200,000</t>
  </si>
  <si>
    <t>121,070,000</t>
  </si>
  <si>
    <t>4,153,380,000</t>
  </si>
  <si>
    <t>4,274,450,000</t>
  </si>
  <si>
    <t>98,780,000</t>
  </si>
  <si>
    <t>7,762,780,000</t>
  </si>
  <si>
    <t>7,861,560,000</t>
  </si>
  <si>
    <t>573,915,000</t>
  </si>
  <si>
    <t>9,713,870,000</t>
  </si>
  <si>
    <t>10,287,785,000</t>
  </si>
  <si>
    <t>916,910,000</t>
  </si>
  <si>
    <t>6,199,125,000</t>
  </si>
  <si>
    <t>7,116,035,000</t>
  </si>
  <si>
    <t>333,349,000</t>
  </si>
  <si>
    <t>6,419,275,000</t>
  </si>
  <si>
    <t>6,752,624,000</t>
  </si>
  <si>
    <t>2,573,335,000</t>
  </si>
  <si>
    <t>140,450,000</t>
  </si>
  <si>
    <t>3,306,125,000</t>
  </si>
  <si>
    <t>875,125,000</t>
  </si>
  <si>
    <t>5,879,460,000</t>
  </si>
  <si>
    <t>1,015,575,000</t>
  </si>
  <si>
    <t>10,960,170,000</t>
  </si>
  <si>
    <t>10,410,340,000</t>
  </si>
  <si>
    <t>6,777,469,000</t>
  </si>
  <si>
    <t>4,682,918,000</t>
  </si>
  <si>
    <t>17,737,639,000</t>
  </si>
  <si>
    <t>15,093,258,000</t>
  </si>
  <si>
    <t>3,413,237,000</t>
  </si>
  <si>
    <t>3,336,817,000</t>
  </si>
  <si>
    <t>5,491,849,000</t>
  </si>
  <si>
    <t>5,444,199,000</t>
  </si>
  <si>
    <t>8,905,086,000</t>
  </si>
  <si>
    <t>8,781,016,000</t>
  </si>
  <si>
    <t>32,250,010,000</t>
  </si>
  <si>
    <t>32,178,135,000</t>
  </si>
  <si>
    <t>3,881,029,000</t>
  </si>
  <si>
    <t>3,818,279,000</t>
  </si>
  <si>
    <t>36,131,039,000</t>
  </si>
  <si>
    <t>35,996,414,000</t>
  </si>
  <si>
    <t>1,248,324,000</t>
  </si>
  <si>
    <t>11,377,842,000</t>
  </si>
  <si>
    <t>11,377,492,000</t>
  </si>
  <si>
    <t>12,626,166,000</t>
  </si>
  <si>
    <t>12,625,816,000</t>
  </si>
  <si>
    <t>5,850,848,000</t>
  </si>
  <si>
    <t>5,848,882,000</t>
  </si>
  <si>
    <t>6,685,123,000</t>
  </si>
  <si>
    <t>6,676,253,000</t>
  </si>
  <si>
    <t>12,535,971,000</t>
  </si>
  <si>
    <t>12,525,135,000</t>
  </si>
  <si>
    <t>4,955,488,000</t>
  </si>
  <si>
    <t>7,388,090,000</t>
  </si>
  <si>
    <t>12,343,578,000</t>
  </si>
  <si>
    <t>2,930,535,000</t>
  </si>
  <si>
    <t>3,888,080,000</t>
  </si>
  <si>
    <t>3,887,430,000</t>
  </si>
  <si>
    <t>6,818,615,000</t>
  </si>
  <si>
    <t>6,817,965,000</t>
  </si>
  <si>
    <t>1,328,575,000</t>
  </si>
  <si>
    <t>626,280,000</t>
  </si>
  <si>
    <t>1,954,855,000</t>
  </si>
  <si>
    <t>471,273,000</t>
  </si>
  <si>
    <t>1,882,589,000</t>
  </si>
  <si>
    <t>1,879,980,000</t>
  </si>
  <si>
    <t>2,353,862,000</t>
  </si>
  <si>
    <t>2,351,253,000</t>
  </si>
  <si>
    <t>221,200,000</t>
  </si>
  <si>
    <t>5.21</t>
  </si>
  <si>
    <t>581,783,000</t>
  </si>
  <si>
    <t>802,983,000</t>
  </si>
  <si>
    <t>1,937,633,000</t>
  </si>
  <si>
    <t>30,210,311,000</t>
  </si>
  <si>
    <t>32,147,944,000</t>
  </si>
  <si>
    <t>8,215,385,000</t>
  </si>
  <si>
    <t>58,095,378,000</t>
  </si>
  <si>
    <t>66,310,763,000</t>
  </si>
  <si>
    <t>16,130,000,000</t>
  </si>
  <si>
    <t>21,948,114,000</t>
  </si>
  <si>
    <t>38,078,114,000</t>
  </si>
  <si>
    <t>9,996,053,000</t>
  </si>
  <si>
    <t>9,983,161,000</t>
  </si>
  <si>
    <t>16,289,257,000</t>
  </si>
  <si>
    <t>26,285,310,000</t>
  </si>
  <si>
    <t>26,272,418,000</t>
  </si>
  <si>
    <t>18,095,101,000</t>
  </si>
  <si>
    <t>18,094,495,000</t>
  </si>
  <si>
    <t>11.13</t>
  </si>
  <si>
    <t>30,350,800,000</t>
  </si>
  <si>
    <t>30,346,127,000</t>
  </si>
  <si>
    <t>48,445,901,000</t>
  </si>
  <si>
    <t>48,440,622,000</t>
  </si>
  <si>
    <t>12,695,735,000</t>
  </si>
  <si>
    <t>12,693,415,000</t>
  </si>
  <si>
    <t>27,457,820,000</t>
  </si>
  <si>
    <t>27,454,510,000</t>
  </si>
  <si>
    <t>40,153,555,000</t>
  </si>
  <si>
    <t>40,147,925,000</t>
  </si>
  <si>
    <t>7,176,057,000</t>
  </si>
  <si>
    <t>6,987,835,000</t>
  </si>
  <si>
    <t>2.3</t>
  </si>
  <si>
    <t>7,017,296,000</t>
  </si>
  <si>
    <t>6,975,836,000</t>
  </si>
  <si>
    <t>14,193,353,000</t>
  </si>
  <si>
    <t>13,963,671,000</t>
  </si>
  <si>
    <t>5,811,984,591</t>
  </si>
  <si>
    <t>5,769,882,591</t>
  </si>
  <si>
    <t>7,195,351,541</t>
  </si>
  <si>
    <t>7,071,019,541</t>
  </si>
  <si>
    <t>13,007,336,132</t>
  </si>
  <si>
    <t>12,840,902,132</t>
  </si>
  <si>
    <t>20,734,641,004</t>
  </si>
  <si>
    <t>20,733,466,004</t>
  </si>
  <si>
    <t>11,390,338,098</t>
  </si>
  <si>
    <t>11,362,438,098</t>
  </si>
  <si>
    <t>32,124,979,102</t>
  </si>
  <si>
    <t>32,095,904,102</t>
  </si>
  <si>
    <t>21,307,658,710</t>
  </si>
  <si>
    <t>21,191,792,710</t>
  </si>
  <si>
    <t>10,625,972,670</t>
  </si>
  <si>
    <t>31,933,631,380</t>
  </si>
  <si>
    <t>31,817,765,380</t>
  </si>
  <si>
    <t>25,219,263,621</t>
  </si>
  <si>
    <t>26,253,649,592</t>
  </si>
  <si>
    <t>51,472,913,213</t>
  </si>
  <si>
    <t>11,964,367,441</t>
  </si>
  <si>
    <t>10,148,470,050</t>
  </si>
  <si>
    <t>22,112,837,491</t>
  </si>
  <si>
    <t>25,733,314,085</t>
  </si>
  <si>
    <t>11,551,203,100</t>
  </si>
  <si>
    <t>37,284,517,185</t>
  </si>
  <si>
    <t>30,778,494,430</t>
  </si>
  <si>
    <t>30,753,409,430</t>
  </si>
  <si>
    <t>14,143,574,600</t>
  </si>
  <si>
    <t>44,922,069,030</t>
  </si>
  <si>
    <t>44,896,984,030</t>
  </si>
  <si>
    <t>50,748,841,228</t>
  </si>
  <si>
    <t>12,556,770,909</t>
  </si>
  <si>
    <t>63,305,612,137</t>
  </si>
  <si>
    <t>33,934,668,945</t>
  </si>
  <si>
    <t>16,759,720,568</t>
  </si>
  <si>
    <t>50,694,389,513</t>
  </si>
  <si>
    <t>32,261,305,772</t>
  </si>
  <si>
    <t>22,223,597,793</t>
  </si>
  <si>
    <t>54,484,903,565</t>
  </si>
  <si>
    <t>30,680,531,634</t>
  </si>
  <si>
    <t>30,523,309,649</t>
  </si>
  <si>
    <t>61,203,841,283</t>
  </si>
  <si>
    <t>76,217,627,688</t>
  </si>
  <si>
    <t>76,207,357,688</t>
  </si>
  <si>
    <t>15,684,621,647</t>
  </si>
  <si>
    <t>15,675,636,647</t>
  </si>
  <si>
    <t>91,902,249,335</t>
  </si>
  <si>
    <t>91,882,994,335</t>
  </si>
  <si>
    <t>72,205,413,174</t>
  </si>
  <si>
    <t>7.11</t>
  </si>
  <si>
    <t>17,713,587,988</t>
  </si>
  <si>
    <t>89,919,001,162</t>
  </si>
  <si>
    <t>77,373,237,640</t>
  </si>
  <si>
    <t>77,279,305,640</t>
  </si>
  <si>
    <t>21,477,314,336</t>
  </si>
  <si>
    <t>21,449,014,336</t>
  </si>
  <si>
    <t>98,850,551,976</t>
  </si>
  <si>
    <t>98,728,319,976</t>
  </si>
  <si>
    <t>78,199,405,356</t>
  </si>
  <si>
    <t>77,933,120,356</t>
  </si>
  <si>
    <t>52,319,919,959</t>
  </si>
  <si>
    <t>52,073,410,959</t>
  </si>
  <si>
    <t>130,519,325,315</t>
  </si>
  <si>
    <t>130,006,531,315</t>
  </si>
  <si>
    <t>2.29</t>
  </si>
  <si>
    <t>111,100,608,507</t>
  </si>
  <si>
    <t>111,012,544,507</t>
  </si>
  <si>
    <t>101,450,212,284</t>
  </si>
  <si>
    <t>100,394,868,284</t>
  </si>
  <si>
    <t>212,550,820,791</t>
  </si>
  <si>
    <t>211,407,412,791</t>
  </si>
  <si>
    <t>JPX日経インデックス400オプション</t>
  </si>
  <si>
    <t>JPX-Nikkei Index 400 Options</t>
  </si>
  <si>
    <t>43,250,000</t>
  </si>
  <si>
    <t>42,750,000</t>
  </si>
  <si>
    <t>86,000,000</t>
  </si>
  <si>
    <t>1,360,000</t>
  </si>
  <si>
    <t>1,260,000</t>
  </si>
  <si>
    <t>460,000</t>
  </si>
  <si>
    <t>2,620,000</t>
  </si>
  <si>
    <t>東証銀行業株価指数オプション</t>
  </si>
  <si>
    <t>TOPIX Banks Index Options</t>
  </si>
  <si>
    <t>東証REIT指数オプション</t>
  </si>
  <si>
    <t>TSE REIT Index Options</t>
  </si>
  <si>
    <t>長期国債先物オプション</t>
  </si>
  <si>
    <t>Options on 10-year JGB Futures</t>
  </si>
  <si>
    <t>555,783,050,000</t>
  </si>
  <si>
    <t>521,785,260,000</t>
  </si>
  <si>
    <t>1,077,568,310,000</t>
  </si>
  <si>
    <t>186,741,100,000</t>
  </si>
  <si>
    <t>321,841,860,000</t>
  </si>
  <si>
    <t>508,582,960,000</t>
  </si>
  <si>
    <t>124,104,260,000</t>
  </si>
  <si>
    <t>194,322,550,000</t>
  </si>
  <si>
    <t>318,426,810,000</t>
  </si>
  <si>
    <t>73,812,220,000</t>
  </si>
  <si>
    <t>220,411,410,000</t>
  </si>
  <si>
    <t>294,223,630,000</t>
  </si>
  <si>
    <t>78,828,100,000</t>
  </si>
  <si>
    <t>190,006,830,000</t>
  </si>
  <si>
    <t>268,834,930,000</t>
  </si>
  <si>
    <t>85,456,180,000</t>
  </si>
  <si>
    <t>189,425,100,000</t>
  </si>
  <si>
    <t>274,881,280,000</t>
  </si>
  <si>
    <t>102,600,130,000</t>
  </si>
  <si>
    <t>224,284,180,000</t>
  </si>
  <si>
    <t>326,884,310,000</t>
  </si>
  <si>
    <t>245,799,060,000</t>
  </si>
  <si>
    <t>258,984,280,000</t>
  </si>
  <si>
    <t>504,783,340,000</t>
  </si>
  <si>
    <t>11.26</t>
  </si>
  <si>
    <t>228,175,960,000</t>
  </si>
  <si>
    <t>172,593,550,000</t>
  </si>
  <si>
    <t>400,769,510,000</t>
  </si>
  <si>
    <t>163,405,520,000</t>
  </si>
  <si>
    <t>259,533,690,000</t>
  </si>
  <si>
    <t>422,939,210,000</t>
  </si>
  <si>
    <t>201,262,860,000</t>
  </si>
  <si>
    <t>307,713,170,000</t>
  </si>
  <si>
    <t>508,976,030,000</t>
  </si>
  <si>
    <t>175,815,650,000</t>
  </si>
  <si>
    <t>163,625,480,000</t>
  </si>
  <si>
    <t>339,441,130,000</t>
  </si>
  <si>
    <t>162,608,690,000</t>
  </si>
  <si>
    <t>188,442,140,000</t>
  </si>
  <si>
    <t>351,050,830,000</t>
  </si>
  <si>
    <t>152,965,990,000</t>
  </si>
  <si>
    <t>240,597,760,000</t>
  </si>
  <si>
    <t>393,563,750,000</t>
  </si>
  <si>
    <t>193,069,620,000</t>
  </si>
  <si>
    <t>187,677,650,000</t>
  </si>
  <si>
    <t>380,747,270,000</t>
  </si>
  <si>
    <t>143,665,490,000</t>
  </si>
  <si>
    <t>140,646,320,000</t>
  </si>
  <si>
    <t>284,311,810,000</t>
  </si>
  <si>
    <t>155,196,100,000</t>
  </si>
  <si>
    <t>150,294,120,000</t>
  </si>
  <si>
    <t>305,490,220,000</t>
  </si>
  <si>
    <t>283,575,270,000</t>
  </si>
  <si>
    <t>142,493,460,000</t>
  </si>
  <si>
    <t>426,068,730,000</t>
  </si>
  <si>
    <t>141,400,920,000</t>
  </si>
  <si>
    <t>105,023,470,000</t>
  </si>
  <si>
    <t>246,424,390,000</t>
  </si>
  <si>
    <t>110,345,500,000</t>
  </si>
  <si>
    <t>75,405,340,000</t>
  </si>
  <si>
    <t>185,750,840,000</t>
  </si>
  <si>
    <t>90,390,370,000</t>
  </si>
  <si>
    <t>7.24</t>
  </si>
  <si>
    <t>68,431,310,000</t>
  </si>
  <si>
    <t>158,821,680,000</t>
  </si>
  <si>
    <t>62,281,330,000</t>
  </si>
  <si>
    <t>84,845,070,000</t>
  </si>
  <si>
    <t>147,126,400,000</t>
  </si>
  <si>
    <t>77,214,480,000</t>
  </si>
  <si>
    <t>57,039,040,000</t>
  </si>
  <si>
    <t>134,253,520,000</t>
  </si>
  <si>
    <t>64,985,710,000</t>
  </si>
  <si>
    <t>2.25</t>
  </si>
  <si>
    <t>40,615,650,000</t>
  </si>
  <si>
    <t>105,601,360,000</t>
  </si>
  <si>
    <t>47,843,060,000</t>
  </si>
  <si>
    <t>51,101,570,000</t>
  </si>
  <si>
    <t>98,944,630,000</t>
  </si>
  <si>
    <t>37,764,460,000</t>
  </si>
  <si>
    <t>34,702,190,000</t>
  </si>
  <si>
    <t>72,466,650,000</t>
  </si>
  <si>
    <t>136,417,450,000</t>
  </si>
  <si>
    <t>63,153,810,000</t>
  </si>
  <si>
    <t>199,571,260,000</t>
  </si>
  <si>
    <t>78,269,920,000</t>
  </si>
  <si>
    <t>58,083,850,000</t>
  </si>
  <si>
    <t>136,353,770,000</t>
  </si>
  <si>
    <t>116,491,790,000</t>
  </si>
  <si>
    <t>77,252,130,000</t>
  </si>
  <si>
    <t>193,743,920,000</t>
  </si>
  <si>
    <t>80,344,500,000</t>
  </si>
  <si>
    <t>62,707,630,000</t>
  </si>
  <si>
    <t>143,052,130,000</t>
  </si>
  <si>
    <t>106,811,890,000</t>
  </si>
  <si>
    <t>68,790,770,000</t>
  </si>
  <si>
    <t>175,602,660,000</t>
  </si>
  <si>
    <t>161,699,770,000</t>
  </si>
  <si>
    <t>82,732,030,000</t>
  </si>
  <si>
    <t>244,431,800,000</t>
  </si>
  <si>
    <t>154,839,340,000</t>
  </si>
  <si>
    <t>106,837,500,000</t>
  </si>
  <si>
    <t>261,676,840,000</t>
  </si>
  <si>
    <t>103,368,690,000</t>
  </si>
  <si>
    <t>761,860,000</t>
  </si>
  <si>
    <t>90,876,720,000</t>
  </si>
  <si>
    <t>506,170,000</t>
  </si>
  <si>
    <t>194,245,410,000</t>
  </si>
  <si>
    <t>1,268,030,000</t>
  </si>
  <si>
    <t>194,067,120,000</t>
  </si>
  <si>
    <t>29,527,310,000</t>
  </si>
  <si>
    <t>200,877,840,000</t>
  </si>
  <si>
    <t>23,284,160,000</t>
  </si>
  <si>
    <t>394,944,960,000</t>
  </si>
  <si>
    <t>52,811,470,000</t>
  </si>
  <si>
    <t>150,905,170,000</t>
  </si>
  <si>
    <t>21,635,960,000</t>
  </si>
  <si>
    <t>174,062,910,000</t>
  </si>
  <si>
    <t>22,529,640,000</t>
  </si>
  <si>
    <t>324,968,080,000</t>
  </si>
  <si>
    <t>44,165,600,000</t>
  </si>
  <si>
    <t>242,239,720,000</t>
  </si>
  <si>
    <t>40,680,170,000</t>
  </si>
  <si>
    <t>220,417,220,000</t>
  </si>
  <si>
    <t>33,368,940,000</t>
  </si>
  <si>
    <t>462,656,940,000</t>
  </si>
  <si>
    <t>74,049,110,000</t>
  </si>
  <si>
    <t>84,106,990,000</t>
  </si>
  <si>
    <t>10,990,050,000</t>
  </si>
  <si>
    <t>106,853,830,000</t>
  </si>
  <si>
    <t>13,264,720,000</t>
  </si>
  <si>
    <t>190,960,820,000</t>
  </si>
  <si>
    <t>24,254,770,000</t>
  </si>
  <si>
    <t>151,407,360,000</t>
  </si>
  <si>
    <t>10,987,910,000</t>
  </si>
  <si>
    <t>181,427,340,000</t>
  </si>
  <si>
    <t>14,604,670,000</t>
  </si>
  <si>
    <t>332,834,700,000</t>
  </si>
  <si>
    <t>25,592,580,000</t>
  </si>
  <si>
    <t>107,032,960,000</t>
  </si>
  <si>
    <t>11,401,280,000</t>
  </si>
  <si>
    <t>113,517,330,000</t>
  </si>
  <si>
    <t>17,984,960,000</t>
  </si>
  <si>
    <t>220,550,290,000</t>
  </si>
  <si>
    <t>29,386,240,000</t>
  </si>
  <si>
    <t>87,540,840,000</t>
  </si>
  <si>
    <t>11,773,320,000</t>
  </si>
  <si>
    <t>105,290,810,000</t>
  </si>
  <si>
    <t>23,716,630,000</t>
  </si>
  <si>
    <t>192,831,650,000</t>
  </si>
  <si>
    <t>35,489,950,000</t>
  </si>
  <si>
    <t>117,974,020,000</t>
  </si>
  <si>
    <t>14,433,860,000</t>
  </si>
  <si>
    <t>95,718,600,000</t>
  </si>
  <si>
    <t>7,987,820,000</t>
  </si>
  <si>
    <t>213,692,620,000</t>
  </si>
  <si>
    <t>22,421,680,000</t>
  </si>
  <si>
    <t>74,341,960,000</t>
  </si>
  <si>
    <t>12,269,450,000</t>
  </si>
  <si>
    <t>73,146,660,000</t>
  </si>
  <si>
    <t>12,552,450,000</t>
  </si>
  <si>
    <t>147,488,620,000</t>
  </si>
  <si>
    <t>24,821,900,000</t>
  </si>
  <si>
    <t>110,724,220,000</t>
  </si>
  <si>
    <t>17,027,240,000</t>
  </si>
  <si>
    <t>83,980,690,000</t>
  </si>
  <si>
    <t>13,440,480,000</t>
  </si>
  <si>
    <t>194,704,910,000</t>
  </si>
  <si>
    <t>30,467,720,000</t>
  </si>
  <si>
    <t>85,519,500,000</t>
  </si>
  <si>
    <t>11,704,550,000</t>
  </si>
  <si>
    <t>76,475,850,000</t>
  </si>
  <si>
    <t>18,320,710,000</t>
  </si>
  <si>
    <t>161,995,350,000</t>
  </si>
  <si>
    <t>30,025,260,000</t>
  </si>
  <si>
    <t>72,689,290,000</t>
  </si>
  <si>
    <t>8,871,560,000</t>
  </si>
  <si>
    <t>52,577,510,000</t>
  </si>
  <si>
    <t>6,104,470,000</t>
  </si>
  <si>
    <t>125,266,800,000</t>
  </si>
  <si>
    <t>14,976,030,000</t>
  </si>
  <si>
    <t>116,816,970,000</t>
  </si>
  <si>
    <t>35,765,490,000</t>
  </si>
  <si>
    <t>69,400,330,000</t>
  </si>
  <si>
    <t>10,870,440,000</t>
  </si>
  <si>
    <t>186,217,300,000</t>
  </si>
  <si>
    <t>46,635,930,000</t>
  </si>
  <si>
    <t>49,208,370,000</t>
  </si>
  <si>
    <t>13,577,660,000</t>
  </si>
  <si>
    <t>29,458,950,000</t>
  </si>
  <si>
    <t>4,623,140,000</t>
  </si>
  <si>
    <t>78,667,320,000</t>
  </si>
  <si>
    <t>18,200,800,000</t>
  </si>
  <si>
    <t>30,189,220,000</t>
  </si>
  <si>
    <t>5,453,450,000</t>
  </si>
  <si>
    <t>19,171,750,000</t>
  </si>
  <si>
    <t>3,209,220,000</t>
  </si>
  <si>
    <t>49,360,970,000</t>
  </si>
  <si>
    <t>8,662,670,000</t>
  </si>
  <si>
    <t>50,615,730,000</t>
  </si>
  <si>
    <t>8,257,060,000</t>
  </si>
  <si>
    <t>25,810,320,000</t>
  </si>
  <si>
    <t>2,077,880,000</t>
  </si>
  <si>
    <t>76,426,050,000</t>
  </si>
  <si>
    <t>10,334,940,000</t>
  </si>
  <si>
    <t>54,619,070,000</t>
  </si>
  <si>
    <t>8,134,480,000</t>
  </si>
  <si>
    <t>28,819,880,000</t>
  </si>
  <si>
    <t>3,284,930,000</t>
  </si>
  <si>
    <t>83,438,950,000</t>
  </si>
  <si>
    <t>11,419,410,000</t>
  </si>
  <si>
    <t>30,978,800,000</t>
  </si>
  <si>
    <t>6,067,810,000</t>
  </si>
  <si>
    <t>24,600,710,000</t>
  </si>
  <si>
    <t>3,488,780,000</t>
  </si>
  <si>
    <t>55,579,510,000</t>
  </si>
  <si>
    <t>9,556,590,000</t>
  </si>
  <si>
    <t>45,194,477,500</t>
  </si>
  <si>
    <t>8,500,867,500</t>
  </si>
  <si>
    <t>24,729,007,500</t>
  </si>
  <si>
    <t>2,050,557,500</t>
  </si>
  <si>
    <t>69,923,485,000</t>
  </si>
  <si>
    <t>10,551,425,000</t>
  </si>
  <si>
    <t>26,131,405,000</t>
  </si>
  <si>
    <t>2,320,995,000</t>
  </si>
  <si>
    <t>14,912,765,000</t>
  </si>
  <si>
    <t>1,391,415,000</t>
  </si>
  <si>
    <t>41,044,170,000</t>
  </si>
  <si>
    <t>3,712,410,000</t>
  </si>
  <si>
    <t>19,283,792,500</t>
  </si>
  <si>
    <t>1,730,542,500</t>
  </si>
  <si>
    <t>16,400,375,000</t>
  </si>
  <si>
    <t>1,062,825,000</t>
  </si>
  <si>
    <t>35,684,167,500</t>
  </si>
  <si>
    <t>2,793,367,500</t>
  </si>
  <si>
    <t>20,290,090,000</t>
  </si>
  <si>
    <t>2,504,360,000</t>
  </si>
  <si>
    <t>16,818,155,000</t>
  </si>
  <si>
    <t>966,615,000</t>
  </si>
  <si>
    <t>37,108,245,000</t>
  </si>
  <si>
    <t>3,470,975,000</t>
  </si>
  <si>
    <t>23,681,125,000</t>
  </si>
  <si>
    <t>2,889,455,000</t>
  </si>
  <si>
    <t>12,592,472,500</t>
  </si>
  <si>
    <t>629,782,500</t>
  </si>
  <si>
    <t>36,273,597,500</t>
  </si>
  <si>
    <t>3,519,237,500</t>
  </si>
  <si>
    <t>15,051,650,000</t>
  </si>
  <si>
    <t>1,894,590,000</t>
  </si>
  <si>
    <t>14,448,865,000</t>
  </si>
  <si>
    <t>1,021,205,000</t>
  </si>
  <si>
    <t>29,500,515,000</t>
  </si>
  <si>
    <t>2,915,795,000</t>
  </si>
  <si>
    <t>15,038,352,500</t>
  </si>
  <si>
    <t>2,003,222,500</t>
  </si>
  <si>
    <t>14,946,582,500</t>
  </si>
  <si>
    <t>1,097,802,500</t>
  </si>
  <si>
    <t>29,984,935,000</t>
  </si>
  <si>
    <t>3,101,025,000</t>
  </si>
  <si>
    <t>23,800,605,000</t>
  </si>
  <si>
    <t>1,781,975,000</t>
  </si>
  <si>
    <t>23,584,462,500</t>
  </si>
  <si>
    <t>3,525,532,500</t>
  </si>
  <si>
    <t>47,385,067,500</t>
  </si>
  <si>
    <t>5,307,507,500</t>
  </si>
  <si>
    <t>4,910,055,000</t>
  </si>
  <si>
    <t>254,305,000</t>
  </si>
  <si>
    <t>5,982,545,000</t>
  </si>
  <si>
    <t>1,081,515,000</t>
  </si>
  <si>
    <t>10,892,600,000</t>
  </si>
  <si>
    <t>1,335,820,000</t>
  </si>
  <si>
    <t>6,524,310,000</t>
  </si>
  <si>
    <t>947,170,000</t>
  </si>
  <si>
    <t>4,862,637,500</t>
  </si>
  <si>
    <t>391,787,500</t>
  </si>
  <si>
    <t>11,386,947,500</t>
  </si>
  <si>
    <t>1,338,957,500</t>
  </si>
  <si>
    <t>3,105,512,500</t>
  </si>
  <si>
    <t>215,662,500</t>
  </si>
  <si>
    <t>3,879,645,000</t>
  </si>
  <si>
    <t>172,245,000</t>
  </si>
  <si>
    <t>6,985,157,500</t>
  </si>
  <si>
    <t>387,907,500</t>
  </si>
  <si>
    <t>4,202,342,500</t>
  </si>
  <si>
    <t>1,118,522,500</t>
  </si>
  <si>
    <t>2,984,270,000</t>
  </si>
  <si>
    <t>611,820,000</t>
  </si>
  <si>
    <t>7,186,612,500</t>
  </si>
  <si>
    <t>1,730,342,500</t>
  </si>
  <si>
    <t>2,939,142,500</t>
  </si>
  <si>
    <t>678,582,500</t>
  </si>
  <si>
    <t>2,477,392,500</t>
  </si>
  <si>
    <t>743,832,500</t>
  </si>
  <si>
    <t>5,416,535,000</t>
  </si>
  <si>
    <t>1,422,415,000</t>
  </si>
  <si>
    <t>4,071,720,000</t>
  </si>
  <si>
    <t>1,022,200,000</t>
  </si>
  <si>
    <t>2,875,245,000</t>
  </si>
  <si>
    <t>390,725,000</t>
  </si>
  <si>
    <t>6,946,965,000</t>
  </si>
  <si>
    <t>1,412,925,000</t>
  </si>
  <si>
    <t>5,040,082,500</t>
  </si>
  <si>
    <t>2,348,512,500</t>
  </si>
  <si>
    <t>2,461,697,500</t>
  </si>
  <si>
    <t>707,357,500</t>
  </si>
  <si>
    <t>7,501,780,000</t>
  </si>
  <si>
    <t>3,055,870,000</t>
  </si>
  <si>
    <t>7,078,210,000</t>
  </si>
  <si>
    <t>5,121,120,000</t>
  </si>
  <si>
    <t>3,331,405,000</t>
  </si>
  <si>
    <t>1,737,195,000</t>
  </si>
  <si>
    <t>10,409,615,000</t>
  </si>
  <si>
    <t>6,858,315,000</t>
  </si>
  <si>
    <t>有価証券オプション</t>
  </si>
  <si>
    <t>Securities Options</t>
  </si>
  <si>
    <t>813,080,500</t>
  </si>
  <si>
    <t>1,743,643,000</t>
  </si>
  <si>
    <t>2,556,723,500</t>
  </si>
  <si>
    <t>598,634,500</t>
  </si>
  <si>
    <t>608,115,000</t>
  </si>
  <si>
    <t>1,206,749,500</t>
  </si>
  <si>
    <t>393,689,850</t>
  </si>
  <si>
    <t>596,489,600</t>
  </si>
  <si>
    <t>990,179,450</t>
  </si>
  <si>
    <t>2,107,648,800</t>
  </si>
  <si>
    <t>720,604,400</t>
  </si>
  <si>
    <t>2,828,253,200</t>
  </si>
  <si>
    <t>1,252,147,550</t>
  </si>
  <si>
    <t>1,961,455,350</t>
  </si>
  <si>
    <t>3,213,602,900</t>
  </si>
  <si>
    <t>9,547,448,450</t>
  </si>
  <si>
    <t>4,681,969,000</t>
  </si>
  <si>
    <t>14,229,417,450</t>
  </si>
  <si>
    <t>5,813,234,700</t>
  </si>
  <si>
    <t>4,320,556,700</t>
  </si>
  <si>
    <t>10,133,791,400</t>
  </si>
  <si>
    <t>5,586,730,450</t>
  </si>
  <si>
    <t>2,457,302,000</t>
  </si>
  <si>
    <t>8,044,032,450</t>
  </si>
  <si>
    <t>1,286,659,350</t>
  </si>
  <si>
    <t>3,465,032,100</t>
  </si>
  <si>
    <t>4,751,691,450</t>
  </si>
  <si>
    <t>2,427,846,150</t>
  </si>
  <si>
    <t>3,032,924,750</t>
  </si>
  <si>
    <t>5,460,770,900</t>
  </si>
  <si>
    <t>917,042,050</t>
  </si>
  <si>
    <t>1,314,440,600</t>
  </si>
  <si>
    <t>2,231,482,650</t>
  </si>
  <si>
    <t>501,115,400</t>
  </si>
  <si>
    <t>581,054,000</t>
  </si>
  <si>
    <t>1,082,169,400</t>
  </si>
  <si>
    <t>424,121,000</t>
  </si>
  <si>
    <t>805,501,950</t>
  </si>
  <si>
    <t>1,229,622,950</t>
  </si>
  <si>
    <t>326,486,250</t>
  </si>
  <si>
    <t>1,194,738,100</t>
  </si>
  <si>
    <t>1,521,224,350</t>
  </si>
  <si>
    <t>1,209,839,000</t>
  </si>
  <si>
    <t>1,171,458,250</t>
  </si>
  <si>
    <t>2,381,297,250</t>
  </si>
  <si>
    <t>596,362,600</t>
  </si>
  <si>
    <t>1,882,371,900</t>
  </si>
  <si>
    <t>2,478,734,500</t>
  </si>
  <si>
    <t>381,665,850</t>
  </si>
  <si>
    <t>841,086,600</t>
  </si>
  <si>
    <t>1,222,752,450</t>
  </si>
  <si>
    <t>670,594,500</t>
  </si>
  <si>
    <t>141,763,000</t>
  </si>
  <si>
    <t>812,357,500</t>
  </si>
  <si>
    <t>1,139,864,100</t>
  </si>
  <si>
    <t>443,306,650</t>
  </si>
  <si>
    <t>1,583,170,750</t>
  </si>
  <si>
    <t>630,431,150</t>
  </si>
  <si>
    <t>405,087,925</t>
  </si>
  <si>
    <t>1,035,519,075</t>
  </si>
  <si>
    <t>260,978,100</t>
  </si>
  <si>
    <t>6,917,000</t>
  </si>
  <si>
    <t>129,283,850</t>
  </si>
  <si>
    <t>39,600,000</t>
  </si>
  <si>
    <t>390,261,950</t>
  </si>
  <si>
    <t>46,517,000</t>
  </si>
  <si>
    <t>315,737,300</t>
  </si>
  <si>
    <t>20,441,500</t>
  </si>
  <si>
    <t>66,664,050</t>
  </si>
  <si>
    <t>1,800,000</t>
  </si>
  <si>
    <t>382,401,350</t>
  </si>
  <si>
    <t>22,241,500</t>
  </si>
  <si>
    <t>62,883,100</t>
  </si>
  <si>
    <t>22,521,800</t>
  </si>
  <si>
    <t>55,707,800</t>
  </si>
  <si>
    <t>4,958,950</t>
  </si>
  <si>
    <t>118,590,900</t>
  </si>
  <si>
    <t>27,480,750</t>
  </si>
  <si>
    <t>794,526,660</t>
  </si>
  <si>
    <t>56,001,760</t>
  </si>
  <si>
    <t>187,314,400</t>
  </si>
  <si>
    <t>33,647,500</t>
  </si>
  <si>
    <t>981,841,060</t>
  </si>
  <si>
    <t>89,649,260</t>
  </si>
  <si>
    <t>865,033,050</t>
  </si>
  <si>
    <t>829,500</t>
  </si>
  <si>
    <t>243,831,950</t>
  </si>
  <si>
    <t>2,191,500</t>
  </si>
  <si>
    <t>1,108,865,000</t>
  </si>
  <si>
    <t>3,021,000</t>
  </si>
  <si>
    <t>2,922,290,126</t>
  </si>
  <si>
    <t>2,910,872,561</t>
  </si>
  <si>
    <t>614,204,383</t>
  </si>
  <si>
    <t>577,409,508</t>
  </si>
  <si>
    <t>3,536,494,509</t>
  </si>
  <si>
    <t>3,488,282,069</t>
  </si>
  <si>
    <t>2,315,951,796</t>
  </si>
  <si>
    <t>2,307,468,331</t>
  </si>
  <si>
    <t>912,161,404</t>
  </si>
  <si>
    <t>904,597,944</t>
  </si>
  <si>
    <t>3,228,113,200</t>
  </si>
  <si>
    <t>3,212,066,275</t>
  </si>
  <si>
    <t>437,240,435</t>
  </si>
  <si>
    <t>363,038,212</t>
  </si>
  <si>
    <t>2,449,391,532</t>
  </si>
  <si>
    <t>2,368,204,300</t>
  </si>
  <si>
    <t>2,886,631,967</t>
  </si>
  <si>
    <t>2,731,242,512</t>
  </si>
  <si>
    <t>589,753,251</t>
  </si>
  <si>
    <t>379,597,951</t>
  </si>
  <si>
    <t>818,421,989</t>
  </si>
  <si>
    <t>578,571,966</t>
  </si>
  <si>
    <t>1,408,175,240</t>
  </si>
  <si>
    <t>958,169,917</t>
  </si>
  <si>
    <t>332,805,725</t>
  </si>
  <si>
    <t>190,925,998</t>
  </si>
  <si>
    <t>839,440,375</t>
  </si>
  <si>
    <t>635,129,278</t>
  </si>
  <si>
    <t>1,172,246,100</t>
  </si>
  <si>
    <t>826,055,276</t>
  </si>
  <si>
    <t>547,914,433</t>
  </si>
  <si>
    <t>108,098,398</t>
  </si>
  <si>
    <t>855,150,941</t>
  </si>
  <si>
    <t>416,289,135</t>
  </si>
  <si>
    <t>1,403,065,374</t>
  </si>
  <si>
    <t>524,387,533</t>
  </si>
  <si>
    <t>683,389,629</t>
  </si>
  <si>
    <t>119,309,320</t>
  </si>
  <si>
    <t>1,760,027,573</t>
  </si>
  <si>
    <t>881,831,504</t>
  </si>
  <si>
    <t>2,443,417,202</t>
  </si>
  <si>
    <t>1,001,140,824</t>
  </si>
  <si>
    <t>1,597,812,577</t>
  </si>
  <si>
    <t>641,677,560</t>
  </si>
  <si>
    <t>2,893,206,969</t>
  </si>
  <si>
    <t>1,917,298,110</t>
  </si>
  <si>
    <t>4,491,019,546</t>
  </si>
  <si>
    <t>2,558,975,670</t>
  </si>
  <si>
    <t>3,065,406,885</t>
  </si>
  <si>
    <t>1,878,894,510</t>
  </si>
  <si>
    <t>2,833,254,834</t>
  </si>
  <si>
    <t>1,505,133,787</t>
  </si>
  <si>
    <t>5,898,661,719</t>
  </si>
  <si>
    <t>3,384,028,297</t>
  </si>
  <si>
    <t>1,975,106,080</t>
  </si>
  <si>
    <t>1,455,664,900</t>
  </si>
  <si>
    <t>2,210,578,988</t>
  </si>
  <si>
    <t>1,668,202,205</t>
  </si>
  <si>
    <t>4,185,685,068</t>
  </si>
  <si>
    <t>3,123,867,105</t>
  </si>
  <si>
    <t>1,597,075,560</t>
  </si>
  <si>
    <t>1,242,161,430</t>
  </si>
  <si>
    <t>2,545,286,549</t>
  </si>
  <si>
    <t>2,152,356,749</t>
  </si>
  <si>
    <t>4,142,362,109</t>
  </si>
  <si>
    <t>3,394,518,179</t>
  </si>
  <si>
    <t>1,749,761,165</t>
  </si>
  <si>
    <t>1,447,175,620</t>
  </si>
  <si>
    <t>1,769,861,233</t>
  </si>
  <si>
    <t>1,442,306,823</t>
  </si>
  <si>
    <t>3,519,622,398</t>
  </si>
  <si>
    <t>2,889,482,443</t>
  </si>
  <si>
    <t>1,941,740,855</t>
  </si>
  <si>
    <t>1,723,007,110</t>
  </si>
  <si>
    <t>1,229,647,635</t>
  </si>
  <si>
    <t>1,026,022,135</t>
  </si>
  <si>
    <t>3,171,388,490</t>
  </si>
  <si>
    <t>2,749,029,245</t>
  </si>
  <si>
    <t>1,678,202,865</t>
  </si>
  <si>
    <t>1,543,009,760</t>
  </si>
  <si>
    <t>1,369,928,460</t>
  </si>
  <si>
    <t>1,195,976,915</t>
  </si>
  <si>
    <t>3,048,131,325</t>
  </si>
  <si>
    <t>2,738,986,675</t>
  </si>
  <si>
    <t>1,429,359,545</t>
  </si>
  <si>
    <t>1,263,797,020</t>
  </si>
  <si>
    <t>1,953,841,850</t>
  </si>
  <si>
    <t>1,738,076,020</t>
  </si>
  <si>
    <t>3,383,201,395</t>
  </si>
  <si>
    <t>3,001,873,040</t>
  </si>
  <si>
    <t>2,796,099,560</t>
  </si>
  <si>
    <t>2,789,766,150</t>
  </si>
  <si>
    <t>4,288,296,445</t>
  </si>
  <si>
    <t>4,278,764,105</t>
  </si>
  <si>
    <t>7,084,396,005</t>
  </si>
  <si>
    <t>7,068,530,255</t>
  </si>
  <si>
    <t>3,349,222,920</t>
  </si>
  <si>
    <t>3,336,763,200</t>
  </si>
  <si>
    <t>3,715,187,468</t>
  </si>
  <si>
    <t>3,704,372,468</t>
  </si>
  <si>
    <t>7,064,410,388</t>
  </si>
  <si>
    <t>7,041,135,668</t>
  </si>
  <si>
    <t>1,754,869,140</t>
  </si>
  <si>
    <t>1,737,722,930</t>
  </si>
  <si>
    <t>1,515,185,290</t>
  </si>
  <si>
    <t>1,489,492,350</t>
  </si>
  <si>
    <t>3,270,054,430</t>
  </si>
  <si>
    <t>3,227,215,280</t>
  </si>
  <si>
    <t>2,134,228,322</t>
  </si>
  <si>
    <t>2,109,925,662</t>
  </si>
  <si>
    <t>2,704,663,880</t>
  </si>
  <si>
    <t>2,660,491,940</t>
  </si>
  <si>
    <t>4,838,892,202</t>
  </si>
  <si>
    <t>4,770,417,602</t>
  </si>
  <si>
    <t>2,178,356,740</t>
  </si>
  <si>
    <t>2,135,101,450</t>
  </si>
  <si>
    <t>3,635,843,750</t>
  </si>
  <si>
    <t>3,549,171,970</t>
  </si>
  <si>
    <t>5,814,200,490</t>
  </si>
  <si>
    <t>5,684,273,420</t>
  </si>
  <si>
    <t>1,616,504,696</t>
  </si>
  <si>
    <t>1,572,923,300</t>
  </si>
  <si>
    <t>3,052,427,880</t>
  </si>
  <si>
    <t>2,949,493,220</t>
  </si>
  <si>
    <t>4,668,932,576</t>
  </si>
  <si>
    <t>4,522,416,520</t>
  </si>
  <si>
    <t>1,111,655,690</t>
  </si>
  <si>
    <t>1,072,424,036</t>
  </si>
  <si>
    <t>1,205,195,957</t>
  </si>
  <si>
    <t>978,192,747</t>
  </si>
  <si>
    <t>2,316,851,647</t>
  </si>
  <si>
    <t>2,050,616,783</t>
  </si>
  <si>
    <t>467,139,764</t>
  </si>
  <si>
    <t>377,601,390</t>
  </si>
  <si>
    <t>489,531,137</t>
  </si>
  <si>
    <t>50,577,050</t>
  </si>
  <si>
    <t>956,670,901</t>
  </si>
  <si>
    <t>428,178,440</t>
  </si>
  <si>
    <t>746,212,031</t>
  </si>
  <si>
    <t>665,061,650</t>
  </si>
  <si>
    <t>516,794,479</t>
  </si>
  <si>
    <t>238,789,800</t>
  </si>
  <si>
    <t>1,263,006,510</t>
  </si>
  <si>
    <t>903,851,450</t>
  </si>
  <si>
    <t>514,351,150</t>
  </si>
  <si>
    <t>466,691,010</t>
  </si>
  <si>
    <t>300,293,818</t>
  </si>
  <si>
    <t>100,768,170</t>
  </si>
  <si>
    <t>814,644,968</t>
  </si>
  <si>
    <t>567,459,180</t>
  </si>
  <si>
    <t>441,819,015</t>
  </si>
  <si>
    <t>316,587,090</t>
  </si>
  <si>
    <t>398,074,091</t>
  </si>
  <si>
    <t>98,185,750</t>
  </si>
  <si>
    <t>839,893,106</t>
  </si>
  <si>
    <t>414,772,840</t>
  </si>
  <si>
    <t>495,582,462</t>
  </si>
  <si>
    <t>389,006,220</t>
  </si>
  <si>
    <t>498,530,522</t>
  </si>
  <si>
    <t>199,489,910</t>
  </si>
  <si>
    <t>994,112,984</t>
  </si>
  <si>
    <t>588,496,130</t>
  </si>
  <si>
    <t>669,130,495</t>
  </si>
  <si>
    <t>473,300,670</t>
  </si>
  <si>
    <t>1,076,269,876</t>
  </si>
  <si>
    <t>534,274,010</t>
  </si>
  <si>
    <t>1,745,400,371</t>
  </si>
  <si>
    <t>1,007,574,680</t>
  </si>
  <si>
    <t>1,014,279,393</t>
  </si>
  <si>
    <t>933,544,860</t>
  </si>
  <si>
    <t>706,930,039</t>
  </si>
  <si>
    <t>256,209,920</t>
  </si>
  <si>
    <t>1,721,209,432</t>
  </si>
  <si>
    <t>1,189,754,780</t>
  </si>
  <si>
    <t>金先物オプション</t>
  </si>
  <si>
    <t>Options on Gold Futures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</si>
</sst>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0"/>
  </numFmts>
  <fonts count="11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8"/>
      <name val="ＭＳ ゴシック"/>
      <family val="3"/>
      <charset val="128"/>
    </font>
  </fonts>
  <fills count="5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hair">
        <color indexed="64"/>
      </left>
      <right style="thin">
        <color rgb="FF000000"/>
      </right>
      <top style="thin">
        <color rgb="FF000000"/>
      </top>
      <bottom/>
      <diagonal/>
    </border>
    <border>
      <left style="hair">
        <color indexed="64"/>
      </left>
      <right style="thin">
        <color rgb="FF000000"/>
      </right>
      <top/>
      <bottom/>
      <diagonal/>
    </border>
    <border>
      <left style="hair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981">
    <xf borderId="0" fillId="0" fontId="0" numFmtId="0"/>
    <xf applyAlignment="0" applyBorder="0" applyFill="0" applyFont="0" applyProtection="0" borderId="0" fillId="0" fontId="3" numFmtId="38"/>
    <xf applyAlignment="0" applyBorder="0" applyFill="0" borderId="0" fillId="0" fontId="6" numFmtId="176"/>
    <xf applyAlignment="0" applyNumberFormat="0" applyProtection="0" borderId="1" fillId="0" fontId="7" numFmtId="0">
      <alignment horizontal="left" vertical="center"/>
    </xf>
    <xf borderId="2" fillId="0" fontId="7" numFmtId="0">
      <alignment horizontal="left" vertical="center"/>
    </xf>
    <xf borderId="0" fillId="0" fontId="8" numFmtId="177"/>
    <xf borderId="0" fillId="0" fontId="9" numFmtId="0"/>
    <xf borderId="0" fillId="0" fontId="10" numFmtId="0"/>
    <xf applyBorder="0" applyFill="0" applyNumberFormat="0" applyProtection="0" borderId="3" fillId="2" fontId="11" numFmtId="49"/>
    <xf borderId="0" fillId="0" fontId="5" numFmtId="0">
      <alignment vertical="center"/>
    </xf>
    <xf borderId="0" fillId="0" fontId="12" numFmtId="0"/>
    <xf borderId="0" fillId="0" fontId="12" numFmtId="0">
      <alignment vertical="center"/>
    </xf>
    <xf borderId="0" fillId="0" fontId="14" numFmtId="178"/>
    <xf borderId="0" fillId="0" fontId="3" numFmtId="0"/>
    <xf borderId="0" fillId="0" fontId="3" numFmtId="0"/>
    <xf borderId="0" fillId="0" fontId="1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17" numFmtId="9"/>
    <xf borderId="0" fillId="0" fontId="18" numFmtId="0"/>
    <xf borderId="0" fillId="0" fontId="3" numFmtId="0"/>
    <xf applyAlignment="0" applyBorder="0" applyNumberFormat="0" applyProtection="0" borderId="0" fillId="3" fontId="6" numFmtId="0"/>
    <xf applyAlignment="0" applyBorder="0" applyNumberFormat="0" applyProtection="0" borderId="0" fillId="4" fontId="6" numFmtId="0"/>
    <xf applyAlignment="0" applyBorder="0" applyNumberFormat="0" applyProtection="0" borderId="0" fillId="5" fontId="6" numFmtId="0"/>
    <xf applyAlignment="0" applyBorder="0" applyNumberFormat="0" applyProtection="0" borderId="0" fillId="6" fontId="6" numFmtId="0"/>
    <xf applyAlignment="0" applyBorder="0" applyNumberFormat="0" applyProtection="0" borderId="0" fillId="7" fontId="6" numFmtId="0"/>
    <xf applyAlignment="0" applyBorder="0" applyNumberFormat="0" applyProtection="0" borderId="0" fillId="8" fontId="6" numFmtId="0"/>
    <xf applyAlignment="0" applyBorder="0" applyNumberFormat="0" applyProtection="0" borderId="0" fillId="3" fontId="19" numFmtId="0">
      <alignment vertical="center"/>
    </xf>
    <xf applyAlignment="0" applyBorder="0" applyNumberFormat="0" applyProtection="0" borderId="0" fillId="3" fontId="19" numFmtId="0">
      <alignment vertical="center"/>
    </xf>
    <xf applyAlignment="0" applyBorder="0" applyNumberFormat="0" applyProtection="0" borderId="0" fillId="3" fontId="19" numFmtId="0">
      <alignment vertical="center"/>
    </xf>
    <xf applyAlignment="0" applyBorder="0" applyNumberFormat="0" applyProtection="0" borderId="0" fillId="3" fontId="19" numFmtId="0">
      <alignment vertical="center"/>
    </xf>
    <xf applyAlignment="0" applyBorder="0" applyNumberFormat="0" applyProtection="0" borderId="0" fillId="3" fontId="19" numFmtId="0">
      <alignment vertical="center"/>
    </xf>
    <xf applyAlignment="0" applyBorder="0" applyNumberFormat="0" applyProtection="0" borderId="0" fillId="3" fontId="19" numFmtId="0">
      <alignment vertical="center"/>
    </xf>
    <xf applyAlignment="0" applyBorder="0" applyNumberFormat="0" applyProtection="0" borderId="0" fillId="3" fontId="19" numFmtId="0">
      <alignment vertical="center"/>
    </xf>
    <xf applyAlignment="0" applyBorder="0" applyNumberFormat="0" applyProtection="0" borderId="0" fillId="3" fontId="19" numFmtId="0">
      <alignment vertical="center"/>
    </xf>
    <xf applyAlignment="0" applyBorder="0" applyNumberFormat="0" applyProtection="0" borderId="0" fillId="4" fontId="19" numFmtId="0">
      <alignment vertical="center"/>
    </xf>
    <xf applyAlignment="0" applyBorder="0" applyNumberFormat="0" applyProtection="0" borderId="0" fillId="4" fontId="19" numFmtId="0">
      <alignment vertical="center"/>
    </xf>
    <xf applyAlignment="0" applyBorder="0" applyNumberFormat="0" applyProtection="0" borderId="0" fillId="4" fontId="19" numFmtId="0">
      <alignment vertical="center"/>
    </xf>
    <xf applyAlignment="0" applyBorder="0" applyNumberFormat="0" applyProtection="0" borderId="0" fillId="4" fontId="19" numFmtId="0">
      <alignment vertical="center"/>
    </xf>
    <xf applyAlignment="0" applyBorder="0" applyNumberFormat="0" applyProtection="0" borderId="0" fillId="4" fontId="19" numFmtId="0">
      <alignment vertical="center"/>
    </xf>
    <xf applyAlignment="0" applyBorder="0" applyNumberFormat="0" applyProtection="0" borderId="0" fillId="4" fontId="19" numFmtId="0">
      <alignment vertical="center"/>
    </xf>
    <xf applyAlignment="0" applyBorder="0" applyNumberFormat="0" applyProtection="0" borderId="0" fillId="4" fontId="19" numFmtId="0">
      <alignment vertical="center"/>
    </xf>
    <xf applyAlignment="0" applyBorder="0" applyNumberFormat="0" applyProtection="0" borderId="0" fillId="4" fontId="19" numFmtId="0">
      <alignment vertical="center"/>
    </xf>
    <xf applyAlignment="0" applyBorder="0" applyNumberFormat="0" applyProtection="0" borderId="0" fillId="5" fontId="19" numFmtId="0">
      <alignment vertical="center"/>
    </xf>
    <xf applyAlignment="0" applyBorder="0" applyNumberFormat="0" applyProtection="0" borderId="0" fillId="5" fontId="19" numFmtId="0">
      <alignment vertical="center"/>
    </xf>
    <xf applyAlignment="0" applyBorder="0" applyNumberFormat="0" applyProtection="0" borderId="0" fillId="5" fontId="19" numFmtId="0">
      <alignment vertical="center"/>
    </xf>
    <xf applyAlignment="0" applyBorder="0" applyNumberFormat="0" applyProtection="0" borderId="0" fillId="5" fontId="19" numFmtId="0">
      <alignment vertical="center"/>
    </xf>
    <xf applyAlignment="0" applyBorder="0" applyNumberFormat="0" applyProtection="0" borderId="0" fillId="5" fontId="19" numFmtId="0">
      <alignment vertical="center"/>
    </xf>
    <xf applyAlignment="0" applyBorder="0" applyNumberFormat="0" applyProtection="0" borderId="0" fillId="5" fontId="19" numFmtId="0">
      <alignment vertical="center"/>
    </xf>
    <xf applyAlignment="0" applyBorder="0" applyNumberFormat="0" applyProtection="0" borderId="0" fillId="5" fontId="19" numFmtId="0">
      <alignment vertical="center"/>
    </xf>
    <xf applyAlignment="0" applyBorder="0" applyNumberFormat="0" applyProtection="0" borderId="0" fillId="5" fontId="19" numFmtId="0">
      <alignment vertical="center"/>
    </xf>
    <xf applyAlignment="0" applyBorder="0" applyNumberFormat="0" applyProtection="0" borderId="0" fillId="6" fontId="19" numFmtId="0">
      <alignment vertical="center"/>
    </xf>
    <xf applyAlignment="0" applyBorder="0" applyNumberFormat="0" applyProtection="0" borderId="0" fillId="6" fontId="19" numFmtId="0">
      <alignment vertical="center"/>
    </xf>
    <xf applyAlignment="0" applyBorder="0" applyNumberFormat="0" applyProtection="0" borderId="0" fillId="6" fontId="19" numFmtId="0">
      <alignment vertical="center"/>
    </xf>
    <xf applyAlignment="0" applyBorder="0" applyNumberFormat="0" applyProtection="0" borderId="0" fillId="6" fontId="19" numFmtId="0">
      <alignment vertical="center"/>
    </xf>
    <xf applyAlignment="0" applyBorder="0" applyNumberFormat="0" applyProtection="0" borderId="0" fillId="6" fontId="19" numFmtId="0">
      <alignment vertical="center"/>
    </xf>
    <xf applyAlignment="0" applyBorder="0" applyNumberFormat="0" applyProtection="0" borderId="0" fillId="6" fontId="19" numFmtId="0">
      <alignment vertical="center"/>
    </xf>
    <xf applyAlignment="0" applyBorder="0" applyNumberFormat="0" applyProtection="0" borderId="0" fillId="6" fontId="19" numFmtId="0">
      <alignment vertical="center"/>
    </xf>
    <xf applyAlignment="0" applyBorder="0" applyNumberFormat="0" applyProtection="0" borderId="0" fillId="6" fontId="19" numFmtId="0">
      <alignment vertical="center"/>
    </xf>
    <xf applyAlignment="0" applyBorder="0" applyNumberFormat="0" applyProtection="0" borderId="0" fillId="7" fontId="19" numFmtId="0">
      <alignment vertical="center"/>
    </xf>
    <xf applyAlignment="0" applyBorder="0" applyNumberFormat="0" applyProtection="0" borderId="0" fillId="7" fontId="19" numFmtId="0">
      <alignment vertical="center"/>
    </xf>
    <xf applyAlignment="0" applyBorder="0" applyNumberFormat="0" applyProtection="0" borderId="0" fillId="7" fontId="19" numFmtId="0">
      <alignment vertical="center"/>
    </xf>
    <xf applyAlignment="0" applyBorder="0" applyNumberFormat="0" applyProtection="0" borderId="0" fillId="7" fontId="19" numFmtId="0">
      <alignment vertical="center"/>
    </xf>
    <xf applyAlignment="0" applyBorder="0" applyNumberFormat="0" applyProtection="0" borderId="0" fillId="7" fontId="19" numFmtId="0">
      <alignment vertical="center"/>
    </xf>
    <xf applyAlignment="0" applyBorder="0" applyNumberFormat="0" applyProtection="0" borderId="0" fillId="7" fontId="19" numFmtId="0">
      <alignment vertical="center"/>
    </xf>
    <xf applyAlignment="0" applyBorder="0" applyNumberFormat="0" applyProtection="0" borderId="0" fillId="7" fontId="19" numFmtId="0">
      <alignment vertical="center"/>
    </xf>
    <xf applyAlignment="0" applyBorder="0" applyNumberFormat="0" applyProtection="0" borderId="0" fillId="7" fontId="19" numFmtId="0">
      <alignment vertical="center"/>
    </xf>
    <xf applyAlignment="0" applyBorder="0" applyNumberFormat="0" applyProtection="0" borderId="0" fillId="8" fontId="19" numFmtId="0">
      <alignment vertical="center"/>
    </xf>
    <xf applyAlignment="0" applyBorder="0" applyNumberFormat="0" applyProtection="0" borderId="0" fillId="8" fontId="19" numFmtId="0">
      <alignment vertical="center"/>
    </xf>
    <xf applyAlignment="0" applyBorder="0" applyNumberFormat="0" applyProtection="0" borderId="0" fillId="8" fontId="19" numFmtId="0">
      <alignment vertical="center"/>
    </xf>
    <xf applyAlignment="0" applyBorder="0" applyNumberFormat="0" applyProtection="0" borderId="0" fillId="8" fontId="19" numFmtId="0">
      <alignment vertical="center"/>
    </xf>
    <xf applyAlignment="0" applyBorder="0" applyNumberFormat="0" applyProtection="0" borderId="0" fillId="8" fontId="19" numFmtId="0">
      <alignment vertical="center"/>
    </xf>
    <xf applyAlignment="0" applyBorder="0" applyNumberFormat="0" applyProtection="0" borderId="0" fillId="8" fontId="19" numFmtId="0">
      <alignment vertical="center"/>
    </xf>
    <xf applyAlignment="0" applyBorder="0" applyNumberFormat="0" applyProtection="0" borderId="0" fillId="8" fontId="19" numFmtId="0">
      <alignment vertical="center"/>
    </xf>
    <xf applyAlignment="0" applyBorder="0" applyNumberFormat="0" applyProtection="0" borderId="0" fillId="8" fontId="19" numFmtId="0">
      <alignment vertical="center"/>
    </xf>
    <xf applyAlignment="0" applyBorder="0" applyNumberFormat="0" applyProtection="0" borderId="0" fillId="9" fontId="6" numFmtId="0"/>
    <xf applyAlignment="0" applyBorder="0" applyNumberFormat="0" applyProtection="0" borderId="0" fillId="10" fontId="6" numFmtId="0"/>
    <xf applyAlignment="0" applyBorder="0" applyNumberFormat="0" applyProtection="0" borderId="0" fillId="11" fontId="6" numFmtId="0"/>
    <xf applyAlignment="0" applyBorder="0" applyNumberFormat="0" applyProtection="0" borderId="0" fillId="6" fontId="6" numFmtId="0"/>
    <xf applyAlignment="0" applyBorder="0" applyNumberFormat="0" applyProtection="0" borderId="0" fillId="9" fontId="6" numFmtId="0"/>
    <xf applyAlignment="0" applyBorder="0" applyNumberFormat="0" applyProtection="0" borderId="0" fillId="12" fontId="6" numFmtId="0"/>
    <xf applyAlignment="0" applyBorder="0" applyNumberFormat="0" applyProtection="0" borderId="0" fillId="9" fontId="19" numFmtId="0">
      <alignment vertical="center"/>
    </xf>
    <xf applyAlignment="0" applyBorder="0" applyNumberFormat="0" applyProtection="0" borderId="0" fillId="9" fontId="19" numFmtId="0">
      <alignment vertical="center"/>
    </xf>
    <xf applyAlignment="0" applyBorder="0" applyNumberFormat="0" applyProtection="0" borderId="0" fillId="9" fontId="19" numFmtId="0">
      <alignment vertical="center"/>
    </xf>
    <xf applyAlignment="0" applyBorder="0" applyNumberFormat="0" applyProtection="0" borderId="0" fillId="9" fontId="19" numFmtId="0">
      <alignment vertical="center"/>
    </xf>
    <xf applyAlignment="0" applyBorder="0" applyNumberFormat="0" applyProtection="0" borderId="0" fillId="9" fontId="19" numFmtId="0">
      <alignment vertical="center"/>
    </xf>
    <xf applyAlignment="0" applyBorder="0" applyNumberFormat="0" applyProtection="0" borderId="0" fillId="9" fontId="19" numFmtId="0">
      <alignment vertical="center"/>
    </xf>
    <xf applyAlignment="0" applyBorder="0" applyNumberFormat="0" applyProtection="0" borderId="0" fillId="9" fontId="19" numFmtId="0">
      <alignment vertical="center"/>
    </xf>
    <xf applyAlignment="0" applyBorder="0" applyNumberFormat="0" applyProtection="0" borderId="0" fillId="9" fontId="19" numFmtId="0">
      <alignment vertical="center"/>
    </xf>
    <xf applyAlignment="0" applyBorder="0" applyNumberFormat="0" applyProtection="0" borderId="0" fillId="10" fontId="19" numFmtId="0">
      <alignment vertical="center"/>
    </xf>
    <xf applyAlignment="0" applyBorder="0" applyNumberFormat="0" applyProtection="0" borderId="0" fillId="10" fontId="19" numFmtId="0">
      <alignment vertical="center"/>
    </xf>
    <xf applyAlignment="0" applyBorder="0" applyNumberFormat="0" applyProtection="0" borderId="0" fillId="10" fontId="19" numFmtId="0">
      <alignment vertical="center"/>
    </xf>
    <xf applyAlignment="0" applyBorder="0" applyNumberFormat="0" applyProtection="0" borderId="0" fillId="10" fontId="19" numFmtId="0">
      <alignment vertical="center"/>
    </xf>
    <xf applyAlignment="0" applyBorder="0" applyNumberFormat="0" applyProtection="0" borderId="0" fillId="10" fontId="19" numFmtId="0">
      <alignment vertical="center"/>
    </xf>
    <xf applyAlignment="0" applyBorder="0" applyNumberFormat="0" applyProtection="0" borderId="0" fillId="10" fontId="19" numFmtId="0">
      <alignment vertical="center"/>
    </xf>
    <xf applyAlignment="0" applyBorder="0" applyNumberFormat="0" applyProtection="0" borderId="0" fillId="10" fontId="19" numFmtId="0">
      <alignment vertical="center"/>
    </xf>
    <xf applyAlignment="0" applyBorder="0" applyNumberFormat="0" applyProtection="0" borderId="0" fillId="10" fontId="19" numFmtId="0">
      <alignment vertical="center"/>
    </xf>
    <xf applyAlignment="0" applyBorder="0" applyNumberFormat="0" applyProtection="0" borderId="0" fillId="11" fontId="19" numFmtId="0">
      <alignment vertical="center"/>
    </xf>
    <xf applyAlignment="0" applyBorder="0" applyNumberFormat="0" applyProtection="0" borderId="0" fillId="11" fontId="19" numFmtId="0">
      <alignment vertical="center"/>
    </xf>
    <xf applyAlignment="0" applyBorder="0" applyNumberFormat="0" applyProtection="0" borderId="0" fillId="11" fontId="19" numFmtId="0">
      <alignment vertical="center"/>
    </xf>
    <xf applyAlignment="0" applyBorder="0" applyNumberFormat="0" applyProtection="0" borderId="0" fillId="11" fontId="19" numFmtId="0">
      <alignment vertical="center"/>
    </xf>
    <xf applyAlignment="0" applyBorder="0" applyNumberFormat="0" applyProtection="0" borderId="0" fillId="11" fontId="19" numFmtId="0">
      <alignment vertical="center"/>
    </xf>
    <xf applyAlignment="0" applyBorder="0" applyNumberFormat="0" applyProtection="0" borderId="0" fillId="11" fontId="19" numFmtId="0">
      <alignment vertical="center"/>
    </xf>
    <xf applyAlignment="0" applyBorder="0" applyNumberFormat="0" applyProtection="0" borderId="0" fillId="11" fontId="19" numFmtId="0">
      <alignment vertical="center"/>
    </xf>
    <xf applyAlignment="0" applyBorder="0" applyNumberFormat="0" applyProtection="0" borderId="0" fillId="11" fontId="19" numFmtId="0">
      <alignment vertical="center"/>
    </xf>
    <xf applyAlignment="0" applyBorder="0" applyNumberFormat="0" applyProtection="0" borderId="0" fillId="6" fontId="19" numFmtId="0">
      <alignment vertical="center"/>
    </xf>
    <xf applyAlignment="0" applyBorder="0" applyNumberFormat="0" applyProtection="0" borderId="0" fillId="6" fontId="19" numFmtId="0">
      <alignment vertical="center"/>
    </xf>
    <xf applyAlignment="0" applyBorder="0" applyNumberFormat="0" applyProtection="0" borderId="0" fillId="6" fontId="19" numFmtId="0">
      <alignment vertical="center"/>
    </xf>
    <xf applyAlignment="0" applyBorder="0" applyNumberFormat="0" applyProtection="0" borderId="0" fillId="6" fontId="19" numFmtId="0">
      <alignment vertical="center"/>
    </xf>
    <xf applyAlignment="0" applyBorder="0" applyNumberFormat="0" applyProtection="0" borderId="0" fillId="6" fontId="19" numFmtId="0">
      <alignment vertical="center"/>
    </xf>
    <xf applyAlignment="0" applyBorder="0" applyNumberFormat="0" applyProtection="0" borderId="0" fillId="6" fontId="19" numFmtId="0">
      <alignment vertical="center"/>
    </xf>
    <xf applyAlignment="0" applyBorder="0" applyNumberFormat="0" applyProtection="0" borderId="0" fillId="6" fontId="19" numFmtId="0">
      <alignment vertical="center"/>
    </xf>
    <xf applyAlignment="0" applyBorder="0" applyNumberFormat="0" applyProtection="0" borderId="0" fillId="6" fontId="19" numFmtId="0">
      <alignment vertical="center"/>
    </xf>
    <xf applyAlignment="0" applyBorder="0" applyNumberFormat="0" applyProtection="0" borderId="0" fillId="9" fontId="19" numFmtId="0">
      <alignment vertical="center"/>
    </xf>
    <xf applyAlignment="0" applyBorder="0" applyNumberFormat="0" applyProtection="0" borderId="0" fillId="9" fontId="19" numFmtId="0">
      <alignment vertical="center"/>
    </xf>
    <xf applyAlignment="0" applyBorder="0" applyNumberFormat="0" applyProtection="0" borderId="0" fillId="9" fontId="19" numFmtId="0">
      <alignment vertical="center"/>
    </xf>
    <xf applyAlignment="0" applyBorder="0" applyNumberFormat="0" applyProtection="0" borderId="0" fillId="9" fontId="19" numFmtId="0">
      <alignment vertical="center"/>
    </xf>
    <xf applyAlignment="0" applyBorder="0" applyNumberFormat="0" applyProtection="0" borderId="0" fillId="9" fontId="19" numFmtId="0">
      <alignment vertical="center"/>
    </xf>
    <xf applyAlignment="0" applyBorder="0" applyNumberFormat="0" applyProtection="0" borderId="0" fillId="9" fontId="19" numFmtId="0">
      <alignment vertical="center"/>
    </xf>
    <xf applyAlignment="0" applyBorder="0" applyNumberFormat="0" applyProtection="0" borderId="0" fillId="9" fontId="19" numFmtId="0">
      <alignment vertical="center"/>
    </xf>
    <xf applyAlignment="0" applyBorder="0" applyNumberFormat="0" applyProtection="0" borderId="0" fillId="9" fontId="19" numFmtId="0">
      <alignment vertical="center"/>
    </xf>
    <xf applyAlignment="0" applyBorder="0" applyNumberFormat="0" applyProtection="0" borderId="0" fillId="12" fontId="19" numFmtId="0">
      <alignment vertical="center"/>
    </xf>
    <xf applyAlignment="0" applyBorder="0" applyNumberFormat="0" applyProtection="0" borderId="0" fillId="12" fontId="19" numFmtId="0">
      <alignment vertical="center"/>
    </xf>
    <xf applyAlignment="0" applyBorder="0" applyNumberFormat="0" applyProtection="0" borderId="0" fillId="12" fontId="19" numFmtId="0">
      <alignment vertical="center"/>
    </xf>
    <xf applyAlignment="0" applyBorder="0" applyNumberFormat="0" applyProtection="0" borderId="0" fillId="12" fontId="19" numFmtId="0">
      <alignment vertical="center"/>
    </xf>
    <xf applyAlignment="0" applyBorder="0" applyNumberFormat="0" applyProtection="0" borderId="0" fillId="12" fontId="19" numFmtId="0">
      <alignment vertical="center"/>
    </xf>
    <xf applyAlignment="0" applyBorder="0" applyNumberFormat="0" applyProtection="0" borderId="0" fillId="12" fontId="19" numFmtId="0">
      <alignment vertical="center"/>
    </xf>
    <xf applyAlignment="0" applyBorder="0" applyNumberFormat="0" applyProtection="0" borderId="0" fillId="12" fontId="19" numFmtId="0">
      <alignment vertical="center"/>
    </xf>
    <xf applyAlignment="0" applyBorder="0" applyNumberFormat="0" applyProtection="0" borderId="0" fillId="12" fontId="19" numFmtId="0">
      <alignment vertical="center"/>
    </xf>
    <xf applyAlignment="0" applyBorder="0" applyNumberFormat="0" applyProtection="0" borderId="0" fillId="13" fontId="20" numFmtId="0"/>
    <xf applyAlignment="0" applyBorder="0" applyNumberFormat="0" applyProtection="0" borderId="0" fillId="10" fontId="20" numFmtId="0"/>
    <xf applyAlignment="0" applyBorder="0" applyNumberFormat="0" applyProtection="0" borderId="0" fillId="11" fontId="20" numFmtId="0"/>
    <xf applyAlignment="0" applyBorder="0" applyNumberFormat="0" applyProtection="0" borderId="0" fillId="14" fontId="20" numFmtId="0"/>
    <xf applyAlignment="0" applyBorder="0" applyNumberFormat="0" applyProtection="0" borderId="0" fillId="15" fontId="20" numFmtId="0"/>
    <xf applyAlignment="0" applyBorder="0" applyNumberFormat="0" applyProtection="0" borderId="0" fillId="16" fontId="20" numFmtId="0"/>
    <xf applyAlignment="0" applyBorder="0" applyNumberFormat="0" applyProtection="0" borderId="0" fillId="13" fontId="21" numFmtId="0">
      <alignment vertical="center"/>
    </xf>
    <xf applyAlignment="0" applyBorder="0" applyNumberFormat="0" applyProtection="0" borderId="0" fillId="13" fontId="21" numFmtId="0">
      <alignment vertical="center"/>
    </xf>
    <xf applyAlignment="0" applyBorder="0" applyNumberFormat="0" applyProtection="0" borderId="0" fillId="13" fontId="21" numFmtId="0">
      <alignment vertical="center"/>
    </xf>
    <xf applyAlignment="0" applyBorder="0" applyNumberFormat="0" applyProtection="0" borderId="0" fillId="13" fontId="21" numFmtId="0">
      <alignment vertical="center"/>
    </xf>
    <xf applyAlignment="0" applyBorder="0" applyNumberFormat="0" applyProtection="0" borderId="0" fillId="13" fontId="21" numFmtId="0">
      <alignment vertical="center"/>
    </xf>
    <xf applyAlignment="0" applyBorder="0" applyNumberFormat="0" applyProtection="0" borderId="0" fillId="13" fontId="21" numFmtId="0">
      <alignment vertical="center"/>
    </xf>
    <xf applyAlignment="0" applyBorder="0" applyNumberFormat="0" applyProtection="0" borderId="0" fillId="13" fontId="21" numFmtId="0">
      <alignment vertical="center"/>
    </xf>
    <xf applyAlignment="0" applyBorder="0" applyNumberFormat="0" applyProtection="0" borderId="0" fillId="13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4" fontId="21" numFmtId="0">
      <alignment vertical="center"/>
    </xf>
    <xf applyAlignment="0" applyBorder="0" applyNumberFormat="0" applyProtection="0" borderId="0" fillId="14" fontId="21" numFmtId="0">
      <alignment vertical="center"/>
    </xf>
    <xf applyAlignment="0" applyBorder="0" applyNumberFormat="0" applyProtection="0" borderId="0" fillId="14" fontId="21" numFmtId="0">
      <alignment vertical="center"/>
    </xf>
    <xf applyAlignment="0" applyBorder="0" applyNumberFormat="0" applyProtection="0" borderId="0" fillId="14" fontId="21" numFmtId="0">
      <alignment vertical="center"/>
    </xf>
    <xf applyAlignment="0" applyBorder="0" applyNumberFormat="0" applyProtection="0" borderId="0" fillId="14" fontId="21" numFmtId="0">
      <alignment vertical="center"/>
    </xf>
    <xf applyAlignment="0" applyBorder="0" applyNumberFormat="0" applyProtection="0" borderId="0" fillId="14" fontId="21" numFmtId="0">
      <alignment vertical="center"/>
    </xf>
    <xf applyAlignment="0" applyBorder="0" applyNumberFormat="0" applyProtection="0" borderId="0" fillId="14" fontId="21" numFmtId="0">
      <alignment vertical="center"/>
    </xf>
    <xf applyAlignment="0" applyBorder="0" applyNumberFormat="0" applyProtection="0" borderId="0" fillId="14" fontId="21" numFmtId="0">
      <alignment vertical="center"/>
    </xf>
    <xf applyAlignment="0" applyBorder="0" applyNumberFormat="0" applyProtection="0" borderId="0" fillId="15" fontId="21" numFmtId="0">
      <alignment vertical="center"/>
    </xf>
    <xf applyAlignment="0" applyBorder="0" applyNumberFormat="0" applyProtection="0" borderId="0" fillId="15" fontId="21" numFmtId="0">
      <alignment vertical="center"/>
    </xf>
    <xf applyAlignment="0" applyBorder="0" applyNumberFormat="0" applyProtection="0" borderId="0" fillId="15" fontId="21" numFmtId="0">
      <alignment vertical="center"/>
    </xf>
    <xf applyAlignment="0" applyBorder="0" applyNumberFormat="0" applyProtection="0" borderId="0" fillId="15" fontId="21" numFmtId="0">
      <alignment vertical="center"/>
    </xf>
    <xf applyAlignment="0" applyBorder="0" applyNumberFormat="0" applyProtection="0" borderId="0" fillId="15" fontId="21" numFmtId="0">
      <alignment vertical="center"/>
    </xf>
    <xf applyAlignment="0" applyBorder="0" applyNumberFormat="0" applyProtection="0" borderId="0" fillId="15" fontId="21" numFmtId="0">
      <alignment vertical="center"/>
    </xf>
    <xf applyAlignment="0" applyBorder="0" applyNumberFormat="0" applyProtection="0" borderId="0" fillId="15" fontId="21" numFmtId="0">
      <alignment vertical="center"/>
    </xf>
    <xf applyAlignment="0" applyBorder="0" applyNumberFormat="0" applyProtection="0" borderId="0" fillId="15" fontId="21" numFmtId="0">
      <alignment vertical="center"/>
    </xf>
    <xf applyAlignment="0" applyBorder="0" applyNumberFormat="0" applyProtection="0" borderId="0" fillId="16" fontId="21" numFmtId="0">
      <alignment vertical="center"/>
    </xf>
    <xf applyAlignment="0" applyBorder="0" applyNumberFormat="0" applyProtection="0" borderId="0" fillId="16" fontId="21" numFmtId="0">
      <alignment vertical="center"/>
    </xf>
    <xf applyAlignment="0" applyBorder="0" applyNumberFormat="0" applyProtection="0" borderId="0" fillId="16" fontId="21" numFmtId="0">
      <alignment vertical="center"/>
    </xf>
    <xf applyAlignment="0" applyBorder="0" applyNumberFormat="0" applyProtection="0" borderId="0" fillId="16" fontId="21" numFmtId="0">
      <alignment vertical="center"/>
    </xf>
    <xf applyAlignment="0" applyBorder="0" applyNumberFormat="0" applyProtection="0" borderId="0" fillId="16" fontId="21" numFmtId="0">
      <alignment vertical="center"/>
    </xf>
    <xf applyAlignment="0" applyBorder="0" applyNumberFormat="0" applyProtection="0" borderId="0" fillId="16" fontId="21" numFmtId="0">
      <alignment vertical="center"/>
    </xf>
    <xf applyAlignment="0" applyBorder="0" applyNumberFormat="0" applyProtection="0" borderId="0" fillId="16" fontId="21" numFmtId="0">
      <alignment vertical="center"/>
    </xf>
    <xf applyAlignment="0" applyBorder="0" applyNumberFormat="0" applyProtection="0" borderId="0" fillId="16" fontId="21" numFmtId="0">
      <alignment vertical="center"/>
    </xf>
    <xf applyAlignment="0" applyBorder="0" applyNumberFormat="0" applyProtection="0" borderId="0" fillId="17" fontId="20" numFmtId="0"/>
    <xf applyAlignment="0" applyBorder="0" applyNumberFormat="0" applyProtection="0" borderId="0" fillId="18" fontId="20" numFmtId="0"/>
    <xf applyAlignment="0" applyBorder="0" applyNumberFormat="0" applyProtection="0" borderId="0" fillId="19" fontId="20" numFmtId="0"/>
    <xf applyAlignment="0" applyBorder="0" applyNumberFormat="0" applyProtection="0" borderId="0" fillId="14" fontId="20" numFmtId="0"/>
    <xf applyAlignment="0" applyBorder="0" applyNumberFormat="0" applyProtection="0" borderId="0" fillId="15" fontId="20" numFmtId="0"/>
    <xf applyAlignment="0" applyBorder="0" applyNumberFormat="0" applyProtection="0" borderId="0" fillId="20" fontId="20" numFmtId="0"/>
    <xf borderId="0" fillId="0" fontId="22" numFmtId="0">
      <alignment horizontal="center" wrapText="1"/>
      <protection locked="0"/>
    </xf>
    <xf borderId="0" fillId="0" fontId="23" numFmtId="0"/>
    <xf applyAlignment="0" applyBorder="0" applyNumberFormat="0" applyProtection="0" borderId="0" fillId="4" fontId="24" numFmtId="0"/>
    <xf applyAlignment="0" applyBorder="0" applyFill="0" applyNumberFormat="0" applyProtection="0" borderId="0" fillId="0" fontId="25" numFmtId="0"/>
    <xf applyAlignment="0" applyBorder="0" applyFill="0" borderId="0" fillId="0" fontId="5" numFmtId="179"/>
    <xf applyAlignment="0" applyNumberFormat="0" applyProtection="0" borderId="5" fillId="21" fontId="26" numFmtId="0"/>
    <xf applyAlignment="0" applyNumberFormat="0" applyProtection="0" borderId="5" fillId="21" fontId="26" numFmtId="0"/>
    <xf applyAlignment="0" applyNumberFormat="0" applyProtection="0" borderId="5" fillId="21" fontId="26" numFmtId="0"/>
    <xf applyAlignment="0" applyNumberFormat="0" applyProtection="0" borderId="5" fillId="21" fontId="26" numFmtId="0"/>
    <xf applyAlignment="0" applyNumberFormat="0" applyProtection="0" borderId="5" fillId="21" fontId="26" numFmtId="0"/>
    <xf applyAlignment="0" applyNumberFormat="0" applyProtection="0" borderId="5" fillId="21" fontId="26" numFmtId="0"/>
    <xf applyAlignment="0" applyNumberFormat="0" applyProtection="0" borderId="5" fillId="21" fontId="26" numFmtId="0"/>
    <xf applyAlignment="0" applyNumberFormat="0" applyProtection="0" borderId="5" fillId="21" fontId="26" numFmtId="0"/>
    <xf applyAlignment="0" applyNumberFormat="0" applyProtection="0" borderId="5" fillId="21" fontId="26" numFmtId="0"/>
    <xf applyAlignment="0" applyNumberFormat="0" applyProtection="0" borderId="5" fillId="21" fontId="26" numFmtId="0"/>
    <xf applyAlignment="0" applyNumberFormat="0" applyProtection="0" borderId="5" fillId="21" fontId="26" numFmtId="0"/>
    <xf applyAlignment="0" applyNumberFormat="0" applyProtection="0" borderId="5" fillId="21" fontId="26" numFmtId="0"/>
    <xf applyAlignment="0" applyNumberFormat="0" applyProtection="0" borderId="5" fillId="21" fontId="26" numFmtId="0"/>
    <xf applyAlignment="0" applyNumberFormat="0" applyProtection="0" borderId="5" fillId="21" fontId="26" numFmtId="0"/>
    <xf applyAlignment="0" applyNumberFormat="0" applyProtection="0" borderId="5" fillId="21" fontId="26" numFmtId="0"/>
    <xf applyAlignment="0" applyNumberFormat="0" applyProtection="0" borderId="5" fillId="21" fontId="26" numFmtId="0"/>
    <xf applyAlignment="0" applyNumberFormat="0" applyProtection="0" borderId="6" fillId="22" fontId="27" numFmtId="0"/>
    <xf borderId="0" fillId="0" fontId="28" numFmtId="0">
      <alignment vertical="top" wrapText="1"/>
    </xf>
    <xf applyAlignment="0" applyBorder="0" applyFill="0" applyFont="0" applyProtection="0" borderId="0" fillId="0" fontId="9" numFmtId="41"/>
    <xf applyAlignment="0" applyBorder="0" applyFill="0" applyFont="0" applyProtection="0" borderId="0" fillId="0" fontId="9" numFmtId="43"/>
    <xf applyAlignment="0" applyBorder="0" applyFill="0" applyFont="0" applyProtection="0" borderId="0" fillId="0" fontId="9" numFmtId="180"/>
    <xf applyAlignment="0" applyBorder="0" applyFill="0" applyFont="0" applyProtection="0" borderId="0" fillId="0" fontId="9" numFmtId="181"/>
    <xf borderId="0" fillId="0" fontId="29" numFmtId="0">
      <alignment horizontal="left"/>
    </xf>
    <xf applyAlignment="0" applyBorder="0" applyFill="0" applyNumberFormat="0" applyProtection="0" borderId="0" fillId="0" fontId="30" numFmtId="0"/>
    <xf applyAlignment="0" applyBorder="0" applyNumberFormat="0" applyProtection="0" borderId="0" fillId="5" fontId="31" numFmtId="0"/>
    <xf applyAlignment="0" applyBorder="0" applyNumberFormat="0" applyProtection="0" borderId="0" fillId="23" fontId="32" numFmtId="38"/>
    <xf borderId="0" fillId="24" fontId="33" numFmtId="0"/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applyAlignment="0" applyFill="0" applyNumberFormat="0" applyProtection="0" borderId="7" fillId="0" fontId="34" numFmtId="0"/>
    <xf applyAlignment="0" applyFill="0" applyNumberFormat="0" applyProtection="0" borderId="8" fillId="0" fontId="35" numFmtId="0"/>
    <xf applyAlignment="0" applyFill="0" applyNumberFormat="0" applyProtection="0" borderId="9" fillId="0" fontId="36" numFmtId="0"/>
    <xf applyAlignment="0" applyBorder="0" applyFill="0" applyNumberFormat="0" applyProtection="0" borderId="0" fillId="0" fontId="36" numFmtId="0"/>
    <xf applyBorder="0" borderId="0" fillId="0" fontId="5" numFmtId="0"/>
    <xf applyAlignment="0" applyNumberFormat="0" applyProtection="0" borderId="5" fillId="8" fontId="37" numFmtId="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borderId="0" fillId="0" fontId="5" numFmtId="0"/>
    <xf applyAlignment="0" applyFill="0" applyNumberFormat="0" applyProtection="0" borderId="10" fillId="0" fontId="38" numFmtId="0"/>
    <xf applyAlignment="0" applyBorder="0" applyFill="0" applyFont="0" applyProtection="0" borderId="0" fillId="0" fontId="39" numFmtId="38"/>
    <xf applyAlignment="0" applyBorder="0" applyFill="0" applyFont="0" applyProtection="0" borderId="0" fillId="0" fontId="39" numFmtId="40"/>
    <xf applyAlignment="0" applyBorder="0" applyFill="0" applyFont="0" applyProtection="0" borderId="0" fillId="0" fontId="39" numFmtId="182"/>
    <xf applyAlignment="0" applyBorder="0" applyFill="0" applyFont="0" applyProtection="0" borderId="0" fillId="0" fontId="39" numFmtId="183"/>
    <xf applyAlignment="0" applyBorder="0" applyNumberFormat="0" applyProtection="0" borderId="0" fillId="26" fontId="40" numFmtId="0"/>
    <xf borderId="0" fillId="0" fontId="41" numFmtId="37"/>
    <xf borderId="0" fillId="0" fontId="5" numFmtId="184"/>
    <xf borderId="0" fillId="0" fontId="5" numFmtId="184"/>
    <xf borderId="0" fillId="0" fontId="8" numFmtId="177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NumberFormat="0" applyProtection="0" borderId="12" fillId="21" fontId="42" numFmtId="0"/>
    <xf applyAlignment="0" applyNumberFormat="0" applyProtection="0" borderId="12" fillId="21" fontId="42" numFmtId="0"/>
    <xf applyAlignment="0" applyNumberFormat="0" applyProtection="0" borderId="12" fillId="21" fontId="42" numFmtId="0"/>
    <xf applyAlignment="0" applyNumberFormat="0" applyProtection="0" borderId="12" fillId="21" fontId="42" numFmtId="0"/>
    <xf applyAlignment="0" applyNumberFormat="0" applyProtection="0" borderId="12" fillId="21" fontId="42" numFmtId="0"/>
    <xf applyAlignment="0" applyNumberFormat="0" applyProtection="0" borderId="12" fillId="21" fontId="42" numFmtId="0"/>
    <xf applyAlignment="0" applyNumberFormat="0" applyProtection="0" borderId="12" fillId="21" fontId="42" numFmtId="0"/>
    <xf applyAlignment="0" applyNumberFormat="0" applyProtection="0" borderId="12" fillId="21" fontId="42" numFmtId="0"/>
    <xf applyAlignment="0" applyNumberFormat="0" applyProtection="0" borderId="12" fillId="21" fontId="42" numFmtId="0"/>
    <xf applyAlignment="0" applyNumberFormat="0" applyProtection="0" borderId="12" fillId="21" fontId="42" numFmtId="0"/>
    <xf applyAlignment="0" applyNumberFormat="0" applyProtection="0" borderId="12" fillId="21" fontId="42" numFmtId="0"/>
    <xf applyAlignment="0" applyNumberFormat="0" applyProtection="0" borderId="12" fillId="21" fontId="42" numFmtId="0"/>
    <xf applyAlignment="0" applyNumberFormat="0" applyProtection="0" borderId="12" fillId="21" fontId="42" numFmtId="0"/>
    <xf applyAlignment="0" applyNumberFormat="0" applyProtection="0" borderId="12" fillId="21" fontId="42" numFmtId="0"/>
    <xf applyAlignment="0" applyNumberFormat="0" applyProtection="0" borderId="12" fillId="21" fontId="42" numFmtId="0"/>
    <xf borderId="0" fillId="0" fontId="22" numFmtId="14">
      <alignment horizontal="center" wrapText="1"/>
      <protection locked="0"/>
    </xf>
    <xf applyAlignment="0" applyBorder="0" applyFill="0" applyFont="0" applyProtection="0" borderId="0" fillId="0" fontId="9" numFmtId="10"/>
    <xf borderId="0" fillId="0" fontId="29" numFmtId="4">
      <alignment horizontal="right"/>
    </xf>
    <xf applyAlignment="0" applyBorder="0" applyFill="0" applyFont="0" applyNumberFormat="0" applyProtection="0" borderId="0" fillId="0" fontId="43" numFmtId="0">
      <alignment horizontal="left"/>
    </xf>
    <xf borderId="13" fillId="0" fontId="44" numFmtId="0">
      <alignment horizontal="center"/>
    </xf>
    <xf applyAlignment="0" applyBorder="0" applyFill="0" applyFont="0" applyNumberFormat="0" borderId="0" fillId="0" fontId="45" numFmtId="0"/>
    <xf borderId="0" fillId="0" fontId="46" numFmtId="4">
      <alignment horizontal="right"/>
    </xf>
    <xf borderId="0" fillId="0" fontId="47" numFmtId="0">
      <alignment horizontal="left"/>
    </xf>
    <xf borderId="0" fillId="0" fontId="48" numFmtId="0"/>
    <xf borderId="0" fillId="0" fontId="49" numFmtId="0">
      <alignment horizontal="center"/>
    </xf>
    <xf applyAlignment="0" applyFill="0" applyNumberFormat="0" applyProtection="0" borderId="14" fillId="0" fontId="50" numFmtId="0"/>
    <xf applyAlignment="0" applyFill="0" applyNumberFormat="0" applyProtection="0" borderId="14" fillId="0" fontId="50" numFmtId="0"/>
    <xf applyAlignment="0" applyFill="0" applyNumberFormat="0" applyProtection="0" borderId="14" fillId="0" fontId="50" numFmtId="0"/>
    <xf applyAlignment="0" applyFill="0" applyNumberFormat="0" applyProtection="0" borderId="14" fillId="0" fontId="50" numFmtId="0"/>
    <xf applyAlignment="0" applyFill="0" applyNumberFormat="0" applyProtection="0" borderId="14" fillId="0" fontId="50" numFmtId="0"/>
    <xf applyAlignment="0" applyFill="0" applyNumberFormat="0" applyProtection="0" borderId="14" fillId="0" fontId="50" numFmtId="0"/>
    <xf applyAlignment="0" applyFill="0" applyNumberFormat="0" applyProtection="0" borderId="14" fillId="0" fontId="50" numFmtId="0"/>
    <xf applyAlignment="0" applyFill="0" applyNumberFormat="0" applyProtection="0" borderId="14" fillId="0" fontId="50" numFmtId="0"/>
    <xf applyAlignment="0" applyFill="0" applyNumberFormat="0" applyProtection="0" borderId="14" fillId="0" fontId="50" numFmtId="0"/>
    <xf applyAlignment="0" applyFill="0" applyNumberFormat="0" applyProtection="0" borderId="14" fillId="0" fontId="50" numFmtId="0"/>
    <xf applyAlignment="0" applyFill="0" applyNumberFormat="0" applyProtection="0" borderId="14" fillId="0" fontId="50" numFmtId="0"/>
    <xf applyAlignment="0" applyFill="0" applyNumberFormat="0" applyProtection="0" borderId="14" fillId="0" fontId="50" numFmtId="0"/>
    <xf applyAlignment="0" applyFill="0" applyNumberFormat="0" applyProtection="0" borderId="14" fillId="0" fontId="50" numFmtId="0"/>
    <xf applyAlignment="0" applyFill="0" applyNumberFormat="0" applyProtection="0" borderId="14" fillId="0" fontId="50" numFmtId="0"/>
    <xf applyAlignment="0" applyFill="0" applyNumberFormat="0" applyProtection="0" borderId="14" fillId="0" fontId="50" numFmtId="0"/>
    <xf applyAlignment="0" applyBorder="0" applyFill="0" applyNumberFormat="0" applyProtection="0" borderId="0" fillId="0" fontId="51" numFmtId="0"/>
    <xf applyAlignment="0" applyBorder="0" applyNumberFormat="0" applyProtection="0" borderId="0" fillId="17" fontId="21" numFmtId="0">
      <alignment vertical="center"/>
    </xf>
    <xf applyAlignment="0" applyBorder="0" applyNumberFormat="0" applyProtection="0" borderId="0" fillId="17" fontId="21" numFmtId="0">
      <alignment vertical="center"/>
    </xf>
    <xf applyAlignment="0" applyBorder="0" applyNumberFormat="0" applyProtection="0" borderId="0" fillId="17" fontId="21" numFmtId="0">
      <alignment vertical="center"/>
    </xf>
    <xf applyAlignment="0" applyBorder="0" applyNumberFormat="0" applyProtection="0" borderId="0" fillId="17" fontId="21" numFmtId="0">
      <alignment vertical="center"/>
    </xf>
    <xf applyAlignment="0" applyBorder="0" applyNumberFormat="0" applyProtection="0" borderId="0" fillId="17" fontId="21" numFmtId="0">
      <alignment vertical="center"/>
    </xf>
    <xf applyAlignment="0" applyBorder="0" applyNumberFormat="0" applyProtection="0" borderId="0" fillId="17" fontId="21" numFmtId="0">
      <alignment vertical="center"/>
    </xf>
    <xf applyAlignment="0" applyBorder="0" applyNumberFormat="0" applyProtection="0" borderId="0" fillId="17" fontId="21" numFmtId="0">
      <alignment vertical="center"/>
    </xf>
    <xf applyAlignment="0" applyBorder="0" applyNumberFormat="0" applyProtection="0" borderId="0" fillId="17" fontId="21" numFmtId="0">
      <alignment vertical="center"/>
    </xf>
    <xf applyAlignment="0" applyBorder="0" applyNumberFormat="0" applyProtection="0" borderId="0" fillId="18" fontId="21" numFmtId="0">
      <alignment vertical="center"/>
    </xf>
    <xf applyAlignment="0" applyBorder="0" applyNumberFormat="0" applyProtection="0" borderId="0" fillId="18" fontId="21" numFmtId="0">
      <alignment vertical="center"/>
    </xf>
    <xf applyAlignment="0" applyBorder="0" applyNumberFormat="0" applyProtection="0" borderId="0" fillId="18" fontId="21" numFmtId="0">
      <alignment vertical="center"/>
    </xf>
    <xf applyAlignment="0" applyBorder="0" applyNumberFormat="0" applyProtection="0" borderId="0" fillId="18" fontId="21" numFmtId="0">
      <alignment vertical="center"/>
    </xf>
    <xf applyAlignment="0" applyBorder="0" applyNumberFormat="0" applyProtection="0" borderId="0" fillId="18" fontId="21" numFmtId="0">
      <alignment vertical="center"/>
    </xf>
    <xf applyAlignment="0" applyBorder="0" applyNumberFormat="0" applyProtection="0" borderId="0" fillId="18" fontId="21" numFmtId="0">
      <alignment vertical="center"/>
    </xf>
    <xf applyAlignment="0" applyBorder="0" applyNumberFormat="0" applyProtection="0" borderId="0" fillId="18" fontId="21" numFmtId="0">
      <alignment vertical="center"/>
    </xf>
    <xf applyAlignment="0" applyBorder="0" applyNumberFormat="0" applyProtection="0" borderId="0" fillId="18" fontId="21" numFmtId="0">
      <alignment vertical="center"/>
    </xf>
    <xf applyAlignment="0" applyBorder="0" applyNumberFormat="0" applyProtection="0" borderId="0" fillId="19" fontId="21" numFmtId="0">
      <alignment vertical="center"/>
    </xf>
    <xf applyAlignment="0" applyBorder="0" applyNumberFormat="0" applyProtection="0" borderId="0" fillId="19" fontId="21" numFmtId="0">
      <alignment vertical="center"/>
    </xf>
    <xf applyAlignment="0" applyBorder="0" applyNumberFormat="0" applyProtection="0" borderId="0" fillId="19" fontId="21" numFmtId="0">
      <alignment vertical="center"/>
    </xf>
    <xf applyAlignment="0" applyBorder="0" applyNumberFormat="0" applyProtection="0" borderId="0" fillId="19" fontId="21" numFmtId="0">
      <alignment vertical="center"/>
    </xf>
    <xf applyAlignment="0" applyBorder="0" applyNumberFormat="0" applyProtection="0" borderId="0" fillId="19" fontId="21" numFmtId="0">
      <alignment vertical="center"/>
    </xf>
    <xf applyAlignment="0" applyBorder="0" applyNumberFormat="0" applyProtection="0" borderId="0" fillId="19" fontId="21" numFmtId="0">
      <alignment vertical="center"/>
    </xf>
    <xf applyAlignment="0" applyBorder="0" applyNumberFormat="0" applyProtection="0" borderId="0" fillId="19" fontId="21" numFmtId="0">
      <alignment vertical="center"/>
    </xf>
    <xf applyAlignment="0" applyBorder="0" applyNumberFormat="0" applyProtection="0" borderId="0" fillId="19" fontId="21" numFmtId="0">
      <alignment vertical="center"/>
    </xf>
    <xf applyAlignment="0" applyBorder="0" applyNumberFormat="0" applyProtection="0" borderId="0" fillId="14" fontId="21" numFmtId="0">
      <alignment vertical="center"/>
    </xf>
    <xf applyAlignment="0" applyBorder="0" applyNumberFormat="0" applyProtection="0" borderId="0" fillId="14" fontId="21" numFmtId="0">
      <alignment vertical="center"/>
    </xf>
    <xf applyAlignment="0" applyBorder="0" applyNumberFormat="0" applyProtection="0" borderId="0" fillId="14" fontId="21" numFmtId="0">
      <alignment vertical="center"/>
    </xf>
    <xf applyAlignment="0" applyBorder="0" applyNumberFormat="0" applyProtection="0" borderId="0" fillId="14" fontId="21" numFmtId="0">
      <alignment vertical="center"/>
    </xf>
    <xf applyAlignment="0" applyBorder="0" applyNumberFormat="0" applyProtection="0" borderId="0" fillId="14" fontId="21" numFmtId="0">
      <alignment vertical="center"/>
    </xf>
    <xf applyAlignment="0" applyBorder="0" applyNumberFormat="0" applyProtection="0" borderId="0" fillId="14" fontId="21" numFmtId="0">
      <alignment vertical="center"/>
    </xf>
    <xf applyAlignment="0" applyBorder="0" applyNumberFormat="0" applyProtection="0" borderId="0" fillId="14" fontId="21" numFmtId="0">
      <alignment vertical="center"/>
    </xf>
    <xf applyAlignment="0" applyBorder="0" applyNumberFormat="0" applyProtection="0" borderId="0" fillId="14" fontId="21" numFmtId="0">
      <alignment vertical="center"/>
    </xf>
    <xf applyAlignment="0" applyBorder="0" applyNumberFormat="0" applyProtection="0" borderId="0" fillId="15" fontId="21" numFmtId="0">
      <alignment vertical="center"/>
    </xf>
    <xf applyAlignment="0" applyBorder="0" applyNumberFormat="0" applyProtection="0" borderId="0" fillId="15" fontId="21" numFmtId="0">
      <alignment vertical="center"/>
    </xf>
    <xf applyAlignment="0" applyBorder="0" applyNumberFormat="0" applyProtection="0" borderId="0" fillId="15" fontId="21" numFmtId="0">
      <alignment vertical="center"/>
    </xf>
    <xf applyAlignment="0" applyBorder="0" applyNumberFormat="0" applyProtection="0" borderId="0" fillId="15" fontId="21" numFmtId="0">
      <alignment vertical="center"/>
    </xf>
    <xf applyAlignment="0" applyBorder="0" applyNumberFormat="0" applyProtection="0" borderId="0" fillId="15" fontId="21" numFmtId="0">
      <alignment vertical="center"/>
    </xf>
    <xf applyAlignment="0" applyBorder="0" applyNumberFormat="0" applyProtection="0" borderId="0" fillId="15" fontId="21" numFmtId="0">
      <alignment vertical="center"/>
    </xf>
    <xf applyAlignment="0" applyBorder="0" applyNumberFormat="0" applyProtection="0" borderId="0" fillId="15" fontId="21" numFmtId="0">
      <alignment vertical="center"/>
    </xf>
    <xf applyAlignment="0" applyBorder="0" applyNumberFormat="0" applyProtection="0" borderId="0" fillId="15" fontId="21" numFmtId="0">
      <alignment vertical="center"/>
    </xf>
    <xf applyAlignment="0" applyBorder="0" applyNumberFormat="0" applyProtection="0" borderId="0" fillId="20" fontId="21" numFmtId="0">
      <alignment vertical="center"/>
    </xf>
    <xf applyAlignment="0" applyBorder="0" applyNumberFormat="0" applyProtection="0" borderId="0" fillId="20" fontId="21" numFmtId="0">
      <alignment vertical="center"/>
    </xf>
    <xf applyAlignment="0" applyBorder="0" applyNumberFormat="0" applyProtection="0" borderId="0" fillId="20" fontId="21" numFmtId="0">
      <alignment vertical="center"/>
    </xf>
    <xf applyAlignment="0" applyBorder="0" applyNumberFormat="0" applyProtection="0" borderId="0" fillId="20" fontId="21" numFmtId="0">
      <alignment vertical="center"/>
    </xf>
    <xf applyAlignment="0" applyBorder="0" applyNumberFormat="0" applyProtection="0" borderId="0" fillId="20" fontId="21" numFmtId="0">
      <alignment vertical="center"/>
    </xf>
    <xf applyAlignment="0" applyBorder="0" applyNumberFormat="0" applyProtection="0" borderId="0" fillId="20" fontId="21" numFmtId="0">
      <alignment vertical="center"/>
    </xf>
    <xf applyAlignment="0" applyBorder="0" applyNumberFormat="0" applyProtection="0" borderId="0" fillId="20" fontId="21" numFmtId="0">
      <alignment vertical="center"/>
    </xf>
    <xf applyAlignment="0" applyBorder="0" applyNumberFormat="0" applyProtection="0" borderId="0" fillId="20" fontId="21" numFmtId="0">
      <alignment vertical="center"/>
    </xf>
    <xf borderId="0" fillId="0" fontId="52" numFmtId="0">
      <alignment vertical="center"/>
    </xf>
    <xf applyAlignment="0" applyBorder="0" applyFill="0" applyNumberFormat="0" applyProtection="0" borderId="0" fillId="0" fontId="53" numFmtId="0">
      <alignment vertical="center"/>
    </xf>
    <xf applyAlignment="0" applyBorder="0" applyFill="0" applyNumberFormat="0" applyProtection="0" borderId="0" fillId="0" fontId="53" numFmtId="0">
      <alignment vertical="center"/>
    </xf>
    <xf applyAlignment="0" applyBorder="0" applyFill="0" applyNumberFormat="0" applyProtection="0" borderId="0" fillId="0" fontId="53" numFmtId="0">
      <alignment vertical="center"/>
    </xf>
    <xf applyAlignment="0" applyBorder="0" applyFill="0" applyNumberFormat="0" applyProtection="0" borderId="0" fillId="0" fontId="53" numFmtId="0">
      <alignment vertical="center"/>
    </xf>
    <xf applyAlignment="0" applyBorder="0" applyFill="0" applyNumberFormat="0" applyProtection="0" borderId="0" fillId="0" fontId="53" numFmtId="0">
      <alignment vertical="center"/>
    </xf>
    <xf applyAlignment="0" applyBorder="0" applyFill="0" applyNumberFormat="0" applyProtection="0" borderId="0" fillId="0" fontId="53" numFmtId="0">
      <alignment vertical="center"/>
    </xf>
    <xf applyAlignment="0" applyBorder="0" applyFill="0" applyNumberFormat="0" applyProtection="0" borderId="0" fillId="0" fontId="53" numFmtId="0">
      <alignment vertical="center"/>
    </xf>
    <xf applyAlignment="0" applyBorder="0" applyFill="0" applyNumberFormat="0" applyProtection="0" borderId="0" fillId="0" fontId="53" numFmtId="0">
      <alignment vertical="center"/>
    </xf>
    <xf applyAlignment="0" applyNumberFormat="0" applyProtection="0" borderId="6" fillId="22" fontId="54" numFmtId="0">
      <alignment vertical="center"/>
    </xf>
    <xf applyAlignment="0" applyNumberFormat="0" applyProtection="0" borderId="6" fillId="22" fontId="54" numFmtId="0">
      <alignment vertical="center"/>
    </xf>
    <xf applyAlignment="0" applyNumberFormat="0" applyProtection="0" borderId="6" fillId="22" fontId="54" numFmtId="0">
      <alignment vertical="center"/>
    </xf>
    <xf applyAlignment="0" applyNumberFormat="0" applyProtection="0" borderId="6" fillId="22" fontId="54" numFmtId="0">
      <alignment vertical="center"/>
    </xf>
    <xf applyAlignment="0" applyNumberFormat="0" applyProtection="0" borderId="6" fillId="22" fontId="54" numFmtId="0">
      <alignment vertical="center"/>
    </xf>
    <xf applyAlignment="0" applyNumberFormat="0" applyProtection="0" borderId="6" fillId="22" fontId="54" numFmtId="0">
      <alignment vertical="center"/>
    </xf>
    <xf applyAlignment="0" applyNumberFormat="0" applyProtection="0" borderId="6" fillId="22" fontId="54" numFmtId="0">
      <alignment vertical="center"/>
    </xf>
    <xf applyAlignment="0" applyNumberFormat="0" applyProtection="0" borderId="6" fillId="22" fontId="54" numFmtId="0">
      <alignment vertical="center"/>
    </xf>
    <xf borderId="0" fillId="0" fontId="55" numFmtId="0"/>
    <xf applyAlignment="0" applyBorder="0" applyNumberFormat="0" applyProtection="0" borderId="0" fillId="26" fontId="56" numFmtId="0">
      <alignment vertical="center"/>
    </xf>
    <xf applyAlignment="0" applyBorder="0" applyNumberFormat="0" applyProtection="0" borderId="0" fillId="26" fontId="56" numFmtId="0">
      <alignment vertical="center"/>
    </xf>
    <xf applyAlignment="0" applyBorder="0" applyNumberFormat="0" applyProtection="0" borderId="0" fillId="26" fontId="56" numFmtId="0">
      <alignment vertical="center"/>
    </xf>
    <xf applyAlignment="0" applyBorder="0" applyNumberFormat="0" applyProtection="0" borderId="0" fillId="26" fontId="56" numFmtId="0">
      <alignment vertical="center"/>
    </xf>
    <xf applyAlignment="0" applyBorder="0" applyNumberFormat="0" applyProtection="0" borderId="0" fillId="26" fontId="56" numFmtId="0">
      <alignment vertical="center"/>
    </xf>
    <xf applyAlignment="0" applyBorder="0" applyNumberFormat="0" applyProtection="0" borderId="0" fillId="26" fontId="56" numFmtId="0">
      <alignment vertical="center"/>
    </xf>
    <xf applyAlignment="0" applyBorder="0" applyNumberFormat="0" applyProtection="0" borderId="0" fillId="26" fontId="56" numFmtId="0">
      <alignment vertical="center"/>
    </xf>
    <xf applyAlignment="0" applyBorder="0" applyNumberFormat="0" applyProtection="0" borderId="0" fillId="26" fontId="56" numFmtId="0">
      <alignment vertical="center"/>
    </xf>
    <xf applyAlignment="0" applyBorder="0" applyFill="0" applyFont="0" applyProtection="0" borderId="0" fillId="0" fontId="3" numFmtId="9"/>
    <xf applyAlignment="0" applyBorder="0" applyFill="0" applyFont="0" applyProtection="0" borderId="0" fillId="0" fontId="3" numFmtId="9">
      <alignment vertical="center"/>
    </xf>
    <xf applyAlignment="0" applyBorder="0" applyFill="0" applyFont="0" applyProtection="0" borderId="0" fillId="0" fontId="3" numFmtId="9"/>
    <xf applyAlignment="0" applyBorder="0" applyFill="0" applyNumberFormat="0" applyProtection="0" borderId="0" fillId="0" fontId="57" numFmtId="0">
      <alignment vertical="top"/>
      <protection locked="0"/>
    </xf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57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ill="0" applyNumberFormat="0" applyProtection="0" borderId="10" fillId="0" fontId="60" numFmtId="0">
      <alignment vertical="center"/>
    </xf>
    <xf applyAlignment="0" applyFill="0" applyNumberFormat="0" applyProtection="0" borderId="10" fillId="0" fontId="60" numFmtId="0">
      <alignment vertical="center"/>
    </xf>
    <xf applyAlignment="0" applyFill="0" applyNumberFormat="0" applyProtection="0" borderId="10" fillId="0" fontId="60" numFmtId="0">
      <alignment vertical="center"/>
    </xf>
    <xf applyAlignment="0" applyFill="0" applyNumberFormat="0" applyProtection="0" borderId="10" fillId="0" fontId="60" numFmtId="0">
      <alignment vertical="center"/>
    </xf>
    <xf applyAlignment="0" applyFill="0" applyNumberFormat="0" applyProtection="0" borderId="10" fillId="0" fontId="60" numFmtId="0">
      <alignment vertical="center"/>
    </xf>
    <xf applyAlignment="0" applyFill="0" applyNumberFormat="0" applyProtection="0" borderId="10" fillId="0" fontId="60" numFmtId="0">
      <alignment vertical="center"/>
    </xf>
    <xf applyAlignment="0" applyFill="0" applyNumberFormat="0" applyProtection="0" borderId="10" fillId="0" fontId="60" numFmtId="0">
      <alignment vertical="center"/>
    </xf>
    <xf applyAlignment="0" applyFill="0" applyNumberFormat="0" applyProtection="0" borderId="10" fillId="0" fontId="60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applyAlignment="0" applyBorder="0" applyNumberFormat="0" applyProtection="0" borderId="0" fillId="4" fontId="61" numFmtId="0">
      <alignment vertical="center"/>
    </xf>
    <xf applyAlignment="0" applyBorder="0" applyNumberFormat="0" applyProtection="0" borderId="0" fillId="4" fontId="61" numFmtId="0">
      <alignment vertical="center"/>
    </xf>
    <xf applyAlignment="0" applyBorder="0" applyNumberFormat="0" applyProtection="0" borderId="0" fillId="4" fontId="61" numFmtId="0">
      <alignment vertical="center"/>
    </xf>
    <xf applyAlignment="0" applyBorder="0" applyNumberFormat="0" applyProtection="0" borderId="0" fillId="4" fontId="61" numFmtId="0">
      <alignment vertical="center"/>
    </xf>
    <xf applyAlignment="0" applyBorder="0" applyNumberFormat="0" applyProtection="0" borderId="0" fillId="4" fontId="61" numFmtId="0">
      <alignment vertical="center"/>
    </xf>
    <xf applyAlignment="0" applyBorder="0" applyNumberFormat="0" applyProtection="0" borderId="0" fillId="4" fontId="61" numFmtId="0">
      <alignment vertical="center"/>
    </xf>
    <xf applyAlignment="0" applyBorder="0" applyNumberFormat="0" applyProtection="0" borderId="0" fillId="4" fontId="61" numFmtId="0">
      <alignment vertical="center"/>
    </xf>
    <xf applyAlignment="0" applyBorder="0" applyNumberFormat="0" applyProtection="0" borderId="0" fillId="4" fontId="61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Border="0" applyFill="0" applyNumberFormat="0" applyProtection="0" borderId="0" fillId="0" fontId="63" numFmtId="0">
      <alignment vertical="center"/>
    </xf>
    <xf applyAlignment="0" applyBorder="0" applyFill="0" applyNumberFormat="0" applyProtection="0" borderId="0" fillId="0" fontId="63" numFmtId="0">
      <alignment vertical="center"/>
    </xf>
    <xf applyAlignment="0" applyBorder="0" applyFill="0" applyNumberFormat="0" applyProtection="0" borderId="0" fillId="0" fontId="63" numFmtId="0">
      <alignment vertical="center"/>
    </xf>
    <xf applyAlignment="0" applyBorder="0" applyFill="0" applyNumberFormat="0" applyProtection="0" borderId="0" fillId="0" fontId="63" numFmtId="0">
      <alignment vertical="center"/>
    </xf>
    <xf applyAlignment="0" applyBorder="0" applyFill="0" applyNumberFormat="0" applyProtection="0" borderId="0" fillId="0" fontId="63" numFmtId="0">
      <alignment vertical="center"/>
    </xf>
    <xf applyAlignment="0" applyBorder="0" applyFill="0" applyNumberFormat="0" applyProtection="0" borderId="0" fillId="0" fontId="63" numFmtId="0">
      <alignment vertical="center"/>
    </xf>
    <xf applyAlignment="0" applyBorder="0" applyFill="0" applyNumberFormat="0" applyProtection="0" borderId="0" fillId="0" fontId="63" numFmtId="0">
      <alignment vertical="center"/>
    </xf>
    <xf applyAlignment="0" applyBorder="0" applyFill="0" applyNumberFormat="0" applyProtection="0" borderId="0" fillId="0" fontId="63" numFmtId="0">
      <alignment vertical="center"/>
    </xf>
    <xf applyAlignment="0" applyBorder="0" applyFill="0" applyFont="0" applyProtection="0" borderId="0" fillId="0" fontId="9" numFmtId="43"/>
    <xf applyAlignment="0" applyBorder="0" applyFill="0" applyFont="0" applyProtection="0" borderId="0" fillId="0" fontId="64" numFmtId="38"/>
    <xf applyAlignment="0" applyBorder="0" applyFill="0" applyFont="0" applyProtection="0" borderId="0" fillId="0" fontId="15" numFmtId="38">
      <alignment vertical="center"/>
    </xf>
    <xf applyAlignment="0" applyBorder="0" applyFill="0" applyFont="0" applyProtection="0" borderId="0" fillId="0" fontId="65" numFmtId="38"/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3" numFmtId="38"/>
    <xf applyAlignment="0" applyBorder="0" applyFill="0" applyFont="0" applyProtection="0" borderId="0" fillId="0" fontId="65" numFmtId="38"/>
    <xf applyAlignment="0" applyBorder="0" applyFill="0" applyFont="0" applyProtection="0" borderId="0" fillId="0" fontId="3" numFmtId="38"/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3" numFmtId="38"/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9" numFmtId="185"/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3" numFmtId="38"/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19" numFmtId="38">
      <alignment vertical="center"/>
    </xf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19" numFmtId="38">
      <alignment vertical="center"/>
    </xf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3" numFmtId="38"/>
    <xf applyAlignment="0" applyBorder="0" applyFill="0" applyFont="0" applyProtection="0" borderId="0" fillId="0" fontId="19" numFmtId="38">
      <alignment vertical="center"/>
    </xf>
    <xf applyAlignment="0" applyBorder="0" applyFill="0" applyFont="0" applyProtection="0" borderId="0" fillId="0" fontId="19" numFmtId="38">
      <alignment vertical="center"/>
    </xf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3" numFmtId="38"/>
    <xf applyAlignment="0" applyFill="0" applyNumberFormat="0" applyProtection="0" borderId="7" fillId="0" fontId="66" numFmtId="0">
      <alignment vertical="center"/>
    </xf>
    <xf applyAlignment="0" applyFill="0" applyNumberFormat="0" applyProtection="0" borderId="7" fillId="0" fontId="66" numFmtId="0">
      <alignment vertical="center"/>
    </xf>
    <xf applyAlignment="0" applyFill="0" applyNumberFormat="0" applyProtection="0" borderId="7" fillId="0" fontId="66" numFmtId="0">
      <alignment vertical="center"/>
    </xf>
    <xf applyAlignment="0" applyFill="0" applyNumberFormat="0" applyProtection="0" borderId="7" fillId="0" fontId="66" numFmtId="0">
      <alignment vertical="center"/>
    </xf>
    <xf applyAlignment="0" applyFill="0" applyNumberFormat="0" applyProtection="0" borderId="7" fillId="0" fontId="66" numFmtId="0">
      <alignment vertical="center"/>
    </xf>
    <xf applyAlignment="0" applyFill="0" applyNumberFormat="0" applyProtection="0" borderId="7" fillId="0" fontId="66" numFmtId="0">
      <alignment vertical="center"/>
    </xf>
    <xf applyAlignment="0" applyFill="0" applyNumberFormat="0" applyProtection="0" borderId="7" fillId="0" fontId="66" numFmtId="0">
      <alignment vertical="center"/>
    </xf>
    <xf applyAlignment="0" applyFill="0" applyNumberFormat="0" applyProtection="0" borderId="7" fillId="0" fontId="66" numFmtId="0">
      <alignment vertical="center"/>
    </xf>
    <xf applyAlignment="0" applyFill="0" applyNumberFormat="0" applyProtection="0" borderId="8" fillId="0" fontId="67" numFmtId="0">
      <alignment vertical="center"/>
    </xf>
    <xf applyAlignment="0" applyFill="0" applyNumberFormat="0" applyProtection="0" borderId="8" fillId="0" fontId="67" numFmtId="0">
      <alignment vertical="center"/>
    </xf>
    <xf applyAlignment="0" applyFill="0" applyNumberFormat="0" applyProtection="0" borderId="8" fillId="0" fontId="67" numFmtId="0">
      <alignment vertical="center"/>
    </xf>
    <xf applyAlignment="0" applyFill="0" applyNumberFormat="0" applyProtection="0" borderId="8" fillId="0" fontId="67" numFmtId="0">
      <alignment vertical="center"/>
    </xf>
    <xf applyAlignment="0" applyFill="0" applyNumberFormat="0" applyProtection="0" borderId="8" fillId="0" fontId="67" numFmtId="0">
      <alignment vertical="center"/>
    </xf>
    <xf applyAlignment="0" applyFill="0" applyNumberFormat="0" applyProtection="0" borderId="8" fillId="0" fontId="67" numFmtId="0">
      <alignment vertical="center"/>
    </xf>
    <xf applyAlignment="0" applyFill="0" applyNumberFormat="0" applyProtection="0" borderId="8" fillId="0" fontId="67" numFmtId="0">
      <alignment vertical="center"/>
    </xf>
    <xf applyAlignment="0" applyFill="0" applyNumberFormat="0" applyProtection="0" borderId="8" fillId="0" fontId="67" numFmtId="0">
      <alignment vertical="center"/>
    </xf>
    <xf applyAlignment="0" applyFill="0" applyNumberFormat="0" applyProtection="0" borderId="9" fillId="0" fontId="68" numFmtId="0">
      <alignment vertical="center"/>
    </xf>
    <xf applyAlignment="0" applyFill="0" applyNumberFormat="0" applyProtection="0" borderId="9" fillId="0" fontId="68" numFmtId="0">
      <alignment vertical="center"/>
    </xf>
    <xf applyAlignment="0" applyFill="0" applyNumberFormat="0" applyProtection="0" borderId="9" fillId="0" fontId="68" numFmtId="0">
      <alignment vertical="center"/>
    </xf>
    <xf applyAlignment="0" applyFill="0" applyNumberFormat="0" applyProtection="0" borderId="9" fillId="0" fontId="68" numFmtId="0">
      <alignment vertical="center"/>
    </xf>
    <xf applyAlignment="0" applyFill="0" applyNumberFormat="0" applyProtection="0" borderId="9" fillId="0" fontId="68" numFmtId="0">
      <alignment vertical="center"/>
    </xf>
    <xf applyAlignment="0" applyFill="0" applyNumberFormat="0" applyProtection="0" borderId="9" fillId="0" fontId="68" numFmtId="0">
      <alignment vertical="center"/>
    </xf>
    <xf applyAlignment="0" applyFill="0" applyNumberFormat="0" applyProtection="0" borderId="9" fillId="0" fontId="68" numFmtId="0">
      <alignment vertical="center"/>
    </xf>
    <xf applyAlignment="0" applyFill="0" applyNumberFormat="0" applyProtection="0" borderId="9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borderId="0" fillId="0" fontId="69" numFmtId="0"/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borderId="0" fillId="0" fontId="10" numFmtId="186"/>
    <xf applyAlignment="0" applyBorder="0" applyFill="0" applyNumberFormat="0" applyProtection="0" borderId="0" fillId="0" fontId="72" numFmtId="0">
      <alignment vertical="center"/>
    </xf>
    <xf applyAlignment="0" applyBorder="0" applyFill="0" applyNumberFormat="0" applyProtection="0" borderId="0" fillId="0" fontId="72" numFmtId="0">
      <alignment vertical="center"/>
    </xf>
    <xf applyAlignment="0" applyBorder="0" applyFill="0" applyNumberFormat="0" applyProtection="0" borderId="0" fillId="0" fontId="72" numFmtId="0">
      <alignment vertical="center"/>
    </xf>
    <xf applyAlignment="0" applyBorder="0" applyFill="0" applyNumberFormat="0" applyProtection="0" borderId="0" fillId="0" fontId="72" numFmtId="0">
      <alignment vertical="center"/>
    </xf>
    <xf applyAlignment="0" applyBorder="0" applyFill="0" applyNumberFormat="0" applyProtection="0" borderId="0" fillId="0" fontId="72" numFmtId="0">
      <alignment vertical="center"/>
    </xf>
    <xf applyAlignment="0" applyBorder="0" applyFill="0" applyNumberFormat="0" applyProtection="0" borderId="0" fillId="0" fontId="72" numFmtId="0">
      <alignment vertical="center"/>
    </xf>
    <xf applyAlignment="0" applyBorder="0" applyFill="0" applyNumberFormat="0" applyProtection="0" borderId="0" fillId="0" fontId="72" numFmtId="0">
      <alignment vertical="center"/>
    </xf>
    <xf applyAlignment="0" applyBorder="0" applyFill="0" applyNumberFormat="0" applyProtection="0" borderId="0" fillId="0" fontId="72" numFmtId="0">
      <alignment vertical="center"/>
    </xf>
    <xf applyAlignment="0" applyBorder="0" applyFill="0" applyFont="0" applyProtection="0" borderId="0" fillId="0" fontId="9" numFmtId="187"/>
    <xf applyAlignment="0" applyBorder="0" applyFill="0" applyFont="0" applyProtection="0" borderId="0" fillId="0" fontId="9" numFmtId="18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3" numFmtId="6"/>
    <xf applyAlignment="0" applyBorder="0" applyFill="0" applyFont="0" applyProtection="0" borderId="0" fillId="0" fontId="12" numFmtId="6">
      <alignment vertical="center"/>
    </xf>
    <xf applyAlignment="0" applyBorder="0" applyFill="0" applyFont="0" applyProtection="0" borderId="0" fillId="0" fontId="73" numFmtId="6">
      <alignment vertical="center"/>
    </xf>
    <xf applyAlignment="0" applyBorder="0" applyFill="0" applyFont="0" applyProtection="0" borderId="0" fillId="0" fontId="12" numFmtId="6">
      <alignment vertical="center"/>
    </xf>
    <xf applyAlignment="0" applyBorder="0" applyFill="0" applyFont="0" applyProtection="0" borderId="0" fillId="0" fontId="12" numFmtId="6">
      <alignment vertical="center"/>
    </xf>
    <xf applyAlignment="0" applyBorder="0" applyFill="0" applyFont="0" applyProtection="0" borderId="0" fillId="0" fontId="3" numFmtId="6"/>
    <xf applyAlignment="0" applyBorder="0" applyFill="0" applyFont="0" applyProtection="0" borderId="0" fillId="0" fontId="5" numFmtId="6">
      <alignment vertical="center"/>
    </xf>
    <xf applyAlignment="0" applyBorder="0" applyFill="0" applyFont="0" applyProtection="0" borderId="0" fillId="0" fontId="3" numFmtId="6"/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5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75" numFmtId="0">
      <alignment vertical="center"/>
    </xf>
    <xf borderId="0" fillId="0" fontId="75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15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17" numFmtId="0"/>
    <xf borderId="0" fillId="0" fontId="15" numFmtId="0">
      <alignment vertical="center"/>
    </xf>
    <xf borderId="0" fillId="0" fontId="17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12" numFmtId="0">
      <alignment vertical="center"/>
    </xf>
    <xf borderId="0" fillId="0" fontId="3" numFmtId="0"/>
    <xf borderId="0" fillId="0" fontId="76" numFmtId="0">
      <alignment vertical="center"/>
    </xf>
    <xf borderId="0" fillId="0" fontId="12" numFmtId="0">
      <alignment vertical="center"/>
    </xf>
    <xf borderId="0" fillId="0" fontId="3" numFmtId="0"/>
    <xf borderId="0" fillId="0" fontId="3" numFmtId="0"/>
    <xf borderId="0" fillId="0" fontId="3" numFmtId="0"/>
    <xf borderId="0" fillId="0" fontId="16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9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/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/>
    <xf borderId="0" fillId="0" fontId="12" numFmtId="0"/>
    <xf borderId="0" fillId="0" fontId="12" numFmtId="0">
      <alignment vertical="center"/>
    </xf>
    <xf borderId="0" fillId="0" fontId="77" numFmtId="0">
      <alignment vertical="center"/>
    </xf>
    <xf borderId="0" fillId="0" fontId="12" numFmtId="0"/>
    <xf borderId="0" fillId="0" fontId="77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5" numFmtId="0">
      <alignment vertical="center"/>
    </xf>
    <xf borderId="0" fillId="0" fontId="3" numFmtId="0">
      <alignment vertical="center"/>
    </xf>
    <xf borderId="0" fillId="0" fontId="3" numFmtId="0"/>
    <xf borderId="0" fillId="0" fontId="78" numFmtId="0">
      <alignment vertical="center"/>
    </xf>
    <xf borderId="0" fillId="0" fontId="3" numFmtId="0"/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7" numFmtId="0"/>
    <xf borderId="0" fillId="0" fontId="12" numFmtId="0">
      <alignment vertical="center"/>
    </xf>
    <xf borderId="0" fillId="0" fontId="12" numFmtId="0">
      <alignment vertical="center"/>
    </xf>
    <xf borderId="0" fillId="0" fontId="17" numFmtId="0"/>
    <xf borderId="0" fillId="0" fontId="15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/>
    <xf borderId="0" fillId="0" fontId="12" numFmtId="0">
      <alignment vertical="center"/>
    </xf>
    <xf borderId="0" fillId="0" fontId="3" numFmtId="0"/>
    <xf borderId="0" fillId="0" fontId="79" numFmtId="0"/>
    <xf borderId="0" fillId="0" fontId="12" numFmtId="0"/>
    <xf borderId="0" fillId="0" fontId="5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5" numFmtId="0">
      <alignment vertical="center"/>
    </xf>
    <xf borderId="0" fillId="0" fontId="12" numFmtId="0">
      <alignment vertical="center"/>
    </xf>
    <xf borderId="0" fillId="0" fontId="5" numFmtId="0">
      <alignment vertical="center"/>
    </xf>
    <xf borderId="0" fillId="0" fontId="13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7" numFmtId="0"/>
    <xf borderId="0" fillId="0" fontId="76" numFmtId="0">
      <alignment vertical="center"/>
    </xf>
    <xf borderId="0" fillId="0" fontId="17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5" numFmtId="0">
      <alignment vertical="center"/>
    </xf>
    <xf borderId="0" fillId="0" fontId="3" numFmtId="0"/>
    <xf borderId="0" fillId="0" fontId="3" numFmtId="0"/>
    <xf borderId="0" fillId="0" fontId="19" numFmtId="0">
      <alignment vertical="center"/>
    </xf>
    <xf borderId="0" fillId="0" fontId="12" numFmtId="0">
      <alignment vertical="center"/>
    </xf>
    <xf borderId="0" fillId="0" fontId="3" numFmtId="0"/>
    <xf borderId="0" fillId="0" fontId="12" numFmtId="0"/>
    <xf borderId="0" fillId="0" fontId="12" numFmtId="0"/>
    <xf borderId="0" fillId="0" fontId="3" numFmtId="0"/>
    <xf borderId="0" fillId="0" fontId="3" numFmtId="0">
      <alignment vertical="center"/>
    </xf>
    <xf borderId="0" fillId="0" fontId="15" numFmtId="0">
      <alignment vertical="center"/>
    </xf>
    <xf borderId="0" fillId="0" fontId="79" numFmtId="0"/>
    <xf borderId="0" fillId="0" fontId="15" numFmtId="0">
      <alignment vertical="center"/>
    </xf>
    <xf borderId="0" fillId="0" fontId="3" numFmtId="0"/>
    <xf borderId="0" fillId="0" fontId="3" numFmtId="0">
      <alignment vertical="center"/>
    </xf>
    <xf borderId="0" fillId="0" fontId="79" numFmtId="0"/>
    <xf borderId="0" fillId="0" fontId="3" numFmtId="0"/>
    <xf borderId="0" fillId="0" fontId="3" numFmtId="0"/>
    <xf borderId="0" fillId="0" fontId="79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79" numFmtId="0"/>
    <xf borderId="0" fillId="0" fontId="79" numFmtId="0"/>
    <xf borderId="0" fillId="0" fontId="3" numFmtId="0"/>
    <xf borderId="0" fillId="0" fontId="79" numFmtId="0"/>
    <xf borderId="0" fillId="0" fontId="19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80" numFmtId="0">
      <alignment vertical="center"/>
    </xf>
    <xf borderId="0" fillId="0" fontId="3" numFmtId="0"/>
    <xf borderId="0" fillId="0" fontId="3" numFmtId="0"/>
    <xf borderId="0" fillId="0" fontId="12" numFmtId="0"/>
    <xf borderId="0" fillId="0" fontId="12" numFmtId="0"/>
    <xf borderId="0" fillId="0" fontId="3" numFmtId="0"/>
    <xf borderId="0" fillId="0" fontId="3" numFmtId="0"/>
    <xf borderId="0" fillId="0" fontId="5" numFmtId="0">
      <alignment vertical="center"/>
    </xf>
    <xf borderId="0" fillId="0" fontId="3" numFmtId="0"/>
    <xf borderId="0" fillId="0" fontId="3" numFmtId="0"/>
    <xf borderId="0" fillId="0" fontId="12" numFmtId="0">
      <alignment vertical="center"/>
    </xf>
    <xf borderId="0" fillId="0" fontId="3" numFmtId="0"/>
    <xf borderId="0" fillId="0" fontId="3" numFmtId="0"/>
    <xf borderId="0" fillId="0" fontId="12" numFmtId="0">
      <alignment vertical="center"/>
    </xf>
    <xf borderId="0" fillId="0" fontId="3" numFmtId="0"/>
    <xf borderId="0" fillId="0" fontId="3" numFmtId="0"/>
    <xf borderId="0" fillId="0" fontId="12" numFmtId="0">
      <alignment vertical="center"/>
    </xf>
    <xf borderId="0" fillId="0" fontId="3" numFmtId="0"/>
    <xf borderId="0" fillId="0" fontId="3" numFmtId="0"/>
    <xf borderId="0" fillId="0" fontId="3" numFmtId="0">
      <alignment vertical="center"/>
    </xf>
    <xf borderId="0" fillId="0" fontId="3" numFmtId="0"/>
    <xf borderId="0" fillId="0" fontId="3" numFmtId="0"/>
    <xf borderId="0" fillId="0" fontId="3" numFmtId="0"/>
    <xf borderId="0" fillId="0" fontId="12" numFmtId="0">
      <alignment vertical="center"/>
    </xf>
    <xf borderId="0" fillId="0" fontId="15" numFmtId="0"/>
    <xf borderId="0" fillId="0" fontId="3" numFmtId="0">
      <alignment vertical="center"/>
    </xf>
    <xf borderId="0" fillId="0" fontId="19" numFmtId="0">
      <alignment vertical="center"/>
    </xf>
    <xf borderId="0" fillId="0" fontId="19" numFmtId="0">
      <alignment vertical="center"/>
    </xf>
    <xf borderId="0" fillId="0" fontId="81" numFmtId="0">
      <alignment vertical="center"/>
    </xf>
    <xf borderId="0" fillId="0" fontId="12" numFmtId="0">
      <alignment vertical="center"/>
    </xf>
    <xf borderId="0" fillId="0" fontId="19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8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78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8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8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83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3" numFmtId="0"/>
    <xf borderId="0" fillId="0" fontId="3" numFmtId="0"/>
    <xf borderId="0" fillId="0" fontId="12" numFmtId="0">
      <alignment vertical="center"/>
    </xf>
    <xf borderId="0" fillId="0" fontId="19" numFmtId="0">
      <alignment vertical="center"/>
    </xf>
    <xf borderId="0" fillId="0" fontId="19" numFmtId="0">
      <alignment vertical="center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12" numFmtId="0">
      <alignment vertical="center"/>
    </xf>
    <xf borderId="0" fillId="0" fontId="12" numFmtId="0">
      <alignment vertical="center"/>
    </xf>
    <xf borderId="0" fillId="0" fontId="3" numFmtId="0"/>
    <xf borderId="0" fillId="0" fontId="3" numFmtId="0"/>
    <xf borderId="0" fillId="0" fontId="3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78" numFmtId="0">
      <alignment vertical="center"/>
    </xf>
    <xf borderId="0" fillId="0" fontId="3" numFmtId="0"/>
    <xf borderId="0" fillId="0" fontId="3" numFmtId="0">
      <alignment vertical="center"/>
    </xf>
    <xf borderId="0" fillId="0" fontId="78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3" numFmtId="0">
      <alignment vertical="center"/>
    </xf>
    <xf borderId="0" fillId="0" fontId="8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17" numFmtId="0"/>
    <xf borderId="0" fillId="0" fontId="83" numFmtId="0">
      <alignment vertical="center"/>
    </xf>
    <xf borderId="0" fillId="0" fontId="17" numFmtId="0"/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9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19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84" numFmtId="0"/>
    <xf borderId="0" fillId="0" fontId="85" numFmtId="0"/>
    <xf borderId="0" fillId="0" fontId="55" numFmtId="0"/>
    <xf applyBorder="0" applyFill="0" borderId="0" fillId="0" fontId="13" numFmtId="49"/>
    <xf borderId="0" fillId="0" fontId="86" numFmtId="0"/>
    <xf borderId="0" fillId="0" fontId="87" numFmtId="0"/>
    <xf borderId="0" fillId="0" fontId="86" numFmtId="0"/>
    <xf applyAlignment="0" applyBorder="0" applyNumberFormat="0" applyProtection="0" borderId="0" fillId="5" fontId="88" numFmtId="0">
      <alignment vertical="center"/>
    </xf>
    <xf applyAlignment="0" applyBorder="0" applyNumberFormat="0" applyProtection="0" borderId="0" fillId="5" fontId="88" numFmtId="0">
      <alignment vertical="center"/>
    </xf>
    <xf applyAlignment="0" applyBorder="0" applyNumberFormat="0" applyProtection="0" borderId="0" fillId="5" fontId="88" numFmtId="0">
      <alignment vertical="center"/>
    </xf>
    <xf applyAlignment="0" applyBorder="0" applyNumberFormat="0" applyProtection="0" borderId="0" fillId="5" fontId="88" numFmtId="0">
      <alignment vertical="center"/>
    </xf>
    <xf applyAlignment="0" applyBorder="0" applyNumberFormat="0" applyProtection="0" borderId="0" fillId="5" fontId="88" numFmtId="0">
      <alignment vertical="center"/>
    </xf>
    <xf applyAlignment="0" applyBorder="0" applyNumberFormat="0" applyProtection="0" borderId="0" fillId="5" fontId="88" numFmtId="0">
      <alignment vertical="center"/>
    </xf>
    <xf applyAlignment="0" applyBorder="0" applyNumberFormat="0" applyProtection="0" borderId="0" fillId="5" fontId="88" numFmtId="0">
      <alignment vertical="center"/>
    </xf>
    <xf applyAlignment="0" applyBorder="0" applyNumberFormat="0" applyProtection="0" borderId="0" fillId="5" fontId="88" numFmtId="0">
      <alignment vertical="center"/>
    </xf>
    <xf borderId="0" fillId="0" fontId="3" numFmtId="0"/>
    <xf borderId="0" fillId="0" fontId="89" numFmtId="0">
      <alignment vertical="center"/>
    </xf>
    <xf applyAlignment="0" applyBorder="0" applyFill="0" applyNumberFormat="0" applyProtection="0" borderId="0" fillId="0" fontId="90" numFmtId="0">
      <alignment vertical="center"/>
    </xf>
    <xf applyAlignment="0" applyFill="0" applyNumberFormat="0" applyProtection="0" borderId="22" fillId="0" fontId="91" numFmtId="0">
      <alignment vertical="center"/>
    </xf>
    <xf applyAlignment="0" applyFill="0" applyNumberFormat="0" applyProtection="0" borderId="23" fillId="0" fontId="92" numFmtId="0">
      <alignment vertical="center"/>
    </xf>
    <xf applyAlignment="0" applyFill="0" applyNumberFormat="0" applyProtection="0" borderId="24" fillId="0" fontId="93" numFmtId="0">
      <alignment vertical="center"/>
    </xf>
    <xf applyAlignment="0" applyBorder="0" applyFill="0" applyNumberFormat="0" applyProtection="0" borderId="0" fillId="0" fontId="93" numFmtId="0">
      <alignment vertical="center"/>
    </xf>
    <xf applyAlignment="0" applyBorder="0" applyNumberFormat="0" applyProtection="0" borderId="0" fillId="28" fontId="94" numFmtId="0">
      <alignment vertical="center"/>
    </xf>
    <xf applyAlignment="0" applyBorder="0" applyNumberFormat="0" applyProtection="0" borderId="0" fillId="29" fontId="95" numFmtId="0">
      <alignment vertical="center"/>
    </xf>
    <xf applyAlignment="0" applyBorder="0" applyNumberFormat="0" applyProtection="0" borderId="0" fillId="30" fontId="96" numFmtId="0">
      <alignment vertical="center"/>
    </xf>
    <xf applyAlignment="0" applyNumberFormat="0" applyProtection="0" borderId="25" fillId="31" fontId="97" numFmtId="0">
      <alignment vertical="center"/>
    </xf>
    <xf applyAlignment="0" applyNumberFormat="0" applyProtection="0" borderId="26" fillId="32" fontId="98" numFmtId="0">
      <alignment vertical="center"/>
    </xf>
    <xf applyAlignment="0" applyNumberFormat="0" applyProtection="0" borderId="25" fillId="32" fontId="99" numFmtId="0">
      <alignment vertical="center"/>
    </xf>
    <xf applyAlignment="0" applyFill="0" applyNumberFormat="0" applyProtection="0" borderId="27" fillId="0" fontId="100" numFmtId="0">
      <alignment vertical="center"/>
    </xf>
    <xf applyAlignment="0" applyNumberFormat="0" applyProtection="0" borderId="28" fillId="33" fontId="101" numFmtId="0">
      <alignment vertical="center"/>
    </xf>
    <xf applyAlignment="0" applyBorder="0" applyFill="0" applyNumberFormat="0" applyProtection="0" borderId="0" fillId="0" fontId="102" numFmtId="0">
      <alignment vertical="center"/>
    </xf>
    <xf applyAlignment="0" applyBorder="0" applyFill="0" applyNumberFormat="0" applyProtection="0" borderId="0" fillId="0" fontId="103" numFmtId="0">
      <alignment vertical="center"/>
    </xf>
    <xf applyAlignment="0" applyFill="0" applyNumberFormat="0" applyProtection="0" borderId="30" fillId="0" fontId="104" numFmtId="0">
      <alignment vertical="center"/>
    </xf>
    <xf applyAlignment="0" applyBorder="0" applyNumberFormat="0" applyProtection="0" borderId="0" fillId="35" fontId="105" numFmtId="0">
      <alignment vertical="center"/>
    </xf>
    <xf applyAlignment="0" applyBorder="0" applyNumberFormat="0" applyProtection="0" borderId="0" fillId="36" fontId="1" numFmtId="0">
      <alignment vertical="center"/>
    </xf>
    <xf applyAlignment="0" applyBorder="0" applyNumberFormat="0" applyProtection="0" borderId="0" fillId="37" fontId="1" numFmtId="0">
      <alignment vertical="center"/>
    </xf>
    <xf applyAlignment="0" applyBorder="0" applyNumberFormat="0" applyProtection="0" borderId="0" fillId="38" fontId="105" numFmtId="0">
      <alignment vertical="center"/>
    </xf>
    <xf applyAlignment="0" applyBorder="0" applyNumberFormat="0" applyProtection="0" borderId="0" fillId="39" fontId="105" numFmtId="0">
      <alignment vertical="center"/>
    </xf>
    <xf applyAlignment="0" applyBorder="0" applyNumberFormat="0" applyProtection="0" borderId="0" fillId="40" fontId="1" numFmtId="0">
      <alignment vertical="center"/>
    </xf>
    <xf applyAlignment="0" applyBorder="0" applyNumberFormat="0" applyProtection="0" borderId="0" fillId="41" fontId="1" numFmtId="0">
      <alignment vertical="center"/>
    </xf>
    <xf applyAlignment="0" applyBorder="0" applyNumberFormat="0" applyProtection="0" borderId="0" fillId="42" fontId="105" numFmtId="0">
      <alignment vertical="center"/>
    </xf>
    <xf applyAlignment="0" applyBorder="0" applyNumberFormat="0" applyProtection="0" borderId="0" fillId="43" fontId="105" numFmtId="0">
      <alignment vertical="center"/>
    </xf>
    <xf applyAlignment="0" applyBorder="0" applyNumberFormat="0" applyProtection="0" borderId="0" fillId="44" fontId="1" numFmtId="0">
      <alignment vertical="center"/>
    </xf>
    <xf applyAlignment="0" applyBorder="0" applyNumberFormat="0" applyProtection="0" borderId="0" fillId="45" fontId="1" numFmtId="0">
      <alignment vertical="center"/>
    </xf>
    <xf applyAlignment="0" applyBorder="0" applyNumberFormat="0" applyProtection="0" borderId="0" fillId="46" fontId="105" numFmtId="0">
      <alignment vertical="center"/>
    </xf>
    <xf applyAlignment="0" applyBorder="0" applyNumberFormat="0" applyProtection="0" borderId="0" fillId="47" fontId="105" numFmtId="0">
      <alignment vertical="center"/>
    </xf>
    <xf applyAlignment="0" applyBorder="0" applyNumberFormat="0" applyProtection="0" borderId="0" fillId="48" fontId="1" numFmtId="0">
      <alignment vertical="center"/>
    </xf>
    <xf applyAlignment="0" applyBorder="0" applyNumberFormat="0" applyProtection="0" borderId="0" fillId="49" fontId="1" numFmtId="0">
      <alignment vertical="center"/>
    </xf>
    <xf applyAlignment="0" applyBorder="0" applyNumberFormat="0" applyProtection="0" borderId="0" fillId="50" fontId="105" numFmtId="0">
      <alignment vertical="center"/>
    </xf>
    <xf applyAlignment="0" applyBorder="0" applyNumberFormat="0" applyProtection="0" borderId="0" fillId="51" fontId="105" numFmtId="0">
      <alignment vertical="center"/>
    </xf>
    <xf applyAlignment="0" applyBorder="0" applyNumberFormat="0" applyProtection="0" borderId="0" fillId="52" fontId="1" numFmtId="0">
      <alignment vertical="center"/>
    </xf>
    <xf applyAlignment="0" applyBorder="0" applyNumberFormat="0" applyProtection="0" borderId="0" fillId="53" fontId="1" numFmtId="0">
      <alignment vertical="center"/>
    </xf>
    <xf applyAlignment="0" applyBorder="0" applyNumberFormat="0" applyProtection="0" borderId="0" fillId="54" fontId="105" numFmtId="0">
      <alignment vertical="center"/>
    </xf>
    <xf applyAlignment="0" applyBorder="0" applyNumberFormat="0" applyProtection="0" borderId="0" fillId="55" fontId="105" numFmtId="0">
      <alignment vertical="center"/>
    </xf>
    <xf applyAlignment="0" applyBorder="0" applyNumberFormat="0" applyProtection="0" borderId="0" fillId="56" fontId="1" numFmtId="0">
      <alignment vertical="center"/>
    </xf>
    <xf applyAlignment="0" applyBorder="0" applyNumberFormat="0" applyProtection="0" borderId="0" fillId="57" fontId="1" numFmtId="0">
      <alignment vertical="center"/>
    </xf>
    <xf applyAlignment="0" applyBorder="0" applyNumberFormat="0" applyProtection="0" borderId="0" fillId="58" fontId="105" numFmtId="0">
      <alignment vertical="center"/>
    </xf>
    <xf borderId="0" fillId="0" fontId="1" numFmtId="0">
      <alignment vertical="center"/>
    </xf>
    <xf applyAlignment="0" applyFont="0" applyNumberFormat="0" applyProtection="0" borderId="29" fillId="34" fontId="1" numFmtId="0">
      <alignment vertical="center"/>
    </xf>
    <xf borderId="0" fillId="0" fontId="106" numFmtId="0">
      <alignment vertical="center"/>
    </xf>
  </cellStyleXfs>
  <cellXfs count="52">
    <xf borderId="0" fillId="0" fontId="0" numFmtId="0" xfId="0"/>
    <xf applyFont="1" borderId="0" fillId="0" fontId="108" numFmtId="0" xfId="1980">
      <alignment vertical="center"/>
    </xf>
    <xf applyAlignment="1" applyFont="1" borderId="0" fillId="0" fontId="17" numFmtId="0" xfId="1980">
      <alignment horizontal="center" vertical="center"/>
    </xf>
    <xf applyAlignment="1" applyBorder="1" applyFill="1" applyFont="1" applyNumberFormat="1" borderId="19" fillId="0" fontId="17" numFmtId="49" xfId="1980">
      <alignment horizontal="right" vertical="center"/>
    </xf>
    <xf applyAlignment="1" applyBorder="1" applyFill="1" applyFont="1" applyNumberFormat="1" borderId="38" fillId="0" fontId="17" numFmtId="49" xfId="1980">
      <alignment horizontal="center" vertical="center"/>
    </xf>
    <xf applyAlignment="1" applyBorder="1" applyFill="1" applyFont="1" applyNumberFormat="1" borderId="32" fillId="0" fontId="17" numFmtId="49" xfId="1980">
      <alignment horizontal="center" vertical="center"/>
    </xf>
    <xf applyBorder="1" applyFill="1" applyFont="1" applyNumberFormat="1" borderId="0" fillId="0" fontId="108" numFmtId="49" xfId="1980">
      <alignment vertical="center"/>
    </xf>
    <xf applyFont="1" borderId="0" fillId="0" fontId="17" numFmtId="0" xfId="1980">
      <alignment vertical="center"/>
    </xf>
    <xf applyFill="1" applyFont="1" borderId="0" fillId="0" fontId="17" numFmtId="0" xfId="1980">
      <alignment vertical="center"/>
    </xf>
    <xf applyAlignment="1" applyBorder="1" applyFill="1" applyFont="1" applyNumberFormat="1" borderId="34" fillId="0" fontId="5" numFmtId="0" xfId="1980">
      <alignment horizontal="center" vertical="top" wrapText="1"/>
    </xf>
    <xf applyAlignment="1" applyBorder="1" applyFill="1" applyFont="1" applyNumberFormat="1" borderId="18" fillId="0" fontId="5" numFmtId="0" xfId="1980">
      <alignment horizontal="center" vertical="top" wrapText="1"/>
    </xf>
    <xf applyAlignment="1" applyBorder="1" applyFill="1" applyFont="1" applyNumberFormat="1" borderId="37" fillId="0" fontId="5" numFmtId="0" xfId="1980">
      <alignment horizontal="center" vertical="top" wrapText="1"/>
    </xf>
    <xf applyAlignment="1" applyBorder="1" applyFill="1" applyFont="1" applyNumberFormat="1" borderId="4" fillId="0" fontId="5" numFmtId="0" xfId="1980">
      <alignment horizontal="center" vertical="top" wrapText="1"/>
    </xf>
    <xf applyAlignment="1" applyBorder="1" applyFill="1" applyFont="1" applyNumberFormat="1" borderId="19" fillId="0" fontId="5" numFmtId="0" xfId="1980">
      <alignment horizontal="center" vertical="top" wrapText="1"/>
    </xf>
    <xf applyAlignment="1" applyBorder="1" applyFill="1" applyFont="1" applyNumberFormat="1" borderId="32" fillId="0" fontId="5" numFmtId="0" xfId="1980">
      <alignment horizontal="center" vertical="center" wrapText="1"/>
    </xf>
    <xf applyAlignment="1" applyBorder="1" applyFill="1" applyFont="1" applyNumberFormat="1" borderId="33" fillId="0" fontId="5" numFmtId="0" xfId="1980">
      <alignment horizontal="center" vertical="center" wrapText="1"/>
    </xf>
    <xf applyAlignment="1" applyBorder="1" applyFill="1" applyFont="1" applyNumberFormat="1" borderId="19" fillId="0" fontId="5" numFmtId="0" xfId="1980">
      <alignment horizontal="center" vertical="center" wrapText="1"/>
    </xf>
    <xf applyAlignment="1" applyBorder="1" applyFill="1" applyFont="1" applyNumberFormat="1" borderId="31" fillId="0" fontId="5" numFmtId="0" xfId="1980">
      <alignment horizontal="center" vertical="center" wrapText="1"/>
    </xf>
    <xf applyAlignment="1" applyBorder="1" applyFill="1" applyFont="1" applyNumberFormat="1" borderId="38" fillId="0" fontId="5" numFmtId="0" xfId="1980">
      <alignment horizontal="center" vertical="center" wrapText="1"/>
    </xf>
    <xf applyAlignment="1" applyBorder="1" applyFill="1" applyFont="1" applyNumberFormat="1" borderId="37" fillId="0" fontId="5" numFmtId="0" xfId="1980">
      <alignment horizontal="center" vertical="center" wrapText="1"/>
    </xf>
    <xf applyAlignment="1" applyBorder="1" applyFill="1" applyFont="1" applyNumberFormat="1" borderId="19" fillId="0" fontId="17" numFmtId="189" xfId="1980">
      <alignment horizontal="center" vertical="center"/>
    </xf>
    <xf applyAlignment="1" applyBorder="1" applyFill="1" applyFont="1" applyNumberFormat="1" borderId="19" fillId="0" fontId="17" numFmtId="3" xfId="1980">
      <alignment horizontal="right" vertical="center"/>
    </xf>
    <xf applyAlignment="1" applyBorder="1" applyFill="1" applyFont="1" applyNumberFormat="1" borderId="33" fillId="0" fontId="17" numFmtId="3" xfId="1980">
      <alignment horizontal="right" vertical="center"/>
    </xf>
    <xf applyAlignment="1" applyBorder="1" applyFill="1" applyFont="1" applyNumberFormat="1" borderId="37" fillId="0" fontId="17" numFmtId="3" xfId="1980">
      <alignment horizontal="right" vertical="center"/>
    </xf>
    <xf applyAlignment="1" applyBorder="1" applyFill="1" applyFont="1" applyNumberFormat="1" borderId="15" fillId="0" fontId="17" numFmtId="49" xfId="1980">
      <alignment horizontal="left" vertical="center"/>
    </xf>
    <xf applyAlignment="1" applyBorder="1" applyFill="1" applyFont="1" applyNumberFormat="1" borderId="33" fillId="0" fontId="17" numFmtId="49" xfId="1980">
      <alignment horizontal="left" vertical="center"/>
    </xf>
    <xf applyAlignment="1" applyBorder="1" applyFill="1" applyFont="1" applyNumberFormat="1" borderId="39" fillId="0" fontId="5" numFmtId="49" xfId="1980">
      <alignment horizontal="left" vertical="center"/>
    </xf>
    <xf applyAlignment="1" applyBorder="1" applyFill="1" applyFont="1" applyNumberFormat="1" borderId="33" fillId="0" fontId="5" numFmtId="49" xfId="1980">
      <alignment horizontal="left" vertical="center"/>
    </xf>
    <xf applyAlignment="1" applyBorder="1" applyFill="1" applyFont="1" applyNumberFormat="1" borderId="19" fillId="0" fontId="17" numFmtId="49" xfId="1980">
      <alignment horizontal="left" vertical="center"/>
    </xf>
    <xf applyAlignment="1" applyBorder="1" applyFill="1" applyFont="1" applyNumberFormat="1" borderId="19" fillId="0" fontId="5" numFmtId="0" xfId="1980">
      <alignment horizontal="center" vertical="top" wrapText="1"/>
    </xf>
    <xf applyAlignment="1" applyBorder="1" applyFill="1" applyFont="1" applyNumberFormat="1" borderId="17" fillId="0" fontId="5" numFmtId="0" xfId="1980">
      <alignment horizontal="center" vertical="center" wrapText="1"/>
    </xf>
    <xf applyAlignment="1" applyBorder="1" applyFill="1" applyFont="1" applyNumberFormat="1" borderId="20" fillId="0" fontId="5" numFmtId="0" xfId="1980">
      <alignment horizontal="center" vertical="center" wrapText="1"/>
    </xf>
    <xf applyAlignment="1" applyBorder="1" applyFill="1" applyFont="1" applyNumberFormat="1" borderId="18" fillId="0" fontId="5" numFmtId="0" xfId="1980">
      <alignment horizontal="center" vertical="center" wrapText="1"/>
    </xf>
    <xf applyAlignment="1" applyBorder="1" applyFill="1" applyFont="1" applyNumberFormat="1" borderId="38" fillId="0" fontId="5" numFmtId="0" xfId="1980">
      <alignment horizontal="center" vertical="center" wrapText="1"/>
    </xf>
    <xf applyAlignment="1" applyBorder="1" applyFill="1" applyFont="1" applyNumberFormat="1" borderId="37" fillId="0" fontId="5" numFmtId="0" xfId="1980">
      <alignment horizontal="center" vertical="center" wrapText="1"/>
    </xf>
    <xf applyAlignment="1" applyBorder="1" applyFill="1" applyFont="1" applyNumberFormat="1" borderId="21" fillId="0" fontId="5" numFmtId="0" xfId="1980">
      <alignment horizontal="center" vertical="center" wrapText="1"/>
    </xf>
    <xf applyAlignment="1" applyBorder="1" applyFill="1" applyFont="1" applyNumberFormat="1" borderId="31" fillId="0" fontId="5" numFmtId="0" xfId="1980">
      <alignment horizontal="center" vertical="center" wrapText="1"/>
    </xf>
    <xf applyAlignment="1" applyBorder="1" applyFill="1" applyFont="1" applyNumberFormat="1" borderId="19" fillId="0" fontId="5" numFmtId="0" xfId="1980">
      <alignment horizontal="center" vertical="center" wrapText="1"/>
    </xf>
    <xf applyAlignment="1" applyBorder="1" applyFill="1" applyFont="1" applyNumberFormat="1" borderId="35" fillId="0" fontId="5" numFmtId="0" xfId="1980">
      <alignment horizontal="center" vertical="center" wrapText="1"/>
    </xf>
    <xf applyAlignment="1" applyFill="1" applyFont="1" applyNumberFormat="1" borderId="0" fillId="0" fontId="107" numFmtId="0" xfId="1980">
      <alignment horizontal="left" vertical="top" wrapText="1"/>
    </xf>
    <xf applyAlignment="1" applyBorder="1" applyFill="1" applyFont="1" applyNumberFormat="1" borderId="16" fillId="0" fontId="109" numFmtId="0" xfId="1980">
      <alignment horizontal="left" vertical="top" wrapText="1"/>
    </xf>
    <xf applyAlignment="1" applyBorder="1" applyFill="1" applyFont="1" applyNumberFormat="1" borderId="36" fillId="0" fontId="5" numFmtId="0" xfId="1980">
      <alignment horizontal="center" vertical="center" wrapText="1"/>
    </xf>
    <xf applyAlignment="1" applyBorder="1" applyFill="1" applyFont="1" applyNumberFormat="1" borderId="40" fillId="0" fontId="5" numFmtId="0" xfId="1980">
      <alignment horizontal="center" vertical="center" wrapText="1"/>
    </xf>
    <xf applyAlignment="1" applyBorder="1" applyFill="1" applyFont="1" applyNumberFormat="1" borderId="41" fillId="0" fontId="5" numFmtId="0" xfId="1980">
      <alignment horizontal="center" vertical="center" wrapText="1"/>
    </xf>
    <xf applyAlignment="1" applyBorder="1" applyFill="1" applyFont="1" applyNumberFormat="1" borderId="42" fillId="0" fontId="5" numFmtId="0" xfId="1980">
      <alignment horizontal="center" vertical="center" wrapText="1"/>
    </xf>
    <xf applyAlignment="1" applyBorder="1" applyFill="1" applyFont="1" applyNumberFormat="1" borderId="43" fillId="0" fontId="5" numFmtId="0" xfId="1980">
      <alignment horizontal="center" vertical="center" wrapText="1"/>
    </xf>
    <xf applyAlignment="1" applyBorder="1" applyFill="1" applyFont="1" applyNumberFormat="1" borderId="45" fillId="0" fontId="5" numFmtId="0" xfId="1980">
      <alignment horizontal="center" vertical="center" wrapText="1"/>
    </xf>
    <xf applyAlignment="1" applyBorder="1" applyFill="1" applyFont="1" applyNumberFormat="1" borderId="47" fillId="0" fontId="5" numFmtId="0" xfId="1980">
      <alignment horizontal="center" vertical="center" wrapText="1"/>
    </xf>
    <xf applyAlignment="1" applyBorder="1" applyFill="1" applyFont="1" applyNumberFormat="1" borderId="49" fillId="0" fontId="5" numFmtId="0" xfId="1980">
      <alignment horizontal="center" vertical="center" wrapText="1"/>
    </xf>
    <xf applyAlignment="1" applyBorder="1" applyFill="1" applyFont="1" applyNumberFormat="1" borderId="44" fillId="0" fontId="5" numFmtId="0" xfId="1980">
      <alignment horizontal="center" vertical="center" wrapText="1"/>
    </xf>
    <xf applyAlignment="1" applyBorder="1" applyFill="1" applyFont="1" applyNumberFormat="1" borderId="46" fillId="0" fontId="5" numFmtId="0" xfId="1980">
      <alignment horizontal="center" vertical="center" wrapText="1"/>
    </xf>
    <xf applyAlignment="1" applyBorder="1" applyFill="1" applyFont="1" applyNumberFormat="1" borderId="48" fillId="0" fontId="5" numFmtId="0" xfId="1980">
      <alignment horizontal="center" vertical="center" wrapText="1"/>
    </xf>
  </cellXfs>
  <cellStyles count="1981">
    <cellStyle name="_x000c_ーセン_x000c_" xfId="17"/>
    <cellStyle name="_x000d__x000a_JournalTemplate=C:\COMFO\CTALK\JOURSTD.TPL_x000d__x000a_LbStateAddress=3 3 0 251 1 89 2 311_x000d__x000a_LbStateJou" xfId="18"/>
    <cellStyle name="0,0_x000d__x000a_NA_x000d__x000a_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builtinId="30" customBuiltin="1" name="20% - アクセント 1" xfId="1955"/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1 6" xfId="30"/>
    <cellStyle name="20% - アクセント 1 7" xfId="31"/>
    <cellStyle name="20% - アクセント 1 8" xfId="32"/>
    <cellStyle name="20% - アクセント 1 9" xfId="33"/>
    <cellStyle builtinId="34" customBuiltin="1" name="20% - アクセント 2" xfId="1959"/>
    <cellStyle name="20% - アクセント 2 2" xfId="34"/>
    <cellStyle name="20% - アクセント 2 3" xfId="35"/>
    <cellStyle name="20% - アクセント 2 4" xfId="36"/>
    <cellStyle name="20% - アクセント 2 5" xfId="37"/>
    <cellStyle name="20% - アクセント 2 6" xfId="38"/>
    <cellStyle name="20% - アクセント 2 7" xfId="39"/>
    <cellStyle name="20% - アクセント 2 8" xfId="40"/>
    <cellStyle name="20% - アクセント 2 9" xfId="41"/>
    <cellStyle builtinId="38" customBuiltin="1" name="20% - アクセント 3" xfId="1963"/>
    <cellStyle name="20% - アクセント 3 2" xfId="42"/>
    <cellStyle name="20% - アクセント 3 3" xfId="43"/>
    <cellStyle name="20% - アクセント 3 4" xfId="44"/>
    <cellStyle name="20% - アクセント 3 5" xfId="45"/>
    <cellStyle name="20% - アクセント 3 6" xfId="46"/>
    <cellStyle name="20% - アクセント 3 7" xfId="47"/>
    <cellStyle name="20% - アクセント 3 8" xfId="48"/>
    <cellStyle name="20% - アクセント 3 9" xfId="49"/>
    <cellStyle builtinId="42" customBuiltin="1" name="20% - アクセント 4" xfId="1967"/>
    <cellStyle name="20% - アクセント 4 2" xfId="50"/>
    <cellStyle name="20% - アクセント 4 3" xfId="51"/>
    <cellStyle name="20% - アクセント 4 4" xfId="52"/>
    <cellStyle name="20% - アクセント 4 5" xfId="53"/>
    <cellStyle name="20% - アクセント 4 6" xfId="54"/>
    <cellStyle name="20% - アクセント 4 7" xfId="55"/>
    <cellStyle name="20% - アクセント 4 8" xfId="56"/>
    <cellStyle name="20% - アクセント 4 9" xfId="57"/>
    <cellStyle builtinId="46" customBuiltin="1" name="20% - アクセント 5" xfId="1971"/>
    <cellStyle name="20% - アクセント 5 2" xfId="58"/>
    <cellStyle name="20% - アクセント 5 3" xfId="59"/>
    <cellStyle name="20% - アクセント 5 4" xfId="60"/>
    <cellStyle name="20% - アクセント 5 5" xfId="61"/>
    <cellStyle name="20% - アクセント 5 6" xfId="62"/>
    <cellStyle name="20% - アクセント 5 7" xfId="63"/>
    <cellStyle name="20% - アクセント 5 8" xfId="64"/>
    <cellStyle name="20% - アクセント 5 9" xfId="65"/>
    <cellStyle builtinId="50" customBuiltin="1" name="20% - アクセント 6" xfId="1975"/>
    <cellStyle name="20% - アクセント 6 2" xfId="66"/>
    <cellStyle name="20% - アクセント 6 3" xfId="67"/>
    <cellStyle name="20% - アクセント 6 4" xfId="68"/>
    <cellStyle name="20% - アクセント 6 5" xfId="69"/>
    <cellStyle name="20% - アクセント 6 6" xfId="70"/>
    <cellStyle name="20% - アクセント 6 7" xfId="71"/>
    <cellStyle name="20% - アクセント 6 8" xfId="72"/>
    <cellStyle name="20% - アクセント 6 9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builtinId="31" customBuiltin="1" name="40% - アクセント 1" xfId="1956"/>
    <cellStyle name="40% - アクセント 1 2" xfId="80"/>
    <cellStyle name="40% - アクセント 1 3" xfId="81"/>
    <cellStyle name="40% - アクセント 1 4" xfId="82"/>
    <cellStyle name="40% - アクセント 1 5" xfId="83"/>
    <cellStyle name="40% - アクセント 1 6" xfId="84"/>
    <cellStyle name="40% - アクセント 1 7" xfId="85"/>
    <cellStyle name="40% - アクセント 1 8" xfId="86"/>
    <cellStyle name="40% - アクセント 1 9" xfId="87"/>
    <cellStyle builtinId="35" customBuiltin="1" name="40% - アクセント 2" xfId="1960"/>
    <cellStyle name="40% - アクセント 2 2" xfId="88"/>
    <cellStyle name="40% - アクセント 2 3" xfId="89"/>
    <cellStyle name="40% - アクセント 2 4" xfId="90"/>
    <cellStyle name="40% - アクセント 2 5" xfId="91"/>
    <cellStyle name="40% - アクセント 2 6" xfId="92"/>
    <cellStyle name="40% - アクセント 2 7" xfId="93"/>
    <cellStyle name="40% - アクセント 2 8" xfId="94"/>
    <cellStyle name="40% - アクセント 2 9" xfId="95"/>
    <cellStyle builtinId="39" customBuiltin="1" name="40% - アクセント 3" xfId="1964"/>
    <cellStyle name="40% - アクセント 3 2" xfId="96"/>
    <cellStyle name="40% - アクセント 3 3" xfId="97"/>
    <cellStyle name="40% - アクセント 3 4" xfId="98"/>
    <cellStyle name="40% - アクセント 3 5" xfId="99"/>
    <cellStyle name="40% - アクセント 3 6" xfId="100"/>
    <cellStyle name="40% - アクセント 3 7" xfId="101"/>
    <cellStyle name="40% - アクセント 3 8" xfId="102"/>
    <cellStyle name="40% - アクセント 3 9" xfId="103"/>
    <cellStyle builtinId="43" customBuiltin="1" name="40% - アクセント 4" xfId="1968"/>
    <cellStyle name="40% - アクセント 4 2" xfId="104"/>
    <cellStyle name="40% - アクセント 4 3" xfId="105"/>
    <cellStyle name="40% - アクセント 4 4" xfId="106"/>
    <cellStyle name="40% - アクセント 4 5" xfId="107"/>
    <cellStyle name="40% - アクセント 4 6" xfId="108"/>
    <cellStyle name="40% - アクセント 4 7" xfId="109"/>
    <cellStyle name="40% - アクセント 4 8" xfId="110"/>
    <cellStyle name="40% - アクセント 4 9" xfId="111"/>
    <cellStyle builtinId="47" customBuiltin="1" name="40% - アクセント 5" xfId="1972"/>
    <cellStyle name="40% - アクセント 5 2" xfId="112"/>
    <cellStyle name="40% - アクセント 5 3" xfId="113"/>
    <cellStyle name="40% - アクセント 5 4" xfId="114"/>
    <cellStyle name="40% - アクセント 5 5" xfId="115"/>
    <cellStyle name="40% - アクセント 5 6" xfId="116"/>
    <cellStyle name="40% - アクセント 5 7" xfId="117"/>
    <cellStyle name="40% - アクセント 5 8" xfId="118"/>
    <cellStyle name="40% - アクセント 5 9" xfId="119"/>
    <cellStyle builtinId="51" customBuiltin="1" name="40% - アクセント 6" xfId="1976"/>
    <cellStyle name="40% - アクセント 6 2" xfId="120"/>
    <cellStyle name="40% - アクセント 6 3" xfId="121"/>
    <cellStyle name="40% - アクセント 6 4" xfId="122"/>
    <cellStyle name="40% - アクセント 6 5" xfId="123"/>
    <cellStyle name="40% - アクセント 6 6" xfId="124"/>
    <cellStyle name="40% - アクセント 6 7" xfId="125"/>
    <cellStyle name="40% - アクセント 6 8" xfId="126"/>
    <cellStyle name="40% - アクセント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builtinId="32" customBuiltin="1" name="60% - アクセント 1" xfId="1957"/>
    <cellStyle name="60% - アクセント 1 2" xfId="134"/>
    <cellStyle name="60% - アクセント 1 3" xfId="135"/>
    <cellStyle name="60% - アクセント 1 4" xfId="136"/>
    <cellStyle name="60% - アクセント 1 5" xfId="137"/>
    <cellStyle name="60% - アクセント 1 6" xfId="138"/>
    <cellStyle name="60% - アクセント 1 7" xfId="139"/>
    <cellStyle name="60% - アクセント 1 8" xfId="140"/>
    <cellStyle name="60% - アクセント 1 9" xfId="141"/>
    <cellStyle builtinId="36" customBuiltin="1" name="60% - アクセント 2" xfId="1961"/>
    <cellStyle name="60% - アクセント 2 2" xfId="142"/>
    <cellStyle name="60% - アクセント 2 3" xfId="143"/>
    <cellStyle name="60% - アクセント 2 4" xfId="144"/>
    <cellStyle name="60% - アクセント 2 5" xfId="145"/>
    <cellStyle name="60% - アクセント 2 6" xfId="146"/>
    <cellStyle name="60% - アクセント 2 7" xfId="147"/>
    <cellStyle name="60% - アクセント 2 8" xfId="148"/>
    <cellStyle name="60% - アクセント 2 9" xfId="149"/>
    <cellStyle builtinId="40" customBuiltin="1" name="60% - アクセント 3" xfId="1965"/>
    <cellStyle name="60% - アクセント 3 2" xfId="150"/>
    <cellStyle name="60% - アクセント 3 3" xfId="151"/>
    <cellStyle name="60% - アクセント 3 4" xfId="152"/>
    <cellStyle name="60% - アクセント 3 5" xfId="153"/>
    <cellStyle name="60% - アクセント 3 6" xfId="154"/>
    <cellStyle name="60% - アクセント 3 7" xfId="155"/>
    <cellStyle name="60% - アクセント 3 8" xfId="156"/>
    <cellStyle name="60% - アクセント 3 9" xfId="157"/>
    <cellStyle builtinId="44" customBuiltin="1" name="60% - アクセント 4" xfId="1969"/>
    <cellStyle name="60% - アクセント 4 2" xfId="158"/>
    <cellStyle name="60% - アクセント 4 3" xfId="159"/>
    <cellStyle name="60% - アクセント 4 4" xfId="160"/>
    <cellStyle name="60% - アクセント 4 5" xfId="161"/>
    <cellStyle name="60% - アクセント 4 6" xfId="162"/>
    <cellStyle name="60% - アクセント 4 7" xfId="163"/>
    <cellStyle name="60% - アクセント 4 8" xfId="164"/>
    <cellStyle name="60% - アクセント 4 9" xfId="165"/>
    <cellStyle builtinId="48" customBuiltin="1" name="60% - アクセント 5" xfId="1973"/>
    <cellStyle name="60% - アクセント 5 2" xfId="166"/>
    <cellStyle name="60% - アクセント 5 3" xfId="167"/>
    <cellStyle name="60% - アクセント 5 4" xfId="168"/>
    <cellStyle name="60% - アクセント 5 5" xfId="169"/>
    <cellStyle name="60% - アクセント 5 6" xfId="170"/>
    <cellStyle name="60% - アクセント 5 7" xfId="171"/>
    <cellStyle name="60% - アクセント 5 8" xfId="172"/>
    <cellStyle name="60% - アクセント 5 9" xfId="173"/>
    <cellStyle builtinId="52" customBuiltin="1" name="60% - アクセント 6" xfId="1977"/>
    <cellStyle name="60% - アクセント 6 2" xfId="174"/>
    <cellStyle name="60% - アクセント 6 3" xfId="175"/>
    <cellStyle name="60% - アクセント 6 4" xfId="176"/>
    <cellStyle name="60% - アクセント 6 5" xfId="177"/>
    <cellStyle name="60% - アクセント 6 6" xfId="178"/>
    <cellStyle name="60% - アクセント 6 7" xfId="179"/>
    <cellStyle name="60% - アクセント 6 8" xfId="180"/>
    <cellStyle name="60% - アクセント 6 9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args.style" xfId="188"/>
    <cellStyle name="B10" xfId="189"/>
    <cellStyle name="Bad" xfId="190"/>
    <cellStyle name="Body" xfId="191"/>
    <cellStyle name="Calc Currency (0)" xfId="2"/>
    <cellStyle name="Calc Currency (0) 2" xfId="192"/>
    <cellStyle name="Calculation" xfId="193"/>
    <cellStyle name="Calculation 2" xfId="194"/>
    <cellStyle name="Calculation 2 2" xfId="195"/>
    <cellStyle name="Calculation 2 2 2" xfId="196"/>
    <cellStyle name="Calculation 2 3" xfId="197"/>
    <cellStyle name="Calculation 2 3 2" xfId="198"/>
    <cellStyle name="Calculation 2 4" xfId="199"/>
    <cellStyle name="Calculation 2 4 2" xfId="200"/>
    <cellStyle name="Calculation 2 5" xfId="201"/>
    <cellStyle name="Calculation 2 5 2" xfId="202"/>
    <cellStyle name="Calculation 2 6" xfId="203"/>
    <cellStyle name="Calculation 2 6 2" xfId="204"/>
    <cellStyle name="Calculation 2 7" xfId="205"/>
    <cellStyle name="Calculation 3" xfId="206"/>
    <cellStyle name="Calculation 3 2" xfId="207"/>
    <cellStyle name="Calculation 4" xfId="208"/>
    <cellStyle name="Check Cell" xfId="209"/>
    <cellStyle name="Column Heading" xfId="210"/>
    <cellStyle name="Comma [0]_laroux" xfId="211"/>
    <cellStyle name="Comma_laroux" xfId="212"/>
    <cellStyle name="Currency [0]_laroux" xfId="213"/>
    <cellStyle name="Currency_laroux" xfId="214"/>
    <cellStyle name="entry" xfId="215"/>
    <cellStyle name="Explanatory Text" xfId="216"/>
    <cellStyle name="Good" xfId="217"/>
    <cellStyle name="Grey" xfId="218"/>
    <cellStyle name="Head 1" xfId="219"/>
    <cellStyle name="Header1" xfId="3"/>
    <cellStyle name="Header2" xfId="4"/>
    <cellStyle name="Header2 2" xfId="220"/>
    <cellStyle name="Header2 2 2" xfId="221"/>
    <cellStyle name="Header2 2 2 2" xfId="222"/>
    <cellStyle name="Header2 2 2 3" xfId="223"/>
    <cellStyle name="Header2 2 2 4" xfId="224"/>
    <cellStyle name="Header2 2 2 5" xfId="225"/>
    <cellStyle name="Header2 2 2 6" xfId="226"/>
    <cellStyle name="Header2 2 2 7" xfId="227"/>
    <cellStyle name="Header2 2 2 7 2" xfId="228"/>
    <cellStyle name="Header2 2 3" xfId="229"/>
    <cellStyle name="Header2 2 3 2" xfId="230"/>
    <cellStyle name="Header2 2 3 3" xfId="231"/>
    <cellStyle name="Header2 3" xfId="232"/>
    <cellStyle name="Header2 3 2" xfId="233"/>
    <cellStyle name="Header2 3 2 2" xfId="234"/>
    <cellStyle name="Header2 3 2 3" xfId="235"/>
    <cellStyle name="Header2 3 2 4" xfId="236"/>
    <cellStyle name="Header2 3 2 5" xfId="237"/>
    <cellStyle name="Header2 3 2 6" xfId="238"/>
    <cellStyle name="Header2 3 2 7" xfId="239"/>
    <cellStyle name="Header2 3 2 7 2" xfId="240"/>
    <cellStyle name="Header2 3 3" xfId="241"/>
    <cellStyle name="Header2 3 4" xfId="242"/>
    <cellStyle name="Header2 3 5" xfId="243"/>
    <cellStyle name="Header2 3 6" xfId="244"/>
    <cellStyle name="Header2 3 7" xfId="245"/>
    <cellStyle name="Header2 3 8" xfId="246"/>
    <cellStyle name="Header2 3 9" xfId="247"/>
    <cellStyle name="Header2 3 9 2" xfId="248"/>
    <cellStyle name="Header2 3 9 3" xfId="249"/>
    <cellStyle name="Header2 4" xfId="250"/>
    <cellStyle name="Header2 4 2" xfId="251"/>
    <cellStyle name="Header2 4 3" xfId="252"/>
    <cellStyle name="Header2 4 4" xfId="253"/>
    <cellStyle name="Header2 4 5" xfId="254"/>
    <cellStyle name="Header2 4 6" xfId="255"/>
    <cellStyle name="Header2 4 7" xfId="256"/>
    <cellStyle name="Header2 4 7 2" xfId="257"/>
    <cellStyle name="Header2 5" xfId="258"/>
    <cellStyle name="Header2 6" xfId="259"/>
    <cellStyle name="Header2 7" xfId="260"/>
    <cellStyle name="Header2 7 2" xfId="261"/>
    <cellStyle name="Header2 7 3" xfId="262"/>
    <cellStyle name="Heading 1" xfId="263"/>
    <cellStyle name="Heading 2" xfId="264"/>
    <cellStyle name="Heading 3" xfId="265"/>
    <cellStyle name="Heading 4" xfId="266"/>
    <cellStyle name="IBM(401K)" xfId="267"/>
    <cellStyle name="Input" xfId="268"/>
    <cellStyle name="Input [yellow]" xfId="269"/>
    <cellStyle name="Input [yellow] 2" xfId="270"/>
    <cellStyle name="Input [yellow] 2 2" xfId="271"/>
    <cellStyle name="Input [yellow] 2 2 2" xfId="272"/>
    <cellStyle name="Input [yellow] 2 2 3" xfId="273"/>
    <cellStyle name="Input [yellow] 2 2 4" xfId="274"/>
    <cellStyle name="Input [yellow] 2 2 5" xfId="275"/>
    <cellStyle name="Input [yellow] 2 2 6" xfId="276"/>
    <cellStyle name="Input [yellow] 2 2 7" xfId="277"/>
    <cellStyle name="Input [yellow] 2 2 8" xfId="278"/>
    <cellStyle name="Input [yellow] 2 2 9" xfId="279"/>
    <cellStyle name="Input [yellow] 2 3" xfId="280"/>
    <cellStyle name="Input [yellow] 2 3 2" xfId="281"/>
    <cellStyle name="Input [yellow] 2 3 3" xfId="282"/>
    <cellStyle name="Input [yellow] 3" xfId="283"/>
    <cellStyle name="Input [yellow] 3 2" xfId="284"/>
    <cellStyle name="Input [yellow] 3 2 2" xfId="285"/>
    <cellStyle name="Input [yellow] 3 2 3" xfId="286"/>
    <cellStyle name="Input [yellow] 3 2 4" xfId="287"/>
    <cellStyle name="Input [yellow] 3 2 5" xfId="288"/>
    <cellStyle name="Input [yellow] 3 2 6" xfId="289"/>
    <cellStyle name="Input [yellow] 3 2 7" xfId="290"/>
    <cellStyle name="Input [yellow] 3 2 8" xfId="291"/>
    <cellStyle name="Input [yellow] 3 2 9" xfId="292"/>
    <cellStyle name="Input [yellow] 3 3" xfId="293"/>
    <cellStyle name="Input [yellow] 3 4" xfId="294"/>
    <cellStyle name="Input [yellow] 3 5" xfId="295"/>
    <cellStyle name="Input [yellow] 3 6" xfId="296"/>
    <cellStyle name="Input [yellow] 3 7" xfId="297"/>
    <cellStyle name="Input [yellow] 3 8" xfId="298"/>
    <cellStyle name="Input [yellow] 3 9" xfId="299"/>
    <cellStyle name="Input [yellow] 3 9 2" xfId="300"/>
    <cellStyle name="Input [yellow] 3 9 3" xfId="301"/>
    <cellStyle name="Input [yellow] 4" xfId="302"/>
    <cellStyle name="Input [yellow] 4 2" xfId="303"/>
    <cellStyle name="Input [yellow] 4 3" xfId="304"/>
    <cellStyle name="Input [yellow] 4 4" xfId="305"/>
    <cellStyle name="Input [yellow] 4 5" xfId="306"/>
    <cellStyle name="Input [yellow] 4 6" xfId="307"/>
    <cellStyle name="Input [yellow] 4 7" xfId="308"/>
    <cellStyle name="Input [yellow] 4 8" xfId="309"/>
    <cellStyle name="Input [yellow] 4 8 2" xfId="310"/>
    <cellStyle name="Input [yellow] 4 8 3" xfId="311"/>
    <cellStyle name="Input [yellow] 5" xfId="312"/>
    <cellStyle name="Input [yellow] 6" xfId="313"/>
    <cellStyle name="Input [yellow] 7" xfId="314"/>
    <cellStyle name="Input [yellow] 7 2" xfId="315"/>
    <cellStyle name="Input [yellow] 7 3" xfId="316"/>
    <cellStyle name="Input 10" xfId="317"/>
    <cellStyle name="Input 10 2" xfId="318"/>
    <cellStyle name="Input 11" xfId="319"/>
    <cellStyle name="Input 11 2" xfId="320"/>
    <cellStyle name="Input 12" xfId="321"/>
    <cellStyle name="Input 12 2" xfId="322"/>
    <cellStyle name="Input 13" xfId="323"/>
    <cellStyle name="Input 13 2" xfId="324"/>
    <cellStyle name="Input 14" xfId="325"/>
    <cellStyle name="Input 14 2" xfId="326"/>
    <cellStyle name="Input 15" xfId="327"/>
    <cellStyle name="Input 15 2" xfId="328"/>
    <cellStyle name="Input 16" xfId="329"/>
    <cellStyle name="Input 16 2" xfId="330"/>
    <cellStyle name="Input 17" xfId="331"/>
    <cellStyle name="Input 17 2" xfId="332"/>
    <cellStyle name="Input 18" xfId="333"/>
    <cellStyle name="Input 19" xfId="334"/>
    <cellStyle name="Input 2" xfId="335"/>
    <cellStyle name="Input 2 2" xfId="336"/>
    <cellStyle name="Input 2 2 2" xfId="337"/>
    <cellStyle name="Input 2 3" xfId="338"/>
    <cellStyle name="Input 2 3 2" xfId="339"/>
    <cellStyle name="Input 2 4" xfId="340"/>
    <cellStyle name="Input 2 4 2" xfId="341"/>
    <cellStyle name="Input 2 5" xfId="342"/>
    <cellStyle name="Input 2 5 2" xfId="343"/>
    <cellStyle name="Input 2 6" xfId="344"/>
    <cellStyle name="Input 2 6 2" xfId="345"/>
    <cellStyle name="Input 2 7" xfId="346"/>
    <cellStyle name="Input 20" xfId="347"/>
    <cellStyle name="Input 21" xfId="348"/>
    <cellStyle name="Input 22" xfId="349"/>
    <cellStyle name="Input 23" xfId="350"/>
    <cellStyle name="Input 24" xfId="351"/>
    <cellStyle name="Input 25" xfId="352"/>
    <cellStyle name="Input 26" xfId="353"/>
    <cellStyle name="Input 3" xfId="354"/>
    <cellStyle name="Input 3 2" xfId="355"/>
    <cellStyle name="Input 4" xfId="356"/>
    <cellStyle name="Input 4 2" xfId="357"/>
    <cellStyle name="Input 5" xfId="358"/>
    <cellStyle name="Input 5 2" xfId="359"/>
    <cellStyle name="Input 6" xfId="360"/>
    <cellStyle name="Input 6 2" xfId="361"/>
    <cellStyle name="Input 7" xfId="362"/>
    <cellStyle name="Input 7 2" xfId="363"/>
    <cellStyle name="Input 8" xfId="364"/>
    <cellStyle name="Input 8 2" xfId="365"/>
    <cellStyle name="Input 9" xfId="366"/>
    <cellStyle name="Input 9 2" xfId="367"/>
    <cellStyle name="J401K" xfId="368"/>
    <cellStyle name="Linked Cell" xfId="369"/>
    <cellStyle name="Millares [0]_Compra" xfId="370"/>
    <cellStyle name="Millares_Compra" xfId="371"/>
    <cellStyle name="Moneda [0]_Compra" xfId="372"/>
    <cellStyle name="Moneda_Compra" xfId="373"/>
    <cellStyle name="Neutral" xfId="374"/>
    <cellStyle name="no dec" xfId="375"/>
    <cellStyle name="Normal - Style1" xfId="5"/>
    <cellStyle name="Normal - Style1 2" xfId="376"/>
    <cellStyle name="Normal - Style1 2 2" xfId="377"/>
    <cellStyle name="Normal - Style1 2 3" xfId="378"/>
    <cellStyle name="Normal_#18-Internet" xfId="6"/>
    <cellStyle name="Note" xfId="379"/>
    <cellStyle name="Note 2" xfId="380"/>
    <cellStyle name="Note 2 2" xfId="381"/>
    <cellStyle name="Note 2 2 2" xfId="382"/>
    <cellStyle name="Note 2 2 2 2" xfId="383"/>
    <cellStyle name="Note 2 2 3" xfId="384"/>
    <cellStyle name="Note 2 2 3 2" xfId="385"/>
    <cellStyle name="Note 2 2 4" xfId="386"/>
    <cellStyle name="Note 2 2 4 2" xfId="387"/>
    <cellStyle name="Note 2 2 5" xfId="388"/>
    <cellStyle name="Note 2 2 5 2" xfId="389"/>
    <cellStyle name="Note 2 2 6" xfId="390"/>
    <cellStyle name="Note 2 2 6 2" xfId="391"/>
    <cellStyle name="Note 2 2 7" xfId="392"/>
    <cellStyle name="Note 2 3" xfId="393"/>
    <cellStyle name="Note 2 3 2" xfId="394"/>
    <cellStyle name="Note 2 4" xfId="395"/>
    <cellStyle name="Note 3" xfId="396"/>
    <cellStyle name="Note 3 2" xfId="397"/>
    <cellStyle name="Note 3 2 2" xfId="398"/>
    <cellStyle name="Note 3 2 2 2" xfId="399"/>
    <cellStyle name="Note 3 2 3" xfId="400"/>
    <cellStyle name="Note 3 2 3 2" xfId="401"/>
    <cellStyle name="Note 3 2 4" xfId="402"/>
    <cellStyle name="Note 3 2 4 2" xfId="403"/>
    <cellStyle name="Note 3 2 5" xfId="404"/>
    <cellStyle name="Note 3 2 5 2" xfId="405"/>
    <cellStyle name="Note 3 2 6" xfId="406"/>
    <cellStyle name="Note 3 2 6 2" xfId="407"/>
    <cellStyle name="Note 3 2 7" xfId="408"/>
    <cellStyle name="Note 3 3" xfId="409"/>
    <cellStyle name="Note 3 3 2" xfId="410"/>
    <cellStyle name="Note 3 4" xfId="411"/>
    <cellStyle name="Note 3 4 2" xfId="412"/>
    <cellStyle name="Note 3 5" xfId="413"/>
    <cellStyle name="Note 3 5 2" xfId="414"/>
    <cellStyle name="Note 3 6" xfId="415"/>
    <cellStyle name="Note 3 6 2" xfId="416"/>
    <cellStyle name="Note 3 7" xfId="417"/>
    <cellStyle name="Note 3 7 2" xfId="418"/>
    <cellStyle name="Note 3 8" xfId="419"/>
    <cellStyle name="Note 4" xfId="420"/>
    <cellStyle name="Note 4 2" xfId="421"/>
    <cellStyle name="Note 4 2 2" xfId="422"/>
    <cellStyle name="Note 4 3" xfId="423"/>
    <cellStyle name="Note 4 3 2" xfId="424"/>
    <cellStyle name="Note 4 4" xfId="425"/>
    <cellStyle name="Note 4 4 2" xfId="426"/>
    <cellStyle name="Note 4 5" xfId="427"/>
    <cellStyle name="Note 4 5 2" xfId="428"/>
    <cellStyle name="Note 4 6" xfId="429"/>
    <cellStyle name="Note 4 6 2" xfId="430"/>
    <cellStyle name="Note 4 7" xfId="431"/>
    <cellStyle name="Note 5" xfId="432"/>
    <cellStyle name="Note 5 2" xfId="433"/>
    <cellStyle name="Output" xfId="434"/>
    <cellStyle name="Output 2" xfId="435"/>
    <cellStyle name="Output 2 2" xfId="436"/>
    <cellStyle name="Output 2 2 2" xfId="437"/>
    <cellStyle name="Output 2 3" xfId="438"/>
    <cellStyle name="Output 2 3 2" xfId="439"/>
    <cellStyle name="Output 2 4" xfId="440"/>
    <cellStyle name="Output 2 4 2" xfId="441"/>
    <cellStyle name="Output 2 5" xfId="442"/>
    <cellStyle name="Output 2 5 2" xfId="443"/>
    <cellStyle name="Output 2 6" xfId="444"/>
    <cellStyle name="Output 2 6 2" xfId="445"/>
    <cellStyle name="Output 2 7" xfId="446"/>
    <cellStyle name="Output 3" xfId="447"/>
    <cellStyle name="Output 3 2" xfId="448"/>
    <cellStyle name="per.style" xfId="449"/>
    <cellStyle name="Percent [2]" xfId="450"/>
    <cellStyle name="price" xfId="451"/>
    <cellStyle name="PSChar" xfId="452"/>
    <cellStyle name="PSHeading" xfId="453"/>
    <cellStyle name="QDF" xfId="454"/>
    <cellStyle name="revised" xfId="455"/>
    <cellStyle name="section" xfId="456"/>
    <cellStyle name="subhead" xfId="457"/>
    <cellStyle name="title" xfId="458"/>
    <cellStyle name="Total" xfId="459"/>
    <cellStyle name="Total 2" xfId="460"/>
    <cellStyle name="Total 2 2" xfId="461"/>
    <cellStyle name="Total 2 2 2" xfId="462"/>
    <cellStyle name="Total 2 3" xfId="463"/>
    <cellStyle name="Total 2 3 2" xfId="464"/>
    <cellStyle name="Total 2 4" xfId="465"/>
    <cellStyle name="Total 2 4 2" xfId="466"/>
    <cellStyle name="Total 2 5" xfId="467"/>
    <cellStyle name="Total 2 5 2" xfId="468"/>
    <cellStyle name="Total 2 6" xfId="469"/>
    <cellStyle name="Total 2 6 2" xfId="470"/>
    <cellStyle name="Total 2 7" xfId="471"/>
    <cellStyle name="Total 3" xfId="472"/>
    <cellStyle name="Total 3 2" xfId="473"/>
    <cellStyle name="Warning Text" xfId="474"/>
    <cellStyle builtinId="29" customBuiltin="1" name="アクセント 1" xfId="1954"/>
    <cellStyle name="アクセント 1 2" xfId="475"/>
    <cellStyle name="アクセント 1 3" xfId="476"/>
    <cellStyle name="アクセント 1 4" xfId="477"/>
    <cellStyle name="アクセント 1 5" xfId="478"/>
    <cellStyle name="アクセント 1 6" xfId="479"/>
    <cellStyle name="アクセント 1 7" xfId="480"/>
    <cellStyle name="アクセント 1 8" xfId="481"/>
    <cellStyle name="アクセント 1 9" xfId="482"/>
    <cellStyle builtinId="33" customBuiltin="1" name="アクセント 2" xfId="1958"/>
    <cellStyle name="アクセント 2 2" xfId="483"/>
    <cellStyle name="アクセント 2 3" xfId="484"/>
    <cellStyle name="アクセント 2 4" xfId="485"/>
    <cellStyle name="アクセント 2 5" xfId="486"/>
    <cellStyle name="アクセント 2 6" xfId="487"/>
    <cellStyle name="アクセント 2 7" xfId="488"/>
    <cellStyle name="アクセント 2 8" xfId="489"/>
    <cellStyle name="アクセント 2 9" xfId="490"/>
    <cellStyle builtinId="37" customBuiltin="1" name="アクセント 3" xfId="1962"/>
    <cellStyle name="アクセント 3 2" xfId="491"/>
    <cellStyle name="アクセント 3 3" xfId="492"/>
    <cellStyle name="アクセント 3 4" xfId="493"/>
    <cellStyle name="アクセント 3 5" xfId="494"/>
    <cellStyle name="アクセント 3 6" xfId="495"/>
    <cellStyle name="アクセント 3 7" xfId="496"/>
    <cellStyle name="アクセント 3 8" xfId="497"/>
    <cellStyle name="アクセント 3 9" xfId="498"/>
    <cellStyle builtinId="41" customBuiltin="1" name="アクセント 4" xfId="1966"/>
    <cellStyle name="アクセント 4 2" xfId="499"/>
    <cellStyle name="アクセント 4 3" xfId="500"/>
    <cellStyle name="アクセント 4 4" xfId="501"/>
    <cellStyle name="アクセント 4 5" xfId="502"/>
    <cellStyle name="アクセント 4 6" xfId="503"/>
    <cellStyle name="アクセント 4 7" xfId="504"/>
    <cellStyle name="アクセント 4 8" xfId="505"/>
    <cellStyle name="アクセント 4 9" xfId="506"/>
    <cellStyle builtinId="45" customBuiltin="1" name="アクセント 5" xfId="1970"/>
    <cellStyle name="アクセント 5 2" xfId="507"/>
    <cellStyle name="アクセント 5 3" xfId="508"/>
    <cellStyle name="アクセント 5 4" xfId="509"/>
    <cellStyle name="アクセント 5 5" xfId="510"/>
    <cellStyle name="アクセント 5 6" xfId="511"/>
    <cellStyle name="アクセント 5 7" xfId="512"/>
    <cellStyle name="アクセント 5 8" xfId="513"/>
    <cellStyle name="アクセント 5 9" xfId="514"/>
    <cellStyle builtinId="49" customBuiltin="1" name="アクセント 6" xfId="1974"/>
    <cellStyle name="アクセント 6 2" xfId="515"/>
    <cellStyle name="アクセント 6 3" xfId="516"/>
    <cellStyle name="アクセント 6 4" xfId="517"/>
    <cellStyle name="アクセント 6 5" xfId="518"/>
    <cellStyle name="アクセント 6 6" xfId="519"/>
    <cellStyle name="アクセント 6 7" xfId="520"/>
    <cellStyle name="アクセント 6 8" xfId="521"/>
    <cellStyle name="アクセント 6 9" xfId="522"/>
    <cellStyle name="センター" xfId="523"/>
    <cellStyle builtinId="15" customBuiltin="1" name="タイトル" xfId="1938"/>
    <cellStyle name="タイトル 2" xfId="524"/>
    <cellStyle name="タイトル 3" xfId="525"/>
    <cellStyle name="タイトル 4" xfId="526"/>
    <cellStyle name="タイトル 5" xfId="527"/>
    <cellStyle name="タイトル 6" xfId="528"/>
    <cellStyle name="タイトル 7" xfId="529"/>
    <cellStyle name="タイトル 8" xfId="530"/>
    <cellStyle name="タイトル 9" xfId="531"/>
    <cellStyle builtinId="23" customBuiltin="1" name="チェック セル" xfId="1950"/>
    <cellStyle name="チェック セル 2" xfId="532"/>
    <cellStyle name="チェック セル 3" xfId="533"/>
    <cellStyle name="チェック セル 4" xfId="534"/>
    <cellStyle name="チェック セル 5" xfId="535"/>
    <cellStyle name="チェック セル 6" xfId="536"/>
    <cellStyle name="チェック セル 7" xfId="537"/>
    <cellStyle name="チェック セル 8" xfId="538"/>
    <cellStyle name="チェック セル 9" xfId="539"/>
    <cellStyle name="チャート" xfId="540"/>
    <cellStyle builtinId="28" customBuiltin="1" name="どちらでもない" xfId="1945"/>
    <cellStyle name="どちらでもない 2" xfId="541"/>
    <cellStyle name="どちらでもない 3" xfId="542"/>
    <cellStyle name="どちらでもない 4" xfId="543"/>
    <cellStyle name="どちらでもない 5" xfId="544"/>
    <cellStyle name="どちらでもない 6" xfId="545"/>
    <cellStyle name="どちらでもない 7" xfId="546"/>
    <cellStyle name="どちらでもない 8" xfId="547"/>
    <cellStyle name="どちらでもない 9" xfId="548"/>
    <cellStyle name="パーセント 2" xfId="549"/>
    <cellStyle name="パーセント 2 2" xfId="550"/>
    <cellStyle name="パーセント 3" xfId="551"/>
    <cellStyle name="ハイパーリンク 2" xfId="552"/>
    <cellStyle name="ハイパーリンク 2 2" xfId="553"/>
    <cellStyle name="ハイパーリンク 2 3" xfId="554"/>
    <cellStyle name="ハイパーリンク 3" xfId="555"/>
    <cellStyle name="メモ 10" xfId="1979"/>
    <cellStyle name="メモ 2" xfId="556"/>
    <cellStyle name="メモ 2 2" xfId="557"/>
    <cellStyle name="メモ 2 2 2" xfId="558"/>
    <cellStyle name="メモ 2 2 2 2" xfId="559"/>
    <cellStyle name="メモ 2 2 2 2 2" xfId="560"/>
    <cellStyle name="メモ 2 2 2 3" xfId="561"/>
    <cellStyle name="メモ 2 2 2 3 2" xfId="562"/>
    <cellStyle name="メモ 2 2 2 4" xfId="563"/>
    <cellStyle name="メモ 2 2 2 4 2" xfId="564"/>
    <cellStyle name="メモ 2 2 2 5" xfId="565"/>
    <cellStyle name="メモ 2 2 2 5 2" xfId="566"/>
    <cellStyle name="メモ 2 2 2 6" xfId="567"/>
    <cellStyle name="メモ 2 2 2 6 2" xfId="568"/>
    <cellStyle name="メモ 2 2 2 7" xfId="569"/>
    <cellStyle name="メモ 2 2 3" xfId="570"/>
    <cellStyle name="メモ 2 2 3 2" xfId="571"/>
    <cellStyle name="メモ 2 2 4" xfId="572"/>
    <cellStyle name="メモ 2 3" xfId="573"/>
    <cellStyle name="メモ 2 3 2" xfId="574"/>
    <cellStyle name="メモ 2 3 2 2" xfId="575"/>
    <cellStyle name="メモ 2 3 2 2 2" xfId="576"/>
    <cellStyle name="メモ 2 3 2 3" xfId="577"/>
    <cellStyle name="メモ 2 3 2 3 2" xfId="578"/>
    <cellStyle name="メモ 2 3 2 4" xfId="579"/>
    <cellStyle name="メモ 2 3 2 4 2" xfId="580"/>
    <cellStyle name="メモ 2 3 2 5" xfId="581"/>
    <cellStyle name="メモ 2 3 2 5 2" xfId="582"/>
    <cellStyle name="メモ 2 3 2 6" xfId="583"/>
    <cellStyle name="メモ 2 3 2 6 2" xfId="584"/>
    <cellStyle name="メモ 2 3 2 7" xfId="585"/>
    <cellStyle name="メモ 2 3 3" xfId="586"/>
    <cellStyle name="メモ 2 3 3 2" xfId="587"/>
    <cellStyle name="メモ 2 4" xfId="588"/>
    <cellStyle name="メモ 2 4 2" xfId="589"/>
    <cellStyle name="メモ 2 4 2 2" xfId="590"/>
    <cellStyle name="メモ 2 4 2 2 2" xfId="591"/>
    <cellStyle name="メモ 2 4 2 3" xfId="592"/>
    <cellStyle name="メモ 2 4 2 3 2" xfId="593"/>
    <cellStyle name="メモ 2 4 2 4" xfId="594"/>
    <cellStyle name="メモ 2 4 2 4 2" xfId="595"/>
    <cellStyle name="メモ 2 4 2 5" xfId="596"/>
    <cellStyle name="メモ 2 4 2 5 2" xfId="597"/>
    <cellStyle name="メモ 2 4 2 6" xfId="598"/>
    <cellStyle name="メモ 2 4 2 6 2" xfId="599"/>
    <cellStyle name="メモ 2 4 2 7" xfId="600"/>
    <cellStyle name="メモ 2 4 3" xfId="601"/>
    <cellStyle name="メモ 2 4 3 2" xfId="602"/>
    <cellStyle name="メモ 2 4 4" xfId="603"/>
    <cellStyle name="メモ 2 4 4 2" xfId="604"/>
    <cellStyle name="メモ 2 4 5" xfId="605"/>
    <cellStyle name="メモ 2 4 5 2" xfId="606"/>
    <cellStyle name="メモ 2 4 6" xfId="607"/>
    <cellStyle name="メモ 2 4 6 2" xfId="608"/>
    <cellStyle name="メモ 2 4 7" xfId="609"/>
    <cellStyle name="メモ 2 4 7 2" xfId="610"/>
    <cellStyle name="メモ 2 4 8" xfId="611"/>
    <cellStyle name="メモ 2 5" xfId="612"/>
    <cellStyle name="メモ 2 5 2" xfId="613"/>
    <cellStyle name="メモ 2 5 2 2" xfId="614"/>
    <cellStyle name="メモ 2 5 2 2 2" xfId="615"/>
    <cellStyle name="メモ 2 5 2 3" xfId="616"/>
    <cellStyle name="メモ 2 5 2 3 2" xfId="617"/>
    <cellStyle name="メモ 2 5 2 4" xfId="618"/>
    <cellStyle name="メモ 2 5 2 4 2" xfId="619"/>
    <cellStyle name="メモ 2 5 2 5" xfId="620"/>
    <cellStyle name="メモ 2 5 2 5 2" xfId="621"/>
    <cellStyle name="メモ 2 5 2 6" xfId="622"/>
    <cellStyle name="メモ 2 5 2 6 2" xfId="623"/>
    <cellStyle name="メモ 2 5 2 7" xfId="624"/>
    <cellStyle name="メモ 2 5 3" xfId="625"/>
    <cellStyle name="メモ 2 5 3 2" xfId="626"/>
    <cellStyle name="メモ 2 5 4" xfId="627"/>
    <cellStyle name="メモ 2 5 4 2" xfId="628"/>
    <cellStyle name="メモ 2 5 5" xfId="629"/>
    <cellStyle name="メモ 2 5 5 2" xfId="630"/>
    <cellStyle name="メモ 2 5 6" xfId="631"/>
    <cellStyle name="メモ 2 5 6 2" xfId="632"/>
    <cellStyle name="メモ 2 5 7" xfId="633"/>
    <cellStyle name="メモ 2 5 7 2" xfId="634"/>
    <cellStyle name="メモ 2 5 8" xfId="635"/>
    <cellStyle name="メモ 2 6" xfId="636"/>
    <cellStyle name="メモ 2 6 2" xfId="637"/>
    <cellStyle name="メモ 2 6 2 2" xfId="638"/>
    <cellStyle name="メモ 2 6 2 2 2" xfId="639"/>
    <cellStyle name="メモ 2 6 2 3" xfId="640"/>
    <cellStyle name="メモ 2 6 2 3 2" xfId="641"/>
    <cellStyle name="メモ 2 6 2 4" xfId="642"/>
    <cellStyle name="メモ 2 6 2 4 2" xfId="643"/>
    <cellStyle name="メモ 2 6 2 5" xfId="644"/>
    <cellStyle name="メモ 2 6 2 5 2" xfId="645"/>
    <cellStyle name="メモ 2 6 2 6" xfId="646"/>
    <cellStyle name="メモ 2 6 2 6 2" xfId="647"/>
    <cellStyle name="メモ 2 6 2 7" xfId="648"/>
    <cellStyle name="メモ 2 6 3" xfId="649"/>
    <cellStyle name="メモ 2 6 3 2" xfId="650"/>
    <cellStyle name="メモ 2 6 4" xfId="651"/>
    <cellStyle name="メモ 2 6 4 2" xfId="652"/>
    <cellStyle name="メモ 2 6 5" xfId="653"/>
    <cellStyle name="メモ 2 6 5 2" xfId="654"/>
    <cellStyle name="メモ 2 6 6" xfId="655"/>
    <cellStyle name="メモ 2 6 6 2" xfId="656"/>
    <cellStyle name="メモ 2 6 7" xfId="657"/>
    <cellStyle name="メモ 2 6 7 2" xfId="658"/>
    <cellStyle name="メモ 2 6 8" xfId="659"/>
    <cellStyle name="メモ 2 7" xfId="660"/>
    <cellStyle name="メモ 2 7 2" xfId="661"/>
    <cellStyle name="メモ 2 7 2 2" xfId="662"/>
    <cellStyle name="メモ 2 7 3" xfId="663"/>
    <cellStyle name="メモ 2 7 3 2" xfId="664"/>
    <cellStyle name="メモ 2 7 4" xfId="665"/>
    <cellStyle name="メモ 2 7 4 2" xfId="666"/>
    <cellStyle name="メモ 2 7 5" xfId="667"/>
    <cellStyle name="メモ 2 7 5 2" xfId="668"/>
    <cellStyle name="メモ 2 7 6" xfId="669"/>
    <cellStyle name="メモ 2 7 6 2" xfId="670"/>
    <cellStyle name="メモ 2 7 7" xfId="671"/>
    <cellStyle name="メモ 2 8" xfId="672"/>
    <cellStyle name="メモ 2 8 2" xfId="673"/>
    <cellStyle name="メモ 3" xfId="674"/>
    <cellStyle name="メモ 3 2" xfId="675"/>
    <cellStyle name="メモ 3 2 2" xfId="676"/>
    <cellStyle name="メモ 3 2 2 2" xfId="677"/>
    <cellStyle name="メモ 3 2 3" xfId="678"/>
    <cellStyle name="メモ 3 2 3 2" xfId="679"/>
    <cellStyle name="メモ 3 2 4" xfId="680"/>
    <cellStyle name="メモ 3 2 4 2" xfId="681"/>
    <cellStyle name="メモ 3 2 5" xfId="682"/>
    <cellStyle name="メモ 3 2 5 2" xfId="683"/>
    <cellStyle name="メモ 3 2 6" xfId="684"/>
    <cellStyle name="メモ 3 2 6 2" xfId="685"/>
    <cellStyle name="メモ 3 2 7" xfId="686"/>
    <cellStyle name="メモ 3 3" xfId="687"/>
    <cellStyle name="メモ 3 3 2" xfId="688"/>
    <cellStyle name="メモ 3 4" xfId="689"/>
    <cellStyle name="メモ 3 5" xfId="690"/>
    <cellStyle name="メモ 4" xfId="691"/>
    <cellStyle name="メモ 4 2" xfId="692"/>
    <cellStyle name="メモ 4 2 2" xfId="693"/>
    <cellStyle name="メモ 4 2 2 2" xfId="694"/>
    <cellStyle name="メモ 4 2 3" xfId="695"/>
    <cellStyle name="メモ 4 2 3 2" xfId="696"/>
    <cellStyle name="メモ 4 2 4" xfId="697"/>
    <cellStyle name="メモ 4 2 4 2" xfId="698"/>
    <cellStyle name="メモ 4 2 5" xfId="699"/>
    <cellStyle name="メモ 4 2 5 2" xfId="700"/>
    <cellStyle name="メモ 4 2 6" xfId="701"/>
    <cellStyle name="メモ 4 2 6 2" xfId="702"/>
    <cellStyle name="メモ 4 2 7" xfId="703"/>
    <cellStyle name="メモ 4 3" xfId="704"/>
    <cellStyle name="メモ 4 3 2" xfId="705"/>
    <cellStyle name="メモ 4 4" xfId="706"/>
    <cellStyle name="メモ 5" xfId="707"/>
    <cellStyle name="メモ 5 2" xfId="708"/>
    <cellStyle name="メモ 5 2 2" xfId="709"/>
    <cellStyle name="メモ 5 3" xfId="710"/>
    <cellStyle name="メモ 5 3 2" xfId="711"/>
    <cellStyle name="メモ 5 4" xfId="712"/>
    <cellStyle name="メモ 5 4 2" xfId="713"/>
    <cellStyle name="メモ 5 5" xfId="714"/>
    <cellStyle name="メモ 5 5 2" xfId="715"/>
    <cellStyle name="メモ 5 6" xfId="716"/>
    <cellStyle name="メモ 5 6 2" xfId="717"/>
    <cellStyle name="メモ 5 7" xfId="718"/>
    <cellStyle name="メモ 5 7 2" xfId="719"/>
    <cellStyle name="メモ 6" xfId="720"/>
    <cellStyle name="メモ 7" xfId="721"/>
    <cellStyle name="メモ 8" xfId="722"/>
    <cellStyle name="メモ 9" xfId="723"/>
    <cellStyle builtinId="24" customBuiltin="1" name="リンク セル" xfId="1949"/>
    <cellStyle name="リンク セル 2" xfId="724"/>
    <cellStyle name="リンク セル 3" xfId="725"/>
    <cellStyle name="リンク セル 4" xfId="726"/>
    <cellStyle name="リンク セル 5" xfId="727"/>
    <cellStyle name="リンク セル 6" xfId="728"/>
    <cellStyle name="リンク セル 7" xfId="729"/>
    <cellStyle name="リンク セル 8" xfId="730"/>
    <cellStyle name="リンク セル 9" xfId="731"/>
    <cellStyle name="_x001d_・_x000c_ﾏ・_x000d_ﾂ・_x0001__x0016__x0011_F5_x0007__x0001__x0001_" xfId="7"/>
    <cellStyle name="_x001d_・_x000c_ﾏ・_x000d_ﾂ・_x0001__x0016__x0011_F5_x0007__x0001__x0001_ 2" xfId="732"/>
    <cellStyle name="_x001d_・_x000c_ﾏ・_x000d_ﾂ・_x0001__x0016__x0011_F5_x0007__x0001__x0001_ 2 2" xfId="733"/>
    <cellStyle name="_x001d_・_x000c_ﾏ・_x000d_ﾂ・_x0001__x0016__x0011_F5_x0007__x0001__x0001_ 2 2 2" xfId="734"/>
    <cellStyle name="_x001d_・_x000c_ﾏ・_x000d_ﾂ・_x0001__x0016__x0011_F5_x0007__x0001__x0001_ 2 3" xfId="735"/>
    <cellStyle name="_x001d_・_x000c_ﾏ・_x000d_ﾂ・_x0001__x0016__x0011_F5_x0007__x0001__x0001_ 3" xfId="736"/>
    <cellStyle name="_x001d_・_x000c_ﾏ・_x000d_ﾂ・_x0001__x0016__x0011_F5_x0007__x0001__x0001_ 3 2" xfId="737"/>
    <cellStyle builtinId="27" customBuiltin="1" name="悪い" xfId="1944"/>
    <cellStyle name="悪い 2" xfId="738"/>
    <cellStyle name="悪い 3" xfId="739"/>
    <cellStyle name="悪い 4" xfId="740"/>
    <cellStyle name="悪い 5" xfId="741"/>
    <cellStyle name="悪い 6" xfId="742"/>
    <cellStyle name="悪い 7" xfId="743"/>
    <cellStyle name="悪い 8" xfId="744"/>
    <cellStyle name="悪い 9" xfId="745"/>
    <cellStyle builtinId="22" customBuiltin="1" name="計算" xfId="1948"/>
    <cellStyle name="計算 2" xfId="746"/>
    <cellStyle name="計算 2 2" xfId="747"/>
    <cellStyle name="計算 2 2 2" xfId="748"/>
    <cellStyle name="計算 2 2 2 2" xfId="749"/>
    <cellStyle name="計算 2 2 2 2 2" xfId="750"/>
    <cellStyle name="計算 2 2 2 3" xfId="751"/>
    <cellStyle name="計算 2 2 2 3 2" xfId="752"/>
    <cellStyle name="計算 2 2 2 4" xfId="753"/>
    <cellStyle name="計算 2 2 2 4 2" xfId="754"/>
    <cellStyle name="計算 2 2 2 5" xfId="755"/>
    <cellStyle name="計算 2 2 2 5 2" xfId="756"/>
    <cellStyle name="計算 2 2 2 6" xfId="757"/>
    <cellStyle name="計算 2 2 2 6 2" xfId="758"/>
    <cellStyle name="計算 2 2 2 7" xfId="759"/>
    <cellStyle name="計算 2 2 3" xfId="760"/>
    <cellStyle name="計算 2 2 3 2" xfId="761"/>
    <cellStyle name="計算 2 2 4" xfId="762"/>
    <cellStyle name="計算 2 3" xfId="763"/>
    <cellStyle name="計算 2 3 2" xfId="764"/>
    <cellStyle name="計算 2 3 2 2" xfId="765"/>
    <cellStyle name="計算 2 3 3" xfId="766"/>
    <cellStyle name="計算 2 3 3 2" xfId="767"/>
    <cellStyle name="計算 2 3 4" xfId="768"/>
    <cellStyle name="計算 2 3 4 2" xfId="769"/>
    <cellStyle name="計算 2 3 5" xfId="770"/>
    <cellStyle name="計算 2 3 5 2" xfId="771"/>
    <cellStyle name="計算 2 3 6" xfId="772"/>
    <cellStyle name="計算 2 3 6 2" xfId="773"/>
    <cellStyle name="計算 2 3 7" xfId="774"/>
    <cellStyle name="計算 2 4" xfId="775"/>
    <cellStyle name="計算 2 4 2" xfId="776"/>
    <cellStyle name="計算 2 5" xfId="777"/>
    <cellStyle name="計算 3" xfId="778"/>
    <cellStyle name="計算 3 2" xfId="779"/>
    <cellStyle name="計算 3 2 2" xfId="780"/>
    <cellStyle name="計算 3 2 2 2" xfId="781"/>
    <cellStyle name="計算 3 2 3" xfId="782"/>
    <cellStyle name="計算 3 2 3 2" xfId="783"/>
    <cellStyle name="計算 3 2 4" xfId="784"/>
    <cellStyle name="計算 3 2 4 2" xfId="785"/>
    <cellStyle name="計算 3 2 5" xfId="786"/>
    <cellStyle name="計算 3 2 5 2" xfId="787"/>
    <cellStyle name="計算 3 2 6" xfId="788"/>
    <cellStyle name="計算 3 2 6 2" xfId="789"/>
    <cellStyle name="計算 3 2 7" xfId="790"/>
    <cellStyle name="計算 3 3" xfId="791"/>
    <cellStyle name="計算 3 3 2" xfId="792"/>
    <cellStyle name="計算 3 4" xfId="793"/>
    <cellStyle name="計算 4" xfId="794"/>
    <cellStyle name="計算 4 2" xfId="795"/>
    <cellStyle name="計算 4 2 2" xfId="796"/>
    <cellStyle name="計算 4 3" xfId="797"/>
    <cellStyle name="計算 4 3 2" xfId="798"/>
    <cellStyle name="計算 4 4" xfId="799"/>
    <cellStyle name="計算 4 4 2" xfId="800"/>
    <cellStyle name="計算 4 5" xfId="801"/>
    <cellStyle name="計算 4 5 2" xfId="802"/>
    <cellStyle name="計算 4 6" xfId="803"/>
    <cellStyle name="計算 4 6 2" xfId="804"/>
    <cellStyle name="計算 4 7" xfId="805"/>
    <cellStyle name="計算 5" xfId="806"/>
    <cellStyle name="計算 6" xfId="807"/>
    <cellStyle name="計算 7" xfId="808"/>
    <cellStyle name="計算 8" xfId="809"/>
    <cellStyle name="計算 9" xfId="810"/>
    <cellStyle builtinId="11" customBuiltin="1" name="警告文" xfId="1951"/>
    <cellStyle name="警告文 2" xfId="811"/>
    <cellStyle name="警告文 3" xfId="812"/>
    <cellStyle name="警告文 4" xfId="813"/>
    <cellStyle name="警告文 5" xfId="814"/>
    <cellStyle name="警告文 6" xfId="815"/>
    <cellStyle name="警告文 7" xfId="816"/>
    <cellStyle name="警告文 8" xfId="817"/>
    <cellStyle name="警告文 9" xfId="818"/>
    <cellStyle name="桁蟻唇Ｆ [0.00]_laroux" xfId="819"/>
    <cellStyle name="桁蟻唇Ｆ_A°DAU±ATIsA" xfId="820"/>
    <cellStyle name="桁区切り 2" xfId="1"/>
    <cellStyle name="桁区切り 2 2" xfId="821"/>
    <cellStyle name="桁区切り 2 2 2" xfId="822"/>
    <cellStyle name="桁区切り 2 3" xfId="823"/>
    <cellStyle name="桁区切り 2 4" xfId="824"/>
    <cellStyle name="桁区切り 2 4 2" xfId="825"/>
    <cellStyle name="桁区切り 2 4 3" xfId="826"/>
    <cellStyle name="桁区切り 2 5" xfId="827"/>
    <cellStyle name="桁区切り 2 5 2" xfId="828"/>
    <cellStyle name="桁区切り 2 5 3" xfId="829"/>
    <cellStyle name="桁区切り 2 6" xfId="830"/>
    <cellStyle name="桁区切り 2_バックアップセンタ_切替テストスケジュール_20120406~10" xfId="831"/>
    <cellStyle name="桁区切り 3" xfId="832"/>
    <cellStyle name="桁区切り 3 2" xfId="833"/>
    <cellStyle name="桁区切り 3 2 2" xfId="834"/>
    <cellStyle name="桁区切り 3 2 3" xfId="835"/>
    <cellStyle name="桁区切り 3 3" xfId="836"/>
    <cellStyle name="桁区切り 4" xfId="837"/>
    <cellStyle name="桁区切り 4 2" xfId="838"/>
    <cellStyle name="桁区切り 4 2 2" xfId="839"/>
    <cellStyle name="桁区切り 4 2 3" xfId="840"/>
    <cellStyle name="桁区切り 4 3" xfId="841"/>
    <cellStyle name="桁区切り 4 4" xfId="842"/>
    <cellStyle name="桁区切り 5" xfId="843"/>
    <cellStyle name="桁区切り 5 2" xfId="844"/>
    <cellStyle name="桁区切り 5 3" xfId="845"/>
    <cellStyle name="桁区切り 6" xfId="846"/>
    <cellStyle builtinId="16" customBuiltin="1" name="見出し 1" xfId="1939"/>
    <cellStyle name="見出し 1 2" xfId="847"/>
    <cellStyle name="見出し 1 3" xfId="848"/>
    <cellStyle name="見出し 1 4" xfId="849"/>
    <cellStyle name="見出し 1 5" xfId="850"/>
    <cellStyle name="見出し 1 6" xfId="851"/>
    <cellStyle name="見出し 1 7" xfId="852"/>
    <cellStyle name="見出し 1 8" xfId="853"/>
    <cellStyle name="見出し 1 9" xfId="854"/>
    <cellStyle builtinId="17" customBuiltin="1" name="見出し 2" xfId="1940"/>
    <cellStyle name="見出し 2 2" xfId="855"/>
    <cellStyle name="見出し 2 3" xfId="856"/>
    <cellStyle name="見出し 2 4" xfId="857"/>
    <cellStyle name="見出し 2 5" xfId="858"/>
    <cellStyle name="見出し 2 6" xfId="859"/>
    <cellStyle name="見出し 2 7" xfId="860"/>
    <cellStyle name="見出し 2 8" xfId="861"/>
    <cellStyle name="見出し 2 9" xfId="862"/>
    <cellStyle builtinId="18" customBuiltin="1" name="見出し 3" xfId="1941"/>
    <cellStyle name="見出し 3 2" xfId="863"/>
    <cellStyle name="見出し 3 3" xfId="864"/>
    <cellStyle name="見出し 3 4" xfId="865"/>
    <cellStyle name="見出し 3 5" xfId="866"/>
    <cellStyle name="見出し 3 6" xfId="867"/>
    <cellStyle name="見出し 3 7" xfId="868"/>
    <cellStyle name="見出し 3 8" xfId="869"/>
    <cellStyle name="見出し 3 9" xfId="870"/>
    <cellStyle builtinId="19" customBuiltin="1" name="見出し 4" xfId="1942"/>
    <cellStyle name="見出し 4 2" xfId="871"/>
    <cellStyle name="見出し 4 3" xfId="872"/>
    <cellStyle name="見出し 4 4" xfId="873"/>
    <cellStyle name="見出し 4 5" xfId="874"/>
    <cellStyle name="見出し 4 6" xfId="875"/>
    <cellStyle name="見出し 4 7" xfId="876"/>
    <cellStyle name="見出し 4 8" xfId="877"/>
    <cellStyle name="見出し 4 9" xfId="878"/>
    <cellStyle name="構成図作成用" xfId="879"/>
    <cellStyle name="取り消し" xfId="8"/>
    <cellStyle builtinId="25" customBuiltin="1" name="集計" xfId="1953"/>
    <cellStyle name="集計 2" xfId="880"/>
    <cellStyle name="集計 2 2" xfId="881"/>
    <cellStyle name="集計 2 2 2" xfId="882"/>
    <cellStyle name="集計 2 2 2 2" xfId="883"/>
    <cellStyle name="集計 2 2 2 2 2" xfId="884"/>
    <cellStyle name="集計 2 2 2 3" xfId="885"/>
    <cellStyle name="集計 2 2 2 3 2" xfId="886"/>
    <cellStyle name="集計 2 2 2 4" xfId="887"/>
    <cellStyle name="集計 2 2 2 4 2" xfId="888"/>
    <cellStyle name="集計 2 2 2 5" xfId="889"/>
    <cellStyle name="集計 2 2 2 5 2" xfId="890"/>
    <cellStyle name="集計 2 2 2 6" xfId="891"/>
    <cellStyle name="集計 2 2 2 6 2" xfId="892"/>
    <cellStyle name="集計 2 2 2 7" xfId="893"/>
    <cellStyle name="集計 2 2 3" xfId="894"/>
    <cellStyle name="集計 2 2 3 2" xfId="895"/>
    <cellStyle name="集計 2 3" xfId="896"/>
    <cellStyle name="集計 2 3 2" xfId="897"/>
    <cellStyle name="集計 2 3 2 2" xfId="898"/>
    <cellStyle name="集計 2 3 3" xfId="899"/>
    <cellStyle name="集計 2 3 3 2" xfId="900"/>
    <cellStyle name="集計 2 3 4" xfId="901"/>
    <cellStyle name="集計 2 3 4 2" xfId="902"/>
    <cellStyle name="集計 2 3 5" xfId="903"/>
    <cellStyle name="集計 2 3 5 2" xfId="904"/>
    <cellStyle name="集計 2 3 6" xfId="905"/>
    <cellStyle name="集計 2 3 6 2" xfId="906"/>
    <cellStyle name="集計 2 3 7" xfId="907"/>
    <cellStyle name="集計 2 4" xfId="908"/>
    <cellStyle name="集計 2 4 2" xfId="909"/>
    <cellStyle name="集計 3" xfId="910"/>
    <cellStyle name="集計 3 2" xfId="911"/>
    <cellStyle name="集計 3 2 2" xfId="912"/>
    <cellStyle name="集計 3 2 2 2" xfId="913"/>
    <cellStyle name="集計 3 2 3" xfId="914"/>
    <cellStyle name="集計 3 2 3 2" xfId="915"/>
    <cellStyle name="集計 3 2 4" xfId="916"/>
    <cellStyle name="集計 3 2 4 2" xfId="917"/>
    <cellStyle name="集計 3 2 5" xfId="918"/>
    <cellStyle name="集計 3 2 5 2" xfId="919"/>
    <cellStyle name="集計 3 2 6" xfId="920"/>
    <cellStyle name="集計 3 2 6 2" xfId="921"/>
    <cellStyle name="集計 3 2 7" xfId="922"/>
    <cellStyle name="集計 3 3" xfId="923"/>
    <cellStyle name="集計 3 3 2" xfId="924"/>
    <cellStyle name="集計 3 4" xfId="925"/>
    <cellStyle name="集計 4" xfId="926"/>
    <cellStyle name="集計 4 2" xfId="927"/>
    <cellStyle name="集計 4 2 2" xfId="928"/>
    <cellStyle name="集計 4 3" xfId="929"/>
    <cellStyle name="集計 4 3 2" xfId="930"/>
    <cellStyle name="集計 4 4" xfId="931"/>
    <cellStyle name="集計 4 4 2" xfId="932"/>
    <cellStyle name="集計 4 5" xfId="933"/>
    <cellStyle name="集計 4 5 2" xfId="934"/>
    <cellStyle name="集計 4 6" xfId="935"/>
    <cellStyle name="集計 4 6 2" xfId="936"/>
    <cellStyle name="集計 4 7" xfId="937"/>
    <cellStyle name="集計 5" xfId="938"/>
    <cellStyle name="集計 6" xfId="939"/>
    <cellStyle name="集計 7" xfId="940"/>
    <cellStyle name="集計 8" xfId="941"/>
    <cellStyle name="集計 9" xfId="942"/>
    <cellStyle builtinId="21" customBuiltin="1" name="出力" xfId="1947"/>
    <cellStyle name="出力 2" xfId="943"/>
    <cellStyle name="出力 2 2" xfId="944"/>
    <cellStyle name="出力 2 2 2" xfId="945"/>
    <cellStyle name="出力 2 2 2 2" xfId="946"/>
    <cellStyle name="出力 2 2 2 2 2" xfId="947"/>
    <cellStyle name="出力 2 2 2 3" xfId="948"/>
    <cellStyle name="出力 2 2 2 3 2" xfId="949"/>
    <cellStyle name="出力 2 2 2 4" xfId="950"/>
    <cellStyle name="出力 2 2 2 4 2" xfId="951"/>
    <cellStyle name="出力 2 2 2 5" xfId="952"/>
    <cellStyle name="出力 2 2 2 5 2" xfId="953"/>
    <cellStyle name="出力 2 2 2 6" xfId="954"/>
    <cellStyle name="出力 2 2 2 6 2" xfId="955"/>
    <cellStyle name="出力 2 2 2 7" xfId="956"/>
    <cellStyle name="出力 2 2 3" xfId="957"/>
    <cellStyle name="出力 2 2 3 2" xfId="958"/>
    <cellStyle name="出力 2 3" xfId="959"/>
    <cellStyle name="出力 2 3 2" xfId="960"/>
    <cellStyle name="出力 2 3 2 2" xfId="961"/>
    <cellStyle name="出力 2 3 3" xfId="962"/>
    <cellStyle name="出力 2 3 3 2" xfId="963"/>
    <cellStyle name="出力 2 3 4" xfId="964"/>
    <cellStyle name="出力 2 3 4 2" xfId="965"/>
    <cellStyle name="出力 2 3 5" xfId="966"/>
    <cellStyle name="出力 2 3 5 2" xfId="967"/>
    <cellStyle name="出力 2 3 6" xfId="968"/>
    <cellStyle name="出力 2 3 6 2" xfId="969"/>
    <cellStyle name="出力 2 3 7" xfId="970"/>
    <cellStyle name="出力 2 4" xfId="971"/>
    <cellStyle name="出力 2 4 2" xfId="972"/>
    <cellStyle name="出力 3" xfId="973"/>
    <cellStyle name="出力 3 2" xfId="974"/>
    <cellStyle name="出力 3 2 2" xfId="975"/>
    <cellStyle name="出力 3 2 2 2" xfId="976"/>
    <cellStyle name="出力 3 2 3" xfId="977"/>
    <cellStyle name="出力 3 2 3 2" xfId="978"/>
    <cellStyle name="出力 3 2 4" xfId="979"/>
    <cellStyle name="出力 3 2 4 2" xfId="980"/>
    <cellStyle name="出力 3 2 5" xfId="981"/>
    <cellStyle name="出力 3 2 5 2" xfId="982"/>
    <cellStyle name="出力 3 2 6" xfId="983"/>
    <cellStyle name="出力 3 2 6 2" xfId="984"/>
    <cellStyle name="出力 3 2 7" xfId="985"/>
    <cellStyle name="出力 3 3" xfId="986"/>
    <cellStyle name="出力 3 3 2" xfId="987"/>
    <cellStyle name="出力 3 4" xfId="988"/>
    <cellStyle name="出力 4" xfId="989"/>
    <cellStyle name="出力 4 2" xfId="990"/>
    <cellStyle name="出力 4 2 2" xfId="991"/>
    <cellStyle name="出力 4 3" xfId="992"/>
    <cellStyle name="出力 4 3 2" xfId="993"/>
    <cellStyle name="出力 4 4" xfId="994"/>
    <cellStyle name="出力 4 4 2" xfId="995"/>
    <cellStyle name="出力 4 5" xfId="996"/>
    <cellStyle name="出力 4 5 2" xfId="997"/>
    <cellStyle name="出力 4 6" xfId="998"/>
    <cellStyle name="出力 4 6 2" xfId="999"/>
    <cellStyle name="出力 4 7" xfId="1000"/>
    <cellStyle name="出力 5" xfId="1001"/>
    <cellStyle name="出力 6" xfId="1002"/>
    <cellStyle name="出力 7" xfId="1003"/>
    <cellStyle name="出力 8" xfId="1004"/>
    <cellStyle name="出力 9" xfId="1005"/>
    <cellStyle name="人月" xfId="1006"/>
    <cellStyle builtinId="53" customBuiltin="1" name="説明文" xfId="1952"/>
    <cellStyle name="説明文 2" xfId="1007"/>
    <cellStyle name="説明文 3" xfId="1008"/>
    <cellStyle name="説明文 4" xfId="1009"/>
    <cellStyle name="説明文 5" xfId="1010"/>
    <cellStyle name="説明文 6" xfId="1011"/>
    <cellStyle name="説明文 7" xfId="1012"/>
    <cellStyle name="説明文 8" xfId="1013"/>
    <cellStyle name="説明文 9" xfId="1014"/>
    <cellStyle name="脱浦 [0.00]_laroux" xfId="1015"/>
    <cellStyle name="脱浦_laroux" xfId="1016"/>
    <cellStyle name="通貨 [0.00" xfId="1017"/>
    <cellStyle name="通貨 [0.00 2" xfId="1018"/>
    <cellStyle name="通貨 [0.00 3" xfId="1019"/>
    <cellStyle name="通貨 [0.00 4" xfId="1020"/>
    <cellStyle name="通貨 [0.00 5" xfId="1021"/>
    <cellStyle name="通貨 [0.00 6" xfId="1022"/>
    <cellStyle name="通貨 2" xfId="1023"/>
    <cellStyle name="通貨 2 2" xfId="1024"/>
    <cellStyle name="通貨 2 2 2" xfId="1025"/>
    <cellStyle name="通貨 2 2 3" xfId="1026"/>
    <cellStyle name="通貨 2 3" xfId="1027"/>
    <cellStyle name="通貨 2 4" xfId="1028"/>
    <cellStyle name="通貨 2 5" xfId="1029"/>
    <cellStyle name="通貨 3" xfId="1030"/>
    <cellStyle builtinId="20" customBuiltin="1" name="入力" xfId="1946"/>
    <cellStyle name="入力 2" xfId="1031"/>
    <cellStyle name="入力 2 2" xfId="1032"/>
    <cellStyle name="入力 2 2 2" xfId="1033"/>
    <cellStyle name="入力 2 2 2 2" xfId="1034"/>
    <cellStyle name="入力 2 2 2 2 2" xfId="1035"/>
    <cellStyle name="入力 2 2 2 3" xfId="1036"/>
    <cellStyle name="入力 2 2 2 3 2" xfId="1037"/>
    <cellStyle name="入力 2 2 2 4" xfId="1038"/>
    <cellStyle name="入力 2 2 2 4 2" xfId="1039"/>
    <cellStyle name="入力 2 2 2 5" xfId="1040"/>
    <cellStyle name="入力 2 2 2 5 2" xfId="1041"/>
    <cellStyle name="入力 2 2 2 6" xfId="1042"/>
    <cellStyle name="入力 2 2 2 6 2" xfId="1043"/>
    <cellStyle name="入力 2 2 2 7" xfId="1044"/>
    <cellStyle name="入力 2 2 3" xfId="1045"/>
    <cellStyle name="入力 2 2 3 2" xfId="1046"/>
    <cellStyle name="入力 2 2 4" xfId="1047"/>
    <cellStyle name="入力 2 3" xfId="1048"/>
    <cellStyle name="入力 2 3 2" xfId="1049"/>
    <cellStyle name="入力 2 3 2 2" xfId="1050"/>
    <cellStyle name="入力 2 3 3" xfId="1051"/>
    <cellStyle name="入力 2 3 3 2" xfId="1052"/>
    <cellStyle name="入力 2 3 4" xfId="1053"/>
    <cellStyle name="入力 2 3 4 2" xfId="1054"/>
    <cellStyle name="入力 2 3 5" xfId="1055"/>
    <cellStyle name="入力 2 3 5 2" xfId="1056"/>
    <cellStyle name="入力 2 3 6" xfId="1057"/>
    <cellStyle name="入力 2 3 6 2" xfId="1058"/>
    <cellStyle name="入力 2 3 7" xfId="1059"/>
    <cellStyle name="入力 2 4" xfId="1060"/>
    <cellStyle name="入力 2 4 2" xfId="1061"/>
    <cellStyle name="入力 2 5" xfId="1062"/>
    <cellStyle name="入力 3" xfId="1063"/>
    <cellStyle name="入力 3 2" xfId="1064"/>
    <cellStyle name="入力 3 2 2" xfId="1065"/>
    <cellStyle name="入力 3 2 2 2" xfId="1066"/>
    <cellStyle name="入力 3 2 3" xfId="1067"/>
    <cellStyle name="入力 3 2 3 2" xfId="1068"/>
    <cellStyle name="入力 3 2 4" xfId="1069"/>
    <cellStyle name="入力 3 2 4 2" xfId="1070"/>
    <cellStyle name="入力 3 2 5" xfId="1071"/>
    <cellStyle name="入力 3 2 5 2" xfId="1072"/>
    <cellStyle name="入力 3 2 6" xfId="1073"/>
    <cellStyle name="入力 3 2 6 2" xfId="1074"/>
    <cellStyle name="入力 3 2 7" xfId="1075"/>
    <cellStyle name="入力 3 3" xfId="1076"/>
    <cellStyle name="入力 3 3 2" xfId="1077"/>
    <cellStyle name="入力 3 4" xfId="1078"/>
    <cellStyle name="入力 4" xfId="1079"/>
    <cellStyle name="入力 4 2" xfId="1080"/>
    <cellStyle name="入力 4 2 2" xfId="1081"/>
    <cellStyle name="入力 4 3" xfId="1082"/>
    <cellStyle name="入力 4 3 2" xfId="1083"/>
    <cellStyle name="入力 4 4" xfId="1084"/>
    <cellStyle name="入力 4 4 2" xfId="1085"/>
    <cellStyle name="入力 4 5" xfId="1086"/>
    <cellStyle name="入力 4 5 2" xfId="1087"/>
    <cellStyle name="入力 4 6" xfId="1088"/>
    <cellStyle name="入力 4 6 2" xfId="1089"/>
    <cellStyle name="入力 4 7" xfId="1090"/>
    <cellStyle name="入力 5" xfId="1091"/>
    <cellStyle name="入力 6" xfId="1092"/>
    <cellStyle name="入力 7" xfId="1093"/>
    <cellStyle name="入力 8" xfId="1094"/>
    <cellStyle name="入力 9" xfId="1095"/>
    <cellStyle builtinId="0" name="標準" xfId="0"/>
    <cellStyle name="標準 10" xfId="1096"/>
    <cellStyle name="標準 10 2" xfId="1097"/>
    <cellStyle name="標準 10 3" xfId="14"/>
    <cellStyle name="標準 10 4" xfId="1098"/>
    <cellStyle name="標準 10 5" xfId="1099"/>
    <cellStyle name="標準 100" xfId="1100"/>
    <cellStyle name="標準 100 2" xfId="1101"/>
    <cellStyle name="標準 100 2 2" xfId="1102"/>
    <cellStyle name="標準 100 2 2 2" xfId="1103"/>
    <cellStyle name="標準 100 2 2 3" xfId="1104"/>
    <cellStyle name="標準 100 2 2 4" xfId="1105"/>
    <cellStyle name="標準 100 2 3" xfId="1106"/>
    <cellStyle name="標準 100 2 4" xfId="1107"/>
    <cellStyle name="標準 100 2 5" xfId="1108"/>
    <cellStyle name="標準 100 3" xfId="1109"/>
    <cellStyle name="標準 100 3 2" xfId="1110"/>
    <cellStyle name="標準 100 3 3" xfId="1111"/>
    <cellStyle name="標準 100 3 4" xfId="1112"/>
    <cellStyle name="標準 100 4" xfId="1113"/>
    <cellStyle name="標準 100 5" xfId="1114"/>
    <cellStyle name="標準 100 6" xfId="1115"/>
    <cellStyle name="標準 101" xfId="1116"/>
    <cellStyle name="標準 102" xfId="1117"/>
    <cellStyle name="標準 102 2" xfId="1118"/>
    <cellStyle name="標準 102 2 2" xfId="1119"/>
    <cellStyle name="標準 102 2 3" xfId="1120"/>
    <cellStyle name="標準 102 2 4" xfId="1121"/>
    <cellStyle name="標準 102 3" xfId="1122"/>
    <cellStyle name="標準 102 4" xfId="1123"/>
    <cellStyle name="標準 102 5" xfId="1124"/>
    <cellStyle name="標準 103" xfId="1125"/>
    <cellStyle name="標準 104" xfId="1126"/>
    <cellStyle name="標準 104 2" xfId="1127"/>
    <cellStyle name="標準 104 3" xfId="1128"/>
    <cellStyle name="標準 104 4" xfId="1129"/>
    <cellStyle name="標準 105" xfId="1130"/>
    <cellStyle name="標準 106" xfId="1131"/>
    <cellStyle name="標準 107" xfId="1132"/>
    <cellStyle name="標準 108" xfId="1133"/>
    <cellStyle name="標準 109" xfId="1134"/>
    <cellStyle name="標準 11" xfId="1135"/>
    <cellStyle name="標準 11 2" xfId="1136"/>
    <cellStyle name="標準 11 3" xfId="1137"/>
    <cellStyle name="標準 110" xfId="1138"/>
    <cellStyle name="標準 111" xfId="1139"/>
    <cellStyle name="標準 112" xfId="1140"/>
    <cellStyle name="標準 113" xfId="1141"/>
    <cellStyle name="標準 114" xfId="1142"/>
    <cellStyle name="標準 115" xfId="1143"/>
    <cellStyle name="標準 116" xfId="1144"/>
    <cellStyle name="標準 117" xfId="1145"/>
    <cellStyle name="標準 118" xfId="1146"/>
    <cellStyle name="標準 119" xfId="1147"/>
    <cellStyle name="標準 12" xfId="1148"/>
    <cellStyle name="標準 12 2" xfId="1149"/>
    <cellStyle name="標準 12 2 2" xfId="1150"/>
    <cellStyle name="標準 12 2 3" xfId="1151"/>
    <cellStyle name="標準 12 3" xfId="1152"/>
    <cellStyle name="標準 12 3 2" xfId="1153"/>
    <cellStyle name="標準 12 3 3" xfId="1154"/>
    <cellStyle name="標準 120" xfId="1155"/>
    <cellStyle name="標準 121" xfId="1156"/>
    <cellStyle name="標準 122" xfId="1157"/>
    <cellStyle name="標準 123" xfId="1158"/>
    <cellStyle name="標準 124" xfId="1159"/>
    <cellStyle name="標準 125" xfId="1160"/>
    <cellStyle name="標準 126" xfId="1161"/>
    <cellStyle name="標準 127" xfId="1162"/>
    <cellStyle name="標準 128" xfId="1163"/>
    <cellStyle name="標準 129" xfId="1164"/>
    <cellStyle name="標準 13" xfId="1165"/>
    <cellStyle name="標準 13 2" xfId="1166"/>
    <cellStyle name="標準 13 3" xfId="1167"/>
    <cellStyle name="標準 13 4" xfId="1168"/>
    <cellStyle name="標準 13 5" xfId="1169"/>
    <cellStyle name="標準 130" xfId="1170"/>
    <cellStyle name="標準 131" xfId="1171"/>
    <cellStyle name="標準 132" xfId="1937"/>
    <cellStyle name="標準 133" xfId="1978"/>
    <cellStyle name="標準 134" xfId="1980"/>
    <cellStyle name="標準 136" xfId="1172"/>
    <cellStyle name="標準 14" xfId="1173"/>
    <cellStyle name="標準 14 2" xfId="1174"/>
    <cellStyle name="標準 14 2 2" xfId="1175"/>
    <cellStyle name="標準 14 2 3" xfId="1176"/>
    <cellStyle name="標準 14 3" xfId="1177"/>
    <cellStyle name="標準 14 4" xfId="1178"/>
    <cellStyle name="標準 15" xfId="1179"/>
    <cellStyle name="標準 15 2" xfId="1180"/>
    <cellStyle name="標準 15 2 2" xfId="1181"/>
    <cellStyle name="標準 15 2 3" xfId="1182"/>
    <cellStyle name="標準 15 3" xfId="1183"/>
    <cellStyle name="標準 15 4" xfId="1184"/>
    <cellStyle name="標準 15 5" xfId="1185"/>
    <cellStyle name="標準 15 6" xfId="1186"/>
    <cellStyle name="標準 16" xfId="1187"/>
    <cellStyle name="標準 16 2" xfId="1188"/>
    <cellStyle name="標準 16 2 2" xfId="1189"/>
    <cellStyle name="標準 16 2 3" xfId="1190"/>
    <cellStyle name="標準 16 3" xfId="1191"/>
    <cellStyle name="標準 16 4" xfId="1192"/>
    <cellStyle name="標準 16 5" xfId="1193"/>
    <cellStyle name="標準 17" xfId="1194"/>
    <cellStyle name="標準 17 2" xfId="1195"/>
    <cellStyle name="標準 17 2 2" xfId="1196"/>
    <cellStyle name="標準 17 2 3" xfId="1197"/>
    <cellStyle name="標準 17 3" xfId="1198"/>
    <cellStyle name="標準 17 4" xfId="1199"/>
    <cellStyle name="標準 17 5" xfId="1200"/>
    <cellStyle name="標準 18" xfId="1201"/>
    <cellStyle name="標準 18 2" xfId="1202"/>
    <cellStyle name="標準 18 2 2" xfId="1203"/>
    <cellStyle name="標準 18 2 3" xfId="1204"/>
    <cellStyle name="標準 18 2 4" xfId="1205"/>
    <cellStyle name="標準 18 3" xfId="1206"/>
    <cellStyle name="標準 18 4" xfId="1207"/>
    <cellStyle name="標準 18 5" xfId="1208"/>
    <cellStyle name="標準 18 6" xfId="1209"/>
    <cellStyle name="標準 19" xfId="1210"/>
    <cellStyle name="標準 19 2" xfId="1211"/>
    <cellStyle name="標準 19 3" xfId="1212"/>
    <cellStyle name="標準 2" xfId="9"/>
    <cellStyle name="標準 2 10" xfId="1213"/>
    <cellStyle name="標準 2 11" xfId="1214"/>
    <cellStyle name="標準 2 12" xfId="1215"/>
    <cellStyle name="標準 2 13" xfId="1216"/>
    <cellStyle name="標準 2 2" xfId="10"/>
    <cellStyle name="標準 2 2 2" xfId="1217"/>
    <cellStyle name="標準 2 2 2 2" xfId="1218"/>
    <cellStyle name="標準 2 2 2 2 2" xfId="1219"/>
    <cellStyle name="標準 2 2 2 2 3" xfId="1220"/>
    <cellStyle name="標準 2 2 2 3" xfId="1221"/>
    <cellStyle name="標準 2 2 3" xfId="1222"/>
    <cellStyle name="標準 2 2 3 2" xfId="1223"/>
    <cellStyle name="標準 2 2 3 3" xfId="1224"/>
    <cellStyle name="標準 2 2 4" xfId="1225"/>
    <cellStyle name="標準 2 2 4 2" xfId="1226"/>
    <cellStyle name="標準 2 2 4 3" xfId="1227"/>
    <cellStyle name="標準 2 2 5" xfId="1228"/>
    <cellStyle name="標準 2 2 5 2" xfId="1229"/>
    <cellStyle name="標準 2 2 5 3" xfId="1230"/>
    <cellStyle name="標準 2 2 6" xfId="1231"/>
    <cellStyle name="標準 2 2 6 2" xfId="1232"/>
    <cellStyle name="標準 2 2 6 3" xfId="1233"/>
    <cellStyle name="標準 2 2 7" xfId="1234"/>
    <cellStyle name="標準 2 2 8" xfId="1235"/>
    <cellStyle name="標準 2 2_(別紙1)参加者テスト仕様書(JPN)_ver1.81" xfId="1236"/>
    <cellStyle name="標準 2 3" xfId="13"/>
    <cellStyle name="標準 2 3 2" xfId="1237"/>
    <cellStyle name="標準 2 3 2 2" xfId="1238"/>
    <cellStyle name="標準 2 3 3" xfId="1239"/>
    <cellStyle name="標準 2 3 3 2" xfId="1240"/>
    <cellStyle name="標準 2 3 3 3" xfId="1241"/>
    <cellStyle name="標準 2 3 4" xfId="1242"/>
    <cellStyle name="標準 2 4" xfId="1243"/>
    <cellStyle name="標準 2 4 2" xfId="1244"/>
    <cellStyle name="標準 2 4 2 2" xfId="1245"/>
    <cellStyle name="標準 2 4 3" xfId="1246"/>
    <cellStyle name="標準 2 5" xfId="1247"/>
    <cellStyle name="標準 2 5 2" xfId="1248"/>
    <cellStyle name="標準 2 5 3" xfId="1249"/>
    <cellStyle name="標準 2 6" xfId="1250"/>
    <cellStyle name="標準 2 6 2" xfId="1251"/>
    <cellStyle name="標準 2 6 3" xfId="1252"/>
    <cellStyle name="標準 2 6 4" xfId="1253"/>
    <cellStyle name="標準 2 7" xfId="1254"/>
    <cellStyle name="標準 2 7 2" xfId="1255"/>
    <cellStyle name="標準 2 8" xfId="1256"/>
    <cellStyle name="標準 2 8 2" xfId="1257"/>
    <cellStyle name="標準 2 9" xfId="1258"/>
    <cellStyle name="標準 2_(別紙1)参加者テスト仕様書(JPN)_ver1.81" xfId="1259"/>
    <cellStyle name="標準 20" xfId="1260"/>
    <cellStyle name="標準 20 2" xfId="1261"/>
    <cellStyle name="標準 20 3" xfId="1262"/>
    <cellStyle name="標準 20 4" xfId="1263"/>
    <cellStyle name="標準 20 5" xfId="1264"/>
    <cellStyle name="標準 21" xfId="1265"/>
    <cellStyle name="標準 21 2" xfId="1266"/>
    <cellStyle name="標準 21 2 2" xfId="1267"/>
    <cellStyle name="標準 21 3" xfId="1268"/>
    <cellStyle name="標準 21 3 2" xfId="1269"/>
    <cellStyle name="標準 21 4" xfId="1270"/>
    <cellStyle name="標準 21 5" xfId="1271"/>
    <cellStyle name="標準 22" xfId="1272"/>
    <cellStyle name="標準 22 2" xfId="1273"/>
    <cellStyle name="標準 22 3" xfId="1274"/>
    <cellStyle name="標準 23" xfId="1275"/>
    <cellStyle name="標準 23 2" xfId="1276"/>
    <cellStyle name="標準 23 3" xfId="1277"/>
    <cellStyle name="標準 24" xfId="1278"/>
    <cellStyle name="標準 24 2" xfId="1279"/>
    <cellStyle name="標準 24 3" xfId="1280"/>
    <cellStyle name="標準 25" xfId="1281"/>
    <cellStyle name="標準 26" xfId="1282"/>
    <cellStyle name="標準 27" xfId="1283"/>
    <cellStyle name="標準 28" xfId="1284"/>
    <cellStyle name="標準 29" xfId="1285"/>
    <cellStyle name="標準 3" xfId="11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6"/>
    <cellStyle name="標準 4 2" xfId="1336"/>
    <cellStyle name="標準 4 2 2" xfId="1337"/>
    <cellStyle name="標準 4 2 2 2" xfId="1338"/>
    <cellStyle name="標準 4 2 2 3" xfId="1339"/>
    <cellStyle name="標準 4 2 3" xfId="1340"/>
    <cellStyle name="標準 4 3" xfId="1341"/>
    <cellStyle name="標準 4 3 2" xfId="1342"/>
    <cellStyle name="標準 4 3 3" xfId="1343"/>
    <cellStyle name="標準 4 4" xfId="1344"/>
    <cellStyle name="標準 4 4 2" xfId="1345"/>
    <cellStyle name="標準 4 4 3" xfId="1346"/>
    <cellStyle name="標準 4 5" xfId="1347"/>
    <cellStyle name="標準 4 6" xfId="1348"/>
    <cellStyle name="標準 4_20121011__1_F⇒O_【証拠金１本化】課題管理（清算）" xfId="1349"/>
    <cellStyle name="標準 40" xfId="1350"/>
    <cellStyle name="標準 41" xfId="1351"/>
    <cellStyle name="標準 42" xfId="1352"/>
    <cellStyle name="標準 43" xfId="1353"/>
    <cellStyle name="標準 44" xfId="1354"/>
    <cellStyle name="標準 45" xfId="1355"/>
    <cellStyle name="標準 46" xfId="1356"/>
    <cellStyle name="標準 47" xfId="1357"/>
    <cellStyle name="標準 48" xfId="1358"/>
    <cellStyle name="標準 49" xfId="1359"/>
    <cellStyle name="標準 5" xfId="1360"/>
    <cellStyle name="標準 5 2" xfId="1361"/>
    <cellStyle name="標準 5 2 2" xfId="1362"/>
    <cellStyle name="標準 5 2 2 2" xfId="15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2"/>
    <cellStyle name="未定義 2" xfId="1925"/>
    <cellStyle name="未定義 3" xfId="1926"/>
    <cellStyle name="未定義_030_上場有価証券総括表_詳細設計書_府令改正対応" xfId="1927"/>
    <cellStyle builtinId="26" customBuiltin="1" name="良い" xfId="1943"/>
    <cellStyle name="良い 2" xfId="1928"/>
    <cellStyle name="良い 3" xfId="1929"/>
    <cellStyle name="良い 4" xfId="1930"/>
    <cellStyle name="良い 5" xfId="1931"/>
    <cellStyle name="良い 6" xfId="1932"/>
    <cellStyle name="良い 7" xfId="1933"/>
    <cellStyle name="良い 8" xfId="1934"/>
    <cellStyle name="良い 9" xfId="1935"/>
    <cellStyle name="표준_4.3.1_取引処理（取引処理制御１－１）" xfId="1936"/>
  </cellStyles>
  <dxfs count="0"/>
  <tableStyles count="0" defaultPivotStyle="PivotStyleLight16" defaultTableStyle="TableStyleMedium2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F1550"/>
  <sheetViews>
    <sheetView showGridLines="0" tabSelected="1" view="pageBreakPreview" workbookViewId="0" zoomScaleNormal="100" zoomScaleSheetLayoutView="100">
      <pane activePane="bottomLeft" state="frozen" topLeftCell="A7" ySplit="6"/>
      <selection activeCell="A7" pane="bottomLeft" sqref="A7"/>
    </sheetView>
  </sheetViews>
  <sheetFormatPr defaultRowHeight="13.5"/>
  <cols>
    <col min="1" max="1" bestFit="true" customWidth="true" style="7" width="20.5" collapsed="false"/>
    <col min="2" max="2" bestFit="true" customWidth="true" style="7" width="21.625" collapsed="false"/>
    <col min="3" max="3" customWidth="true" style="7" width="7.75" collapsed="false"/>
    <col min="4" max="4" customWidth="true" style="7" width="9.0" collapsed="false"/>
    <col min="5" max="5" bestFit="true" customWidth="true" style="7" width="11.625" collapsed="false"/>
    <col min="6" max="6" bestFit="true" customWidth="true" style="7" width="8.5" collapsed="false"/>
    <col min="7" max="7" bestFit="true" customWidth="true" style="7" width="29.375" collapsed="false"/>
    <col min="8" max="8" bestFit="true" customWidth="true" style="7" width="21.0" collapsed="false"/>
    <col min="9" max="11" bestFit="true" customWidth="true" style="7" width="29.375" collapsed="false"/>
    <col min="12" max="12" customWidth="true" style="7" width="6.625" collapsed="false"/>
    <col min="13" max="13" customWidth="true" style="7" width="22.625" collapsed="false"/>
    <col min="14" max="14" customWidth="true" style="7" width="6.625" collapsed="false"/>
    <col min="15" max="15" customWidth="true" style="7" width="22.625" collapsed="false"/>
    <col min="16" max="16" bestFit="true" customWidth="true" style="7" width="29.375" collapsed="false"/>
    <col min="17" max="17" bestFit="true" customWidth="true" style="7" width="18.0" collapsed="false"/>
    <col min="18" max="20" bestFit="true" customWidth="true" style="7" width="29.375" collapsed="false"/>
    <col min="21" max="21" customWidth="true" style="7" width="6.625" collapsed="false"/>
    <col min="22" max="22" customWidth="true" style="7" width="24.625" collapsed="false"/>
    <col min="23" max="23" customWidth="true" style="7" width="6.625" collapsed="false"/>
    <col min="24" max="24" customWidth="true" style="7" width="24.625" collapsed="false"/>
    <col min="25" max="25" bestFit="true" customWidth="true" style="7" width="23.875" collapsed="false"/>
    <col min="26" max="27" bestFit="true" customWidth="true" style="7" width="29.375" collapsed="false"/>
    <col min="28" max="28" customWidth="true" style="7" width="6.625" collapsed="false"/>
    <col min="29" max="29" bestFit="true" customWidth="true" style="7" width="29.375" collapsed="false"/>
    <col min="30" max="30" customWidth="true" style="7" width="6.625" collapsed="false"/>
    <col min="31" max="31" bestFit="true" customWidth="true" style="7" width="29.375" collapsed="false"/>
    <col min="32" max="16384" style="1" width="9.0" collapsed="false"/>
  </cols>
  <sheetData>
    <row customHeight="1" ht="20.100000000000001" r="1" spans="1:31">
      <c r="A1" s="39" t="s">
        <v>39</v>
      </c>
      <c r="B1" s="39"/>
      <c r="C1" s="39"/>
      <c r="D1" s="39"/>
      <c r="E1" s="39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customHeight="1" ht="30" r="2" spans="1:31">
      <c r="A2" s="40" t="s">
        <v>37</v>
      </c>
      <c r="B2" s="40"/>
      <c r="C2" s="40"/>
      <c r="D2" s="40"/>
      <c r="E2" s="40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customFormat="1" customHeight="1" ht="17.100000000000001" r="3" s="2" spans="1:31">
      <c r="A3" s="30" t="s">
        <v>35</v>
      </c>
      <c r="B3" s="43" t="s">
        <v>36</v>
      </c>
      <c r="C3" s="49" t="s">
        <v>41</v>
      </c>
      <c r="D3" s="46" t="s">
        <v>40</v>
      </c>
      <c r="E3" s="37" t="s">
        <v>34</v>
      </c>
      <c r="F3" s="37" t="s">
        <v>0</v>
      </c>
      <c r="G3" s="29" t="s">
        <v>11</v>
      </c>
      <c r="H3" s="29"/>
      <c r="I3" s="29"/>
      <c r="J3" s="29"/>
      <c r="K3" s="29"/>
      <c r="L3" s="29"/>
      <c r="M3" s="29"/>
      <c r="N3" s="29"/>
      <c r="O3" s="29"/>
      <c r="P3" s="29" t="s">
        <v>12</v>
      </c>
      <c r="Q3" s="29"/>
      <c r="R3" s="29"/>
      <c r="S3" s="29"/>
      <c r="T3" s="29"/>
      <c r="U3" s="29"/>
      <c r="V3" s="29"/>
      <c r="W3" s="29"/>
      <c r="X3" s="29"/>
      <c r="Y3" s="35" t="s">
        <v>1</v>
      </c>
      <c r="Z3" s="35" t="s">
        <v>2</v>
      </c>
      <c r="AA3" s="29" t="s">
        <v>13</v>
      </c>
      <c r="AB3" s="29"/>
      <c r="AC3" s="29"/>
      <c r="AD3" s="29"/>
      <c r="AE3" s="29"/>
    </row>
    <row customFormat="1" customHeight="1" ht="17.100000000000001" r="4" s="2" spans="1:31">
      <c r="A4" s="41"/>
      <c r="B4" s="44"/>
      <c r="C4" s="50"/>
      <c r="D4" s="47"/>
      <c r="E4" s="37"/>
      <c r="F4" s="37"/>
      <c r="G4" s="30" t="s">
        <v>8</v>
      </c>
      <c r="H4" s="9"/>
      <c r="I4" s="10"/>
      <c r="J4" s="30" t="s">
        <v>22</v>
      </c>
      <c r="K4" s="11"/>
      <c r="L4" s="30" t="s">
        <v>30</v>
      </c>
      <c r="M4" s="32"/>
      <c r="N4" s="33" t="s">
        <v>29</v>
      </c>
      <c r="O4" s="34"/>
      <c r="P4" s="30" t="s">
        <v>14</v>
      </c>
      <c r="Q4" s="9"/>
      <c r="R4" s="11"/>
      <c r="S4" s="30" t="s">
        <v>20</v>
      </c>
      <c r="T4" s="11"/>
      <c r="U4" s="30" t="s">
        <v>30</v>
      </c>
      <c r="V4" s="32"/>
      <c r="W4" s="33" t="s">
        <v>29</v>
      </c>
      <c r="X4" s="34"/>
      <c r="Y4" s="38"/>
      <c r="Z4" s="38"/>
      <c r="AA4" s="35" t="s">
        <v>45</v>
      </c>
      <c r="AB4" s="30" t="s">
        <v>30</v>
      </c>
      <c r="AC4" s="32"/>
      <c r="AD4" s="33" t="s">
        <v>29</v>
      </c>
      <c r="AE4" s="34"/>
    </row>
    <row customFormat="1" customHeight="1" ht="17.100000000000001" r="5" s="2" spans="1:31">
      <c r="A5" s="41"/>
      <c r="B5" s="44"/>
      <c r="C5" s="50"/>
      <c r="D5" s="47"/>
      <c r="E5" s="37"/>
      <c r="F5" s="37"/>
      <c r="G5" s="31"/>
      <c r="H5" s="12" t="s">
        <v>23</v>
      </c>
      <c r="I5" s="11" t="s">
        <v>24</v>
      </c>
      <c r="J5" s="31"/>
      <c r="K5" s="13" t="s">
        <v>24</v>
      </c>
      <c r="L5" s="14" t="s">
        <v>33</v>
      </c>
      <c r="M5" s="15" t="s">
        <v>26</v>
      </c>
      <c r="N5" s="14" t="s">
        <v>33</v>
      </c>
      <c r="O5" s="15" t="s">
        <v>26</v>
      </c>
      <c r="P5" s="31"/>
      <c r="Q5" s="12" t="s">
        <v>21</v>
      </c>
      <c r="R5" s="11" t="s">
        <v>25</v>
      </c>
      <c r="S5" s="31"/>
      <c r="T5" s="13" t="s">
        <v>25</v>
      </c>
      <c r="U5" s="14" t="s">
        <v>33</v>
      </c>
      <c r="V5" s="15" t="s">
        <v>43</v>
      </c>
      <c r="W5" s="14" t="s">
        <v>33</v>
      </c>
      <c r="X5" s="15" t="s">
        <v>43</v>
      </c>
      <c r="Y5" s="36"/>
      <c r="Z5" s="36"/>
      <c r="AA5" s="36"/>
      <c r="AB5" s="14" t="s">
        <v>33</v>
      </c>
      <c r="AC5" s="15" t="s">
        <v>26</v>
      </c>
      <c r="AD5" s="14" t="s">
        <v>33</v>
      </c>
      <c r="AE5" s="15" t="s">
        <v>26</v>
      </c>
    </row>
    <row customFormat="1" ht="24" r="6" s="2" spans="1:31">
      <c r="A6" s="42"/>
      <c r="B6" s="45"/>
      <c r="C6" s="51"/>
      <c r="D6" s="48"/>
      <c r="E6" s="16" t="s">
        <v>38</v>
      </c>
      <c r="F6" s="16" t="s">
        <v>3</v>
      </c>
      <c r="G6" s="16" t="s">
        <v>4</v>
      </c>
      <c r="H6" s="17" t="s">
        <v>16</v>
      </c>
      <c r="I6" s="16" t="s">
        <v>15</v>
      </c>
      <c r="J6" s="16" t="s">
        <v>5</v>
      </c>
      <c r="K6" s="16" t="s">
        <v>15</v>
      </c>
      <c r="L6" s="18" t="s">
        <v>42</v>
      </c>
      <c r="M6" s="15" t="s">
        <v>9</v>
      </c>
      <c r="N6" s="18" t="s">
        <v>42</v>
      </c>
      <c r="O6" s="15" t="s">
        <v>28</v>
      </c>
      <c r="P6" s="16" t="s">
        <v>18</v>
      </c>
      <c r="Q6" s="17" t="s">
        <v>19</v>
      </c>
      <c r="R6" s="16" t="s">
        <v>17</v>
      </c>
      <c r="S6" s="16" t="s">
        <v>10</v>
      </c>
      <c r="T6" s="16" t="s">
        <v>27</v>
      </c>
      <c r="U6" s="18" t="s">
        <v>42</v>
      </c>
      <c r="V6" s="15" t="s">
        <v>31</v>
      </c>
      <c r="W6" s="18" t="s">
        <v>42</v>
      </c>
      <c r="X6" s="15" t="s">
        <v>32</v>
      </c>
      <c r="Y6" s="19" t="s">
        <v>6</v>
      </c>
      <c r="Z6" s="15" t="s">
        <v>7</v>
      </c>
      <c r="AA6" s="16" t="s">
        <v>44</v>
      </c>
      <c r="AB6" s="18" t="s">
        <v>42</v>
      </c>
      <c r="AC6" s="15" t="s">
        <v>9</v>
      </c>
      <c r="AD6" s="18" t="s">
        <v>42</v>
      </c>
      <c r="AE6" s="15" t="s">
        <v>28</v>
      </c>
    </row>
    <row customFormat="1" customHeight="1" ht="13.5" r="7" s="6" spans="1:31">
      <c r="A7" s="24" t="s">
        <v>46</v>
      </c>
      <c r="B7" s="25" t="s">
        <v>47</v>
      </c>
      <c r="C7" s="26"/>
      <c r="D7" s="27"/>
      <c r="E7" s="28" t="s">
        <v>48</v>
      </c>
      <c r="F7" s="20" t="n">
        <f>81</f>
        <v>81.0</v>
      </c>
      <c r="G7" s="21" t="n">
        <f>9819801</f>
        <v>9819801.0</v>
      </c>
      <c r="H7" s="21"/>
      <c r="I7" s="21" t="n">
        <f>2256212</f>
        <v>2256212.0</v>
      </c>
      <c r="J7" s="21" t="n">
        <f>121232</f>
        <v>121232.0</v>
      </c>
      <c r="K7" s="21" t="n">
        <f>27854</f>
        <v>27854.0</v>
      </c>
      <c r="L7" s="4" t="s">
        <v>49</v>
      </c>
      <c r="M7" s="22" t="n">
        <f>456326</f>
        <v>456326.0</v>
      </c>
      <c r="N7" s="5" t="s">
        <v>50</v>
      </c>
      <c r="O7" s="23" t="n">
        <f>26438</f>
        <v>26438.0</v>
      </c>
      <c r="P7" s="3" t="s">
        <v>51</v>
      </c>
      <c r="Q7" s="21"/>
      <c r="R7" s="3" t="s">
        <v>52</v>
      </c>
      <c r="S7" s="21" t="n">
        <f>2179711288321</f>
        <v>2.179711288321E12</v>
      </c>
      <c r="T7" s="21" t="n">
        <f>502186792580</f>
        <v>5.0218679258E11</v>
      </c>
      <c r="U7" s="5" t="s">
        <v>53</v>
      </c>
      <c r="V7" s="23" t="n">
        <f>8058869077000</f>
        <v>8.058869077E12</v>
      </c>
      <c r="W7" s="5" t="s">
        <v>50</v>
      </c>
      <c r="X7" s="23" t="n">
        <f>470907484000</f>
        <v>4.70907484E11</v>
      </c>
      <c r="Y7" s="23"/>
      <c r="Z7" s="21" t="n">
        <f>1523504</f>
        <v>1523504.0</v>
      </c>
      <c r="AA7" s="21" t="n">
        <f>424925</f>
        <v>424925.0</v>
      </c>
      <c r="AB7" s="4" t="s">
        <v>54</v>
      </c>
      <c r="AC7" s="22" t="n">
        <f>639124</f>
        <v>639124.0</v>
      </c>
      <c r="AD7" s="5" t="s">
        <v>55</v>
      </c>
      <c r="AE7" s="23" t="n">
        <f>402242</f>
        <v>402242.0</v>
      </c>
    </row>
    <row r="8">
      <c r="A8" s="24" t="s">
        <v>46</v>
      </c>
      <c r="B8" s="25" t="s">
        <v>47</v>
      </c>
      <c r="C8" s="26"/>
      <c r="D8" s="27"/>
      <c r="E8" s="28" t="s">
        <v>56</v>
      </c>
      <c r="F8" s="20" t="n">
        <f>123</f>
        <v>123.0</v>
      </c>
      <c r="G8" s="21" t="n">
        <f>14778308</f>
        <v>1.4778308E7</v>
      </c>
      <c r="H8" s="21"/>
      <c r="I8" s="21" t="n">
        <f>2808871</f>
        <v>2808871.0</v>
      </c>
      <c r="J8" s="21" t="n">
        <f>120149</f>
        <v>120149.0</v>
      </c>
      <c r="K8" s="21" t="n">
        <f>22836</f>
        <v>22836.0</v>
      </c>
      <c r="L8" s="4" t="s">
        <v>57</v>
      </c>
      <c r="M8" s="22" t="n">
        <f>507850</f>
        <v>507850.0</v>
      </c>
      <c r="N8" s="5" t="s">
        <v>58</v>
      </c>
      <c r="O8" s="23" t="n">
        <f>44660</f>
        <v>44660.0</v>
      </c>
      <c r="P8" s="3" t="s">
        <v>59</v>
      </c>
      <c r="Q8" s="21"/>
      <c r="R8" s="3" t="s">
        <v>60</v>
      </c>
      <c r="S8" s="21" t="n">
        <f>2335224056496</f>
        <v>2.335224056496E12</v>
      </c>
      <c r="T8" s="21" t="n">
        <f>442694950447</f>
        <v>4.42694950447E11</v>
      </c>
      <c r="U8" s="5" t="s">
        <v>57</v>
      </c>
      <c r="V8" s="23" t="n">
        <f>9202865815000</f>
        <v>9.202865815E12</v>
      </c>
      <c r="W8" s="5" t="s">
        <v>58</v>
      </c>
      <c r="X8" s="23" t="n">
        <f>889043858000</f>
        <v>8.89043858E11</v>
      </c>
      <c r="Y8" s="23"/>
      <c r="Z8" s="21" t="n">
        <f>1891967</f>
        <v>1891967.0</v>
      </c>
      <c r="AA8" s="21" t="n">
        <f>403287</f>
        <v>403287.0</v>
      </c>
      <c r="AB8" s="4" t="s">
        <v>61</v>
      </c>
      <c r="AC8" s="22" t="n">
        <f>570574</f>
        <v>570574.0</v>
      </c>
      <c r="AD8" s="5" t="s">
        <v>62</v>
      </c>
      <c r="AE8" s="23" t="n">
        <f>375882</f>
        <v>375882.0</v>
      </c>
    </row>
    <row r="9">
      <c r="A9" s="24" t="s">
        <v>46</v>
      </c>
      <c r="B9" s="25" t="s">
        <v>47</v>
      </c>
      <c r="C9" s="26"/>
      <c r="D9" s="27"/>
      <c r="E9" s="28" t="s">
        <v>63</v>
      </c>
      <c r="F9" s="20" t="n">
        <f>122</f>
        <v>122.0</v>
      </c>
      <c r="G9" s="21" t="n">
        <f>14709375</f>
        <v>1.4709375E7</v>
      </c>
      <c r="H9" s="21"/>
      <c r="I9" s="21" t="n">
        <f>3257286</f>
        <v>3257286.0</v>
      </c>
      <c r="J9" s="21" t="n">
        <f>120569</f>
        <v>120569.0</v>
      </c>
      <c r="K9" s="21" t="n">
        <f>26699</f>
        <v>26699.0</v>
      </c>
      <c r="L9" s="4" t="s">
        <v>64</v>
      </c>
      <c r="M9" s="22" t="n">
        <f>442915</f>
        <v>442915.0</v>
      </c>
      <c r="N9" s="5" t="s">
        <v>65</v>
      </c>
      <c r="O9" s="23" t="n">
        <f>28515</f>
        <v>28515.0</v>
      </c>
      <c r="P9" s="3" t="s">
        <v>66</v>
      </c>
      <c r="Q9" s="21"/>
      <c r="R9" s="3" t="s">
        <v>67</v>
      </c>
      <c r="S9" s="21" t="n">
        <f>2142123873311</f>
        <v>2.142123873311E12</v>
      </c>
      <c r="T9" s="21" t="n">
        <f>480428770926</f>
        <v>4.80428770926E11</v>
      </c>
      <c r="U9" s="5" t="s">
        <v>64</v>
      </c>
      <c r="V9" s="23" t="n">
        <f>8662014448000</f>
        <v>8.662014448E12</v>
      </c>
      <c r="W9" s="5" t="s">
        <v>65</v>
      </c>
      <c r="X9" s="23" t="n">
        <f>537183017000</f>
        <v>5.37183017E11</v>
      </c>
      <c r="Y9" s="23"/>
      <c r="Z9" s="21" t="n">
        <f>2267867</f>
        <v>2267867.0</v>
      </c>
      <c r="AA9" s="21" t="n">
        <f>431555</f>
        <v>431555.0</v>
      </c>
      <c r="AB9" s="4" t="s">
        <v>68</v>
      </c>
      <c r="AC9" s="22" t="n">
        <f>644385</f>
        <v>644385.0</v>
      </c>
      <c r="AD9" s="5" t="s">
        <v>69</v>
      </c>
      <c r="AE9" s="23" t="n">
        <f>402368</f>
        <v>402368.0</v>
      </c>
    </row>
    <row r="10">
      <c r="A10" s="24" t="s">
        <v>46</v>
      </c>
      <c r="B10" s="25" t="s">
        <v>47</v>
      </c>
      <c r="C10" s="26"/>
      <c r="D10" s="27"/>
      <c r="E10" s="28" t="s">
        <v>70</v>
      </c>
      <c r="F10" s="20" t="n">
        <f>123</f>
        <v>123.0</v>
      </c>
      <c r="G10" s="21" t="n">
        <f>11896296</f>
        <v>1.1896296E7</v>
      </c>
      <c r="H10" s="21"/>
      <c r="I10" s="21" t="n">
        <f>2946013</f>
        <v>2946013.0</v>
      </c>
      <c r="J10" s="21" t="n">
        <f>96718</f>
        <v>96718.0</v>
      </c>
      <c r="K10" s="21" t="n">
        <f>23951</f>
        <v>23951.0</v>
      </c>
      <c r="L10" s="4" t="s">
        <v>71</v>
      </c>
      <c r="M10" s="22" t="n">
        <f>398580</f>
        <v>398580.0</v>
      </c>
      <c r="N10" s="5" t="s">
        <v>72</v>
      </c>
      <c r="O10" s="23" t="n">
        <f>37007</f>
        <v>37007.0</v>
      </c>
      <c r="P10" s="3" t="s">
        <v>73</v>
      </c>
      <c r="Q10" s="21"/>
      <c r="R10" s="3" t="s">
        <v>74</v>
      </c>
      <c r="S10" s="21" t="n">
        <f>1589537388059</f>
        <v>1.589537388059E12</v>
      </c>
      <c r="T10" s="21" t="n">
        <f>395686809978</f>
        <v>3.95686809978E11</v>
      </c>
      <c r="U10" s="5" t="s">
        <v>71</v>
      </c>
      <c r="V10" s="23" t="n">
        <f>6622024995000</f>
        <v>6.622024995E12</v>
      </c>
      <c r="W10" s="5" t="s">
        <v>72</v>
      </c>
      <c r="X10" s="23" t="n">
        <f>618785473370</f>
        <v>6.1878547337E11</v>
      </c>
      <c r="Y10" s="23"/>
      <c r="Z10" s="21" t="n">
        <f>1816347</f>
        <v>1816347.0</v>
      </c>
      <c r="AA10" s="21" t="n">
        <f>402449</f>
        <v>402449.0</v>
      </c>
      <c r="AB10" s="4" t="s">
        <v>75</v>
      </c>
      <c r="AC10" s="22" t="n">
        <f>625766</f>
        <v>625766.0</v>
      </c>
      <c r="AD10" s="5" t="s">
        <v>76</v>
      </c>
      <c r="AE10" s="23" t="n">
        <f>363688</f>
        <v>363688.0</v>
      </c>
    </row>
    <row r="11">
      <c r="A11" s="24" t="s">
        <v>46</v>
      </c>
      <c r="B11" s="25" t="s">
        <v>47</v>
      </c>
      <c r="C11" s="26"/>
      <c r="D11" s="27"/>
      <c r="E11" s="28" t="s">
        <v>77</v>
      </c>
      <c r="F11" s="20" t="n">
        <f>122</f>
        <v>122.0</v>
      </c>
      <c r="G11" s="21" t="n">
        <f>12145071</f>
        <v>1.2145071E7</v>
      </c>
      <c r="H11" s="21"/>
      <c r="I11" s="21" t="n">
        <f>3069021</f>
        <v>3069021.0</v>
      </c>
      <c r="J11" s="21" t="n">
        <f>99550</f>
        <v>99550.0</v>
      </c>
      <c r="K11" s="21" t="n">
        <f>25156</f>
        <v>25156.0</v>
      </c>
      <c r="L11" s="4" t="s">
        <v>78</v>
      </c>
      <c r="M11" s="22" t="n">
        <f>548073</f>
        <v>548073.0</v>
      </c>
      <c r="N11" s="5" t="s">
        <v>50</v>
      </c>
      <c r="O11" s="23" t="n">
        <f>32632</f>
        <v>32632.0</v>
      </c>
      <c r="P11" s="3" t="s">
        <v>79</v>
      </c>
      <c r="Q11" s="21"/>
      <c r="R11" s="3" t="s">
        <v>80</v>
      </c>
      <c r="S11" s="21" t="n">
        <f>1846789232648</f>
        <v>1.846789232648E12</v>
      </c>
      <c r="T11" s="21" t="n">
        <f>467737688525</f>
        <v>4.67737688525E11</v>
      </c>
      <c r="U11" s="5" t="s">
        <v>78</v>
      </c>
      <c r="V11" s="23" t="n">
        <f>10077313855960</f>
        <v>1.007731385596E13</v>
      </c>
      <c r="W11" s="5" t="s">
        <v>50</v>
      </c>
      <c r="X11" s="23" t="n">
        <f>631419725130</f>
        <v>6.3141972513E11</v>
      </c>
      <c r="Y11" s="23"/>
      <c r="Z11" s="21" t="n">
        <f>1712557</f>
        <v>1712557.0</v>
      </c>
      <c r="AA11" s="21" t="n">
        <f>431832</f>
        <v>431832.0</v>
      </c>
      <c r="AB11" s="4" t="s">
        <v>81</v>
      </c>
      <c r="AC11" s="22" t="n">
        <f>612677</f>
        <v>612677.0</v>
      </c>
      <c r="AD11" s="5" t="s">
        <v>82</v>
      </c>
      <c r="AE11" s="23" t="n">
        <f>403519</f>
        <v>403519.0</v>
      </c>
    </row>
    <row r="12">
      <c r="A12" s="24" t="s">
        <v>46</v>
      </c>
      <c r="B12" s="25" t="s">
        <v>47</v>
      </c>
      <c r="C12" s="26"/>
      <c r="D12" s="27"/>
      <c r="E12" s="28" t="s">
        <v>83</v>
      </c>
      <c r="F12" s="20" t="n">
        <f>124</f>
        <v>124.0</v>
      </c>
      <c r="G12" s="21" t="n">
        <f>10731646</f>
        <v>1.0731646E7</v>
      </c>
      <c r="H12" s="21"/>
      <c r="I12" s="21" t="n">
        <f>2594221</f>
        <v>2594221.0</v>
      </c>
      <c r="J12" s="21" t="n">
        <f>86546</f>
        <v>86546.0</v>
      </c>
      <c r="K12" s="21" t="n">
        <f>20921</f>
        <v>20921.0</v>
      </c>
      <c r="L12" s="4" t="s">
        <v>84</v>
      </c>
      <c r="M12" s="22" t="n">
        <f>431850</f>
        <v>431850.0</v>
      </c>
      <c r="N12" s="5" t="s">
        <v>85</v>
      </c>
      <c r="O12" s="23" t="n">
        <f>34567</f>
        <v>34567.0</v>
      </c>
      <c r="P12" s="3" t="s">
        <v>86</v>
      </c>
      <c r="Q12" s="21"/>
      <c r="R12" s="3" t="s">
        <v>87</v>
      </c>
      <c r="S12" s="21" t="n">
        <f>1698336007426</f>
        <v>1.698336007426E12</v>
      </c>
      <c r="T12" s="21" t="n">
        <f>410701425265</f>
        <v>4.10701425265E11</v>
      </c>
      <c r="U12" s="5" t="s">
        <v>84</v>
      </c>
      <c r="V12" s="23" t="n">
        <f>8322561467482</f>
        <v>8.322561467482E12</v>
      </c>
      <c r="W12" s="5" t="s">
        <v>85</v>
      </c>
      <c r="X12" s="23" t="n">
        <f>689761438615</f>
        <v>6.89761438615E11</v>
      </c>
      <c r="Y12" s="23"/>
      <c r="Z12" s="21" t="n">
        <f>1455613</f>
        <v>1455613.0</v>
      </c>
      <c r="AA12" s="21" t="n">
        <f>409485</f>
        <v>409485.0</v>
      </c>
      <c r="AB12" s="4" t="s">
        <v>88</v>
      </c>
      <c r="AC12" s="22" t="n">
        <f>558032</f>
        <v>558032.0</v>
      </c>
      <c r="AD12" s="5" t="s">
        <v>61</v>
      </c>
      <c r="AE12" s="23" t="n">
        <f>356596</f>
        <v>356596.0</v>
      </c>
    </row>
    <row r="13">
      <c r="A13" s="24" t="s">
        <v>46</v>
      </c>
      <c r="B13" s="25" t="s">
        <v>47</v>
      </c>
      <c r="C13" s="26"/>
      <c r="D13" s="27"/>
      <c r="E13" s="28" t="s">
        <v>89</v>
      </c>
      <c r="F13" s="20" t="n">
        <f>121</f>
        <v>121.0</v>
      </c>
      <c r="G13" s="21" t="n">
        <f>14299159</f>
        <v>1.4299159E7</v>
      </c>
      <c r="H13" s="21"/>
      <c r="I13" s="21" t="n">
        <f>3457370</f>
        <v>3457370.0</v>
      </c>
      <c r="J13" s="21" t="n">
        <f>118175</f>
        <v>118175.0</v>
      </c>
      <c r="K13" s="21" t="n">
        <f>28573</f>
        <v>28573.0</v>
      </c>
      <c r="L13" s="4" t="s">
        <v>90</v>
      </c>
      <c r="M13" s="22" t="n">
        <f>520171</f>
        <v>520171.0</v>
      </c>
      <c r="N13" s="5" t="s">
        <v>50</v>
      </c>
      <c r="O13" s="23" t="n">
        <f>15763</f>
        <v>15763.0</v>
      </c>
      <c r="P13" s="3" t="s">
        <v>91</v>
      </c>
      <c r="Q13" s="21"/>
      <c r="R13" s="3" t="s">
        <v>92</v>
      </c>
      <c r="S13" s="21" t="n">
        <f>2610726886893</f>
        <v>2.610726886893E12</v>
      </c>
      <c r="T13" s="21" t="n">
        <f>629531417868</f>
        <v>6.29531417868E11</v>
      </c>
      <c r="U13" s="5" t="s">
        <v>90</v>
      </c>
      <c r="V13" s="23" t="n">
        <f>11094855966410</f>
        <v>1.109485596641E13</v>
      </c>
      <c r="W13" s="5" t="s">
        <v>50</v>
      </c>
      <c r="X13" s="23" t="n">
        <f>360339288460</f>
        <v>3.6033928846E11</v>
      </c>
      <c r="Y13" s="23"/>
      <c r="Z13" s="21" t="n">
        <f>2096229</f>
        <v>2096229.0</v>
      </c>
      <c r="AA13" s="21" t="n">
        <f>436080</f>
        <v>436080.0</v>
      </c>
      <c r="AB13" s="4" t="s">
        <v>93</v>
      </c>
      <c r="AC13" s="22" t="n">
        <f>608734</f>
        <v>608734.0</v>
      </c>
      <c r="AD13" s="5" t="s">
        <v>94</v>
      </c>
      <c r="AE13" s="23" t="n">
        <f>391189</f>
        <v>391189.0</v>
      </c>
    </row>
    <row r="14">
      <c r="A14" s="24" t="s">
        <v>46</v>
      </c>
      <c r="B14" s="25" t="s">
        <v>47</v>
      </c>
      <c r="C14" s="26"/>
      <c r="D14" s="27"/>
      <c r="E14" s="28" t="s">
        <v>95</v>
      </c>
      <c r="F14" s="20" t="n">
        <f>124</f>
        <v>124.0</v>
      </c>
      <c r="G14" s="21" t="n">
        <f>10817290</f>
        <v>1.081729E7</v>
      </c>
      <c r="H14" s="21"/>
      <c r="I14" s="21" t="n">
        <f>2507024</f>
        <v>2507024.0</v>
      </c>
      <c r="J14" s="21" t="n">
        <f>87236</f>
        <v>87236.0</v>
      </c>
      <c r="K14" s="21" t="n">
        <f>20218</f>
        <v>20218.0</v>
      </c>
      <c r="L14" s="4" t="s">
        <v>96</v>
      </c>
      <c r="M14" s="22" t="n">
        <f>411698</f>
        <v>411698.0</v>
      </c>
      <c r="N14" s="5" t="s">
        <v>97</v>
      </c>
      <c r="O14" s="23" t="n">
        <f>41406</f>
        <v>41406.0</v>
      </c>
      <c r="P14" s="3" t="s">
        <v>98</v>
      </c>
      <c r="Q14" s="21"/>
      <c r="R14" s="3" t="s">
        <v>99</v>
      </c>
      <c r="S14" s="21" t="n">
        <f>1957605367932</f>
        <v>1.957605367932E12</v>
      </c>
      <c r="T14" s="21" t="n">
        <f>453693823448</f>
        <v>4.53693823448E11</v>
      </c>
      <c r="U14" s="5" t="s">
        <v>96</v>
      </c>
      <c r="V14" s="23" t="n">
        <f>9275796280710</f>
        <v>9.27579628071E12</v>
      </c>
      <c r="W14" s="5" t="s">
        <v>97</v>
      </c>
      <c r="X14" s="23" t="n">
        <f>934218055030</f>
        <v>9.3421805503E11</v>
      </c>
      <c r="Y14" s="23"/>
      <c r="Z14" s="21" t="n">
        <f>1258415</f>
        <v>1258415.0</v>
      </c>
      <c r="AA14" s="21" t="n">
        <f>420954</f>
        <v>420954.0</v>
      </c>
      <c r="AB14" s="4" t="s">
        <v>96</v>
      </c>
      <c r="AC14" s="22" t="n">
        <f>517538</f>
        <v>517538.0</v>
      </c>
      <c r="AD14" s="5" t="s">
        <v>100</v>
      </c>
      <c r="AE14" s="23" t="n">
        <f>359982</f>
        <v>359982.0</v>
      </c>
    </row>
    <row r="15">
      <c r="A15" s="24" t="s">
        <v>46</v>
      </c>
      <c r="B15" s="25" t="s">
        <v>47</v>
      </c>
      <c r="C15" s="26"/>
      <c r="D15" s="27"/>
      <c r="E15" s="28" t="s">
        <v>101</v>
      </c>
      <c r="F15" s="20" t="n">
        <f>120</f>
        <v>120.0</v>
      </c>
      <c r="G15" s="21" t="n">
        <f>13567872</f>
        <v>1.3567872E7</v>
      </c>
      <c r="H15" s="21"/>
      <c r="I15" s="21" t="n">
        <f>3157920</f>
        <v>3157920.0</v>
      </c>
      <c r="J15" s="21" t="n">
        <f>113066</f>
        <v>113066.0</v>
      </c>
      <c r="K15" s="21" t="n">
        <f>26316</f>
        <v>26316.0</v>
      </c>
      <c r="L15" s="4" t="s">
        <v>54</v>
      </c>
      <c r="M15" s="22" t="n">
        <f>481783</f>
        <v>481783.0</v>
      </c>
      <c r="N15" s="5" t="s">
        <v>102</v>
      </c>
      <c r="O15" s="23" t="n">
        <f>55659</f>
        <v>55659.0</v>
      </c>
      <c r="P15" s="3" t="s">
        <v>103</v>
      </c>
      <c r="Q15" s="21"/>
      <c r="R15" s="3" t="s">
        <v>104</v>
      </c>
      <c r="S15" s="21" t="n">
        <f>2427916007091</f>
        <v>2.427916007091E12</v>
      </c>
      <c r="T15" s="21" t="n">
        <f>563893916133</f>
        <v>5.63893916133E11</v>
      </c>
      <c r="U15" s="5" t="s">
        <v>54</v>
      </c>
      <c r="V15" s="23" t="n">
        <f>10313099467582</f>
        <v>1.0313099467582E13</v>
      </c>
      <c r="W15" s="5" t="s">
        <v>102</v>
      </c>
      <c r="X15" s="23" t="n">
        <f>1160031537420</f>
        <v>1.16003153742E12</v>
      </c>
      <c r="Y15" s="23"/>
      <c r="Z15" s="21" t="n">
        <f>1464320</f>
        <v>1464320.0</v>
      </c>
      <c r="AA15" s="21" t="n">
        <f>394207</f>
        <v>394207.0</v>
      </c>
      <c r="AB15" s="4" t="s">
        <v>54</v>
      </c>
      <c r="AC15" s="22" t="n">
        <f>595659</f>
        <v>595659.0</v>
      </c>
      <c r="AD15" s="5" t="s">
        <v>105</v>
      </c>
      <c r="AE15" s="23" t="n">
        <f>359928</f>
        <v>359928.0</v>
      </c>
    </row>
    <row r="16">
      <c r="A16" s="24" t="s">
        <v>46</v>
      </c>
      <c r="B16" s="25" t="s">
        <v>47</v>
      </c>
      <c r="C16" s="26"/>
      <c r="D16" s="27"/>
      <c r="E16" s="28" t="s">
        <v>106</v>
      </c>
      <c r="F16" s="20" t="n">
        <f>121</f>
        <v>121.0</v>
      </c>
      <c r="G16" s="21" t="n">
        <f>11352313</f>
        <v>1.1352313E7</v>
      </c>
      <c r="H16" s="21"/>
      <c r="I16" s="21" t="n">
        <f>2577289</f>
        <v>2577289.0</v>
      </c>
      <c r="J16" s="21" t="n">
        <f>93821</f>
        <v>93821.0</v>
      </c>
      <c r="K16" s="21" t="n">
        <f>21300</f>
        <v>21300.0</v>
      </c>
      <c r="L16" s="4" t="s">
        <v>107</v>
      </c>
      <c r="M16" s="22" t="n">
        <f>367315</f>
        <v>367315.0</v>
      </c>
      <c r="N16" s="5" t="s">
        <v>108</v>
      </c>
      <c r="O16" s="23" t="n">
        <f>35862</f>
        <v>35862.0</v>
      </c>
      <c r="P16" s="3" t="s">
        <v>109</v>
      </c>
      <c r="Q16" s="21"/>
      <c r="R16" s="3" t="s">
        <v>110</v>
      </c>
      <c r="S16" s="21" t="n">
        <f>1990661194652</f>
        <v>1.990661194652E12</v>
      </c>
      <c r="T16" s="21" t="n">
        <f>451682014164</f>
        <v>4.51682014164E11</v>
      </c>
      <c r="U16" s="5" t="s">
        <v>107</v>
      </c>
      <c r="V16" s="23" t="n">
        <f>7776543832330</f>
        <v>7.77654383233E12</v>
      </c>
      <c r="W16" s="5" t="s">
        <v>108</v>
      </c>
      <c r="X16" s="23" t="n">
        <f>776653700900</f>
        <v>7.766537009E11</v>
      </c>
      <c r="Y16" s="23"/>
      <c r="Z16" s="21" t="n">
        <f>1051909</f>
        <v>1051909.0</v>
      </c>
      <c r="AA16" s="21" t="n">
        <f>366050</f>
        <v>366050.0</v>
      </c>
      <c r="AB16" s="4" t="s">
        <v>107</v>
      </c>
      <c r="AC16" s="22" t="n">
        <f>474318</f>
        <v>474318.0</v>
      </c>
      <c r="AD16" s="5" t="s">
        <v>111</v>
      </c>
      <c r="AE16" s="23" t="n">
        <f>328183</f>
        <v>328183.0</v>
      </c>
    </row>
    <row r="17">
      <c r="A17" s="24" t="s">
        <v>46</v>
      </c>
      <c r="B17" s="25" t="s">
        <v>47</v>
      </c>
      <c r="C17" s="26"/>
      <c r="D17" s="27"/>
      <c r="E17" s="28" t="s">
        <v>112</v>
      </c>
      <c r="F17" s="20" t="n">
        <f>120</f>
        <v>120.0</v>
      </c>
      <c r="G17" s="21" t="n">
        <f>15167457</f>
        <v>1.5167457E7</v>
      </c>
      <c r="H17" s="21"/>
      <c r="I17" s="21" t="n">
        <f>3173660</f>
        <v>3173660.0</v>
      </c>
      <c r="J17" s="21" t="n">
        <f>126395</f>
        <v>126395.0</v>
      </c>
      <c r="K17" s="21" t="n">
        <f>26447</f>
        <v>26447.0</v>
      </c>
      <c r="L17" s="4" t="s">
        <v>53</v>
      </c>
      <c r="M17" s="22" t="n">
        <f>623938</f>
        <v>623938.0</v>
      </c>
      <c r="N17" s="5" t="s">
        <v>113</v>
      </c>
      <c r="O17" s="23" t="n">
        <f>12395</f>
        <v>12395.0</v>
      </c>
      <c r="P17" s="3" t="s">
        <v>114</v>
      </c>
      <c r="Q17" s="21"/>
      <c r="R17" s="3" t="s">
        <v>115</v>
      </c>
      <c r="S17" s="21" t="n">
        <f>2716006807773</f>
        <v>2.716006807773E12</v>
      </c>
      <c r="T17" s="21" t="n">
        <f>565728334065</f>
        <v>5.65728334065E11</v>
      </c>
      <c r="U17" s="5" t="s">
        <v>53</v>
      </c>
      <c r="V17" s="23" t="n">
        <f>12064388567567</f>
        <v>1.2064388567567E13</v>
      </c>
      <c r="W17" s="5" t="s">
        <v>113</v>
      </c>
      <c r="X17" s="23" t="n">
        <f>294315870660</f>
        <v>2.9431587066E11</v>
      </c>
      <c r="Y17" s="23"/>
      <c r="Z17" s="21" t="n">
        <f>1363276</f>
        <v>1363276.0</v>
      </c>
      <c r="AA17" s="21" t="n">
        <f>446816</f>
        <v>446816.0</v>
      </c>
      <c r="AB17" s="4" t="s">
        <v>116</v>
      </c>
      <c r="AC17" s="22" t="n">
        <f>616809</f>
        <v>616809.0</v>
      </c>
      <c r="AD17" s="5" t="s">
        <v>117</v>
      </c>
      <c r="AE17" s="23" t="n">
        <f>330142</f>
        <v>330142.0</v>
      </c>
    </row>
    <row r="18">
      <c r="A18" s="24" t="s">
        <v>46</v>
      </c>
      <c r="B18" s="25" t="s">
        <v>47</v>
      </c>
      <c r="C18" s="26"/>
      <c r="D18" s="27"/>
      <c r="E18" s="28" t="s">
        <v>118</v>
      </c>
      <c r="F18" s="20" t="n">
        <f>122</f>
        <v>122.0</v>
      </c>
      <c r="G18" s="21" t="n">
        <f>11848773</f>
        <v>1.1848773E7</v>
      </c>
      <c r="H18" s="21"/>
      <c r="I18" s="21" t="n">
        <f>2811155</f>
        <v>2811155.0</v>
      </c>
      <c r="J18" s="21" t="n">
        <f>97121</f>
        <v>97121.0</v>
      </c>
      <c r="K18" s="21" t="n">
        <f>23042</f>
        <v>23042.0</v>
      </c>
      <c r="L18" s="4" t="s">
        <v>119</v>
      </c>
      <c r="M18" s="22" t="n">
        <f>364653</f>
        <v>364653.0</v>
      </c>
      <c r="N18" s="5" t="s">
        <v>120</v>
      </c>
      <c r="O18" s="23" t="n">
        <f>36179</f>
        <v>36179.0</v>
      </c>
      <c r="P18" s="3" t="s">
        <v>121</v>
      </c>
      <c r="Q18" s="21"/>
      <c r="R18" s="3" t="s">
        <v>122</v>
      </c>
      <c r="S18" s="21" t="n">
        <f>2120671970361</f>
        <v>2.120671970361E12</v>
      </c>
      <c r="T18" s="21" t="n">
        <f>503094810852</f>
        <v>5.03094810852E11</v>
      </c>
      <c r="U18" s="5" t="s">
        <v>119</v>
      </c>
      <c r="V18" s="23" t="n">
        <f>8359674001760</f>
        <v>8.35967400176E12</v>
      </c>
      <c r="W18" s="5" t="s">
        <v>123</v>
      </c>
      <c r="X18" s="23" t="n">
        <f>827190572500</f>
        <v>8.271905725E11</v>
      </c>
      <c r="Y18" s="23"/>
      <c r="Z18" s="21" t="n">
        <f>927990</f>
        <v>927990.0</v>
      </c>
      <c r="AA18" s="21" t="n">
        <f>380877</f>
        <v>380877.0</v>
      </c>
      <c r="AB18" s="4" t="s">
        <v>107</v>
      </c>
      <c r="AC18" s="22" t="n">
        <f>604958</f>
        <v>604958.0</v>
      </c>
      <c r="AD18" s="5" t="s">
        <v>120</v>
      </c>
      <c r="AE18" s="23" t="n">
        <f>364313</f>
        <v>364313.0</v>
      </c>
    </row>
    <row r="19">
      <c r="A19" s="24" t="s">
        <v>46</v>
      </c>
      <c r="B19" s="25" t="s">
        <v>47</v>
      </c>
      <c r="C19" s="26"/>
      <c r="D19" s="27"/>
      <c r="E19" s="28" t="s">
        <v>124</v>
      </c>
      <c r="F19" s="20" t="n">
        <f>123</f>
        <v>123.0</v>
      </c>
      <c r="G19" s="21" t="n">
        <f>10628215</f>
        <v>1.0628215E7</v>
      </c>
      <c r="H19" s="21"/>
      <c r="I19" s="21" t="n">
        <f>2400987</f>
        <v>2400987.0</v>
      </c>
      <c r="J19" s="21" t="n">
        <f>86408</f>
        <v>86408.0</v>
      </c>
      <c r="K19" s="21" t="n">
        <f>19520</f>
        <v>19520.0</v>
      </c>
      <c r="L19" s="4" t="s">
        <v>68</v>
      </c>
      <c r="M19" s="22" t="n">
        <f>390095</f>
        <v>390095.0</v>
      </c>
      <c r="N19" s="5" t="s">
        <v>113</v>
      </c>
      <c r="O19" s="23" t="n">
        <f>13578</f>
        <v>13578.0</v>
      </c>
      <c r="P19" s="3" t="s">
        <v>125</v>
      </c>
      <c r="Q19" s="21"/>
      <c r="R19" s="3" t="s">
        <v>126</v>
      </c>
      <c r="S19" s="21" t="n">
        <f>2339146039612</f>
        <v>2.339146039612E12</v>
      </c>
      <c r="T19" s="21" t="n">
        <f>532824940278</f>
        <v>5.32824940278E11</v>
      </c>
      <c r="U19" s="5" t="s">
        <v>68</v>
      </c>
      <c r="V19" s="23" t="n">
        <f>11231687743747</f>
        <v>1.1231687743747E13</v>
      </c>
      <c r="W19" s="5" t="s">
        <v>113</v>
      </c>
      <c r="X19" s="23" t="n">
        <f>361421139100</f>
        <v>3.614211391E11</v>
      </c>
      <c r="Y19" s="23"/>
      <c r="Z19" s="21" t="n">
        <f>1145788</f>
        <v>1145788.0</v>
      </c>
      <c r="AA19" s="21" t="n">
        <f>311790</f>
        <v>311790.0</v>
      </c>
      <c r="AB19" s="4" t="s">
        <v>81</v>
      </c>
      <c r="AC19" s="22" t="n">
        <f>440390</f>
        <v>440390.0</v>
      </c>
      <c r="AD19" s="5" t="s">
        <v>94</v>
      </c>
      <c r="AE19" s="23" t="n">
        <f>297789</f>
        <v>297789.0</v>
      </c>
    </row>
    <row r="20">
      <c r="A20" s="24" t="s">
        <v>46</v>
      </c>
      <c r="B20" s="25" t="s">
        <v>47</v>
      </c>
      <c r="C20" s="26"/>
      <c r="D20" s="27"/>
      <c r="E20" s="28" t="s">
        <v>127</v>
      </c>
      <c r="F20" s="20" t="n">
        <f>122</f>
        <v>122.0</v>
      </c>
      <c r="G20" s="21" t="n">
        <f>8105314</f>
        <v>8105314.0</v>
      </c>
      <c r="H20" s="21"/>
      <c r="I20" s="21" t="n">
        <f>2151944</f>
        <v>2151944.0</v>
      </c>
      <c r="J20" s="21" t="n">
        <f>66437</f>
        <v>66437.0</v>
      </c>
      <c r="K20" s="21" t="n">
        <f>17639</f>
        <v>17639.0</v>
      </c>
      <c r="L20" s="4" t="s">
        <v>128</v>
      </c>
      <c r="M20" s="22" t="n">
        <f>338989</f>
        <v>338989.0</v>
      </c>
      <c r="N20" s="5" t="s">
        <v>129</v>
      </c>
      <c r="O20" s="23" t="n">
        <f>26930</f>
        <v>26930.0</v>
      </c>
      <c r="P20" s="3" t="s">
        <v>130</v>
      </c>
      <c r="Q20" s="21"/>
      <c r="R20" s="3" t="s">
        <v>131</v>
      </c>
      <c r="S20" s="21" t="n">
        <f>1914918336884</f>
        <v>1.914918336884E12</v>
      </c>
      <c r="T20" s="21" t="n">
        <f>509788651106</f>
        <v>5.09788651106E11</v>
      </c>
      <c r="U20" s="5" t="s">
        <v>128</v>
      </c>
      <c r="V20" s="23" t="n">
        <f>10120066661710</f>
        <v>1.012006666171E13</v>
      </c>
      <c r="W20" s="5" t="s">
        <v>129</v>
      </c>
      <c r="X20" s="23" t="n">
        <f>746474099440</f>
        <v>7.4647409944E11</v>
      </c>
      <c r="Y20" s="23"/>
      <c r="Z20" s="21" t="n">
        <f>1158671</f>
        <v>1158671.0</v>
      </c>
      <c r="AA20" s="21" t="n">
        <f>299761</f>
        <v>299761.0</v>
      </c>
      <c r="AB20" s="4" t="s">
        <v>128</v>
      </c>
      <c r="AC20" s="22" t="n">
        <f>365763</f>
        <v>365763.0</v>
      </c>
      <c r="AD20" s="5" t="s">
        <v>132</v>
      </c>
      <c r="AE20" s="23" t="n">
        <f>264002</f>
        <v>264002.0</v>
      </c>
    </row>
    <row r="21">
      <c r="A21" s="24" t="s">
        <v>46</v>
      </c>
      <c r="B21" s="25" t="s">
        <v>47</v>
      </c>
      <c r="C21" s="26"/>
      <c r="D21" s="27"/>
      <c r="E21" s="28" t="s">
        <v>133</v>
      </c>
      <c r="F21" s="20" t="n">
        <f>122</f>
        <v>122.0</v>
      </c>
      <c r="G21" s="21" t="n">
        <f>10435457</f>
        <v>1.0435457E7</v>
      </c>
      <c r="H21" s="21"/>
      <c r="I21" s="21" t="n">
        <f>2504746</f>
        <v>2504746.0</v>
      </c>
      <c r="J21" s="21" t="n">
        <f>85537</f>
        <v>85537.0</v>
      </c>
      <c r="K21" s="21" t="n">
        <f>20531</f>
        <v>20531.0</v>
      </c>
      <c r="L21" s="4" t="s">
        <v>68</v>
      </c>
      <c r="M21" s="22" t="n">
        <f>392829</f>
        <v>392829.0</v>
      </c>
      <c r="N21" s="5" t="s">
        <v>134</v>
      </c>
      <c r="O21" s="23" t="n">
        <f>16941</f>
        <v>16941.0</v>
      </c>
      <c r="P21" s="3" t="s">
        <v>135</v>
      </c>
      <c r="Q21" s="21"/>
      <c r="R21" s="3" t="s">
        <v>136</v>
      </c>
      <c r="S21" s="21" t="n">
        <f>2353668722707</f>
        <v>2.353668722707E12</v>
      </c>
      <c r="T21" s="21" t="n">
        <f>562855029846</f>
        <v>5.62855029846E11</v>
      </c>
      <c r="U21" s="5" t="s">
        <v>137</v>
      </c>
      <c r="V21" s="23" t="n">
        <f>9920635966199</f>
        <v>9.920635966199E12</v>
      </c>
      <c r="W21" s="5" t="s">
        <v>134</v>
      </c>
      <c r="X21" s="23" t="n">
        <f>485560644860</f>
        <v>4.8556064486E11</v>
      </c>
      <c r="Y21" s="23"/>
      <c r="Z21" s="21" t="n">
        <f>1477699</f>
        <v>1477699.0</v>
      </c>
      <c r="AA21" s="21" t="n">
        <f>280899</f>
        <v>280899.0</v>
      </c>
      <c r="AB21" s="4" t="s">
        <v>53</v>
      </c>
      <c r="AC21" s="22" t="n">
        <f>396220</f>
        <v>396220.0</v>
      </c>
      <c r="AD21" s="5" t="s">
        <v>138</v>
      </c>
      <c r="AE21" s="23" t="n">
        <f>239898</f>
        <v>239898.0</v>
      </c>
    </row>
    <row r="22">
      <c r="A22" s="24" t="s">
        <v>46</v>
      </c>
      <c r="B22" s="25" t="s">
        <v>47</v>
      </c>
      <c r="C22" s="26"/>
      <c r="D22" s="27"/>
      <c r="E22" s="28" t="s">
        <v>139</v>
      </c>
      <c r="F22" s="20" t="n">
        <f>123</f>
        <v>123.0</v>
      </c>
      <c r="G22" s="21" t="n">
        <f>11225874</f>
        <v>1.1225874E7</v>
      </c>
      <c r="H22" s="21"/>
      <c r="I22" s="21" t="n">
        <f>2349590</f>
        <v>2349590.0</v>
      </c>
      <c r="J22" s="21" t="n">
        <f>91267</f>
        <v>91267.0</v>
      </c>
      <c r="K22" s="21" t="n">
        <f>19102</f>
        <v>19102.0</v>
      </c>
      <c r="L22" s="4" t="s">
        <v>71</v>
      </c>
      <c r="M22" s="22" t="n">
        <f>354117</f>
        <v>354117.0</v>
      </c>
      <c r="N22" s="5" t="s">
        <v>140</v>
      </c>
      <c r="O22" s="23" t="n">
        <f>40078</f>
        <v>40078.0</v>
      </c>
      <c r="P22" s="3" t="s">
        <v>141</v>
      </c>
      <c r="Q22" s="21"/>
      <c r="R22" s="3" t="s">
        <v>142</v>
      </c>
      <c r="S22" s="21" t="n">
        <f>2475921401518</f>
        <v>2.475921401518E12</v>
      </c>
      <c r="T22" s="21" t="n">
        <f>520790415355</f>
        <v>5.20790415355E11</v>
      </c>
      <c r="U22" s="5" t="s">
        <v>71</v>
      </c>
      <c r="V22" s="23" t="n">
        <f>9899619089733</f>
        <v>9.899619089733E12</v>
      </c>
      <c r="W22" s="5" t="s">
        <v>140</v>
      </c>
      <c r="X22" s="23" t="n">
        <f>1070555342860</f>
        <v>1.07055534286E12</v>
      </c>
      <c r="Y22" s="23"/>
      <c r="Z22" s="21" t="n">
        <f>1176612</f>
        <v>1176612.0</v>
      </c>
      <c r="AA22" s="21" t="n">
        <f>316482</f>
        <v>316482.0</v>
      </c>
      <c r="AB22" s="4" t="s">
        <v>143</v>
      </c>
      <c r="AC22" s="22" t="n">
        <f>370244</f>
        <v>370244.0</v>
      </c>
      <c r="AD22" s="5" t="s">
        <v>144</v>
      </c>
      <c r="AE22" s="23" t="n">
        <f>263252</f>
        <v>263252.0</v>
      </c>
    </row>
    <row r="23">
      <c r="A23" s="24" t="s">
        <v>46</v>
      </c>
      <c r="B23" s="25" t="s">
        <v>47</v>
      </c>
      <c r="C23" s="26"/>
      <c r="D23" s="27"/>
      <c r="E23" s="28" t="s">
        <v>145</v>
      </c>
      <c r="F23" s="20" t="n">
        <f>122</f>
        <v>122.0</v>
      </c>
      <c r="G23" s="21" t="n">
        <f>10241424</f>
        <v>1.0241424E7</v>
      </c>
      <c r="H23" s="21"/>
      <c r="I23" s="21" t="n">
        <f>2537070</f>
        <v>2537070.0</v>
      </c>
      <c r="J23" s="21" t="n">
        <f>83946</f>
        <v>83946.0</v>
      </c>
      <c r="K23" s="21" t="n">
        <f>20796</f>
        <v>20796.0</v>
      </c>
      <c r="L23" s="4" t="s">
        <v>146</v>
      </c>
      <c r="M23" s="22" t="n">
        <f>345020</f>
        <v>345020.0</v>
      </c>
      <c r="N23" s="5" t="s">
        <v>134</v>
      </c>
      <c r="O23" s="23" t="n">
        <f>30439</f>
        <v>30439.0</v>
      </c>
      <c r="P23" s="3" t="s">
        <v>147</v>
      </c>
      <c r="Q23" s="21"/>
      <c r="R23" s="3" t="s">
        <v>148</v>
      </c>
      <c r="S23" s="21" t="n">
        <f>2292944414718</f>
        <v>2.292944414718E12</v>
      </c>
      <c r="T23" s="21" t="n">
        <f>569919420079</f>
        <v>5.69919420079E11</v>
      </c>
      <c r="U23" s="5" t="s">
        <v>146</v>
      </c>
      <c r="V23" s="23" t="n">
        <f>9728224152911</f>
        <v>9.728224152911E12</v>
      </c>
      <c r="W23" s="5" t="s">
        <v>134</v>
      </c>
      <c r="X23" s="23" t="n">
        <f>804324030078</f>
        <v>8.04324030078E11</v>
      </c>
      <c r="Y23" s="23"/>
      <c r="Z23" s="21" t="n">
        <f>1011743</f>
        <v>1011743.0</v>
      </c>
      <c r="AA23" s="21" t="n">
        <f>291708</f>
        <v>291708.0</v>
      </c>
      <c r="AB23" s="4" t="s">
        <v>149</v>
      </c>
      <c r="AC23" s="22" t="n">
        <f>381216</f>
        <v>381216.0</v>
      </c>
      <c r="AD23" s="5" t="s">
        <v>54</v>
      </c>
      <c r="AE23" s="23" t="n">
        <f>247339</f>
        <v>247339.0</v>
      </c>
    </row>
    <row r="24">
      <c r="A24" s="24" t="s">
        <v>46</v>
      </c>
      <c r="B24" s="25" t="s">
        <v>47</v>
      </c>
      <c r="C24" s="26"/>
      <c r="D24" s="27"/>
      <c r="E24" s="28" t="s">
        <v>150</v>
      </c>
      <c r="F24" s="20" t="n">
        <f>124</f>
        <v>124.0</v>
      </c>
      <c r="G24" s="21" t="n">
        <f>10911242</f>
        <v>1.0911242E7</v>
      </c>
      <c r="H24" s="21"/>
      <c r="I24" s="21" t="n">
        <f>2346271</f>
        <v>2346271.0</v>
      </c>
      <c r="J24" s="21" t="n">
        <f>87994</f>
        <v>87994.0</v>
      </c>
      <c r="K24" s="21" t="n">
        <f>18922</f>
        <v>18922.0</v>
      </c>
      <c r="L24" s="4" t="s">
        <v>96</v>
      </c>
      <c r="M24" s="22" t="n">
        <f>461072</f>
        <v>461072.0</v>
      </c>
      <c r="N24" s="5" t="s">
        <v>151</v>
      </c>
      <c r="O24" s="23" t="n">
        <f>30617</f>
        <v>30617.0</v>
      </c>
      <c r="P24" s="3" t="s">
        <v>152</v>
      </c>
      <c r="Q24" s="21"/>
      <c r="R24" s="3" t="s">
        <v>153</v>
      </c>
      <c r="S24" s="21" t="n">
        <f>2789813367489</f>
        <v>2.789813367489E12</v>
      </c>
      <c r="T24" s="21" t="n">
        <f>600620340626</f>
        <v>6.00620340626E11</v>
      </c>
      <c r="U24" s="5" t="s">
        <v>96</v>
      </c>
      <c r="V24" s="23" t="n">
        <f>14883171209843</f>
        <v>1.4883171209843E13</v>
      </c>
      <c r="W24" s="5" t="s">
        <v>151</v>
      </c>
      <c r="X24" s="23" t="n">
        <f>846185994450</f>
        <v>8.4618599445E11</v>
      </c>
      <c r="Y24" s="23"/>
      <c r="Z24" s="21" t="n">
        <f>1296179</f>
        <v>1296179.0</v>
      </c>
      <c r="AA24" s="21" t="n">
        <f>282462</f>
        <v>282462.0</v>
      </c>
      <c r="AB24" s="4" t="s">
        <v>96</v>
      </c>
      <c r="AC24" s="22" t="n">
        <f>409400</f>
        <v>409400.0</v>
      </c>
      <c r="AD24" s="5" t="s">
        <v>61</v>
      </c>
      <c r="AE24" s="23" t="n">
        <f>258747</f>
        <v>258747.0</v>
      </c>
    </row>
    <row r="25">
      <c r="A25" s="24" t="s">
        <v>46</v>
      </c>
      <c r="B25" s="25" t="s">
        <v>47</v>
      </c>
      <c r="C25" s="26"/>
      <c r="D25" s="27"/>
      <c r="E25" s="28" t="s">
        <v>154</v>
      </c>
      <c r="F25" s="20" t="n">
        <f>120</f>
        <v>120.0</v>
      </c>
      <c r="G25" s="21" t="n">
        <f>10409243</f>
        <v>1.0409243E7</v>
      </c>
      <c r="H25" s="21"/>
      <c r="I25" s="21" t="n">
        <f>2285585</f>
        <v>2285585.0</v>
      </c>
      <c r="J25" s="21" t="n">
        <f>86744</f>
        <v>86744.0</v>
      </c>
      <c r="K25" s="21" t="n">
        <f>19047</f>
        <v>19047.0</v>
      </c>
      <c r="L25" s="4" t="s">
        <v>155</v>
      </c>
      <c r="M25" s="22" t="n">
        <f>488619</f>
        <v>488619.0</v>
      </c>
      <c r="N25" s="5" t="s">
        <v>50</v>
      </c>
      <c r="O25" s="23" t="n">
        <f>17289</f>
        <v>17289.0</v>
      </c>
      <c r="P25" s="3" t="s">
        <v>156</v>
      </c>
      <c r="Q25" s="21"/>
      <c r="R25" s="3" t="s">
        <v>157</v>
      </c>
      <c r="S25" s="21" t="n">
        <f>3057670830855</f>
        <v>3.057670830855E12</v>
      </c>
      <c r="T25" s="21" t="n">
        <f>676216248438</f>
        <v>6.76216248438E11</v>
      </c>
      <c r="U25" s="5" t="s">
        <v>155</v>
      </c>
      <c r="V25" s="23" t="n">
        <f>19523904099485</f>
        <v>1.9523904099485E13</v>
      </c>
      <c r="W25" s="5" t="s">
        <v>50</v>
      </c>
      <c r="X25" s="23" t="n">
        <f>573418370000</f>
        <v>5.7341837E11</v>
      </c>
      <c r="Y25" s="23"/>
      <c r="Z25" s="21" t="n">
        <f>1334429</f>
        <v>1334429.0</v>
      </c>
      <c r="AA25" s="21" t="n">
        <f>275870</f>
        <v>275870.0</v>
      </c>
      <c r="AB25" s="4" t="s">
        <v>93</v>
      </c>
      <c r="AC25" s="22" t="n">
        <f>368915</f>
        <v>368915.0</v>
      </c>
      <c r="AD25" s="5" t="s">
        <v>54</v>
      </c>
      <c r="AE25" s="23" t="n">
        <f>243886</f>
        <v>243886.0</v>
      </c>
    </row>
    <row r="26">
      <c r="A26" s="24" t="s">
        <v>158</v>
      </c>
      <c r="B26" s="25" t="s">
        <v>159</v>
      </c>
      <c r="C26" s="26"/>
      <c r="D26" s="27"/>
      <c r="E26" s="28" t="s">
        <v>48</v>
      </c>
      <c r="F26" s="20" t="n">
        <f>81</f>
        <v>81.0</v>
      </c>
      <c r="G26" s="21" t="n">
        <f>76598900</f>
        <v>7.65989E7</v>
      </c>
      <c r="H26" s="21"/>
      <c r="I26" s="21" t="n">
        <f>2421637</f>
        <v>2421637.0</v>
      </c>
      <c r="J26" s="21" t="n">
        <f>945665</f>
        <v>945665.0</v>
      </c>
      <c r="K26" s="21" t="n">
        <f>29897</f>
        <v>29897.0</v>
      </c>
      <c r="L26" s="4" t="s">
        <v>160</v>
      </c>
      <c r="M26" s="22" t="n">
        <f>2081030</f>
        <v>2081030.0</v>
      </c>
      <c r="N26" s="5" t="s">
        <v>113</v>
      </c>
      <c r="O26" s="23" t="n">
        <f>191322</f>
        <v>191322.0</v>
      </c>
      <c r="P26" s="3" t="s">
        <v>161</v>
      </c>
      <c r="Q26" s="21"/>
      <c r="R26" s="3" t="s">
        <v>162</v>
      </c>
      <c r="S26" s="21" t="n">
        <f>1696065541679</f>
        <v>1.696065541679E12</v>
      </c>
      <c r="T26" s="21" t="n">
        <f>53522256784</f>
        <v>5.3522256784E10</v>
      </c>
      <c r="U26" s="5" t="s">
        <v>49</v>
      </c>
      <c r="V26" s="23" t="n">
        <f>3605171958800</f>
        <v>3.6051719588E12</v>
      </c>
      <c r="W26" s="5" t="s">
        <v>113</v>
      </c>
      <c r="X26" s="23" t="n">
        <f>340433553900</f>
        <v>3.404335539E11</v>
      </c>
      <c r="Y26" s="23"/>
      <c r="Z26" s="21" t="n">
        <f>3425060</f>
        <v>3425060.0</v>
      </c>
      <c r="AA26" s="21" t="n">
        <f>435055</f>
        <v>435055.0</v>
      </c>
      <c r="AB26" s="4" t="s">
        <v>54</v>
      </c>
      <c r="AC26" s="22" t="n">
        <f>917603</f>
        <v>917603.0</v>
      </c>
      <c r="AD26" s="5" t="s">
        <v>55</v>
      </c>
      <c r="AE26" s="23" t="n">
        <f>333571</f>
        <v>333571.0</v>
      </c>
    </row>
    <row r="27">
      <c r="A27" s="24" t="s">
        <v>158</v>
      </c>
      <c r="B27" s="25" t="s">
        <v>159</v>
      </c>
      <c r="C27" s="26"/>
      <c r="D27" s="27"/>
      <c r="E27" s="28" t="s">
        <v>56</v>
      </c>
      <c r="F27" s="20" t="n">
        <f>123</f>
        <v>123.0</v>
      </c>
      <c r="G27" s="21" t="n">
        <f>134881939</f>
        <v>1.34881939E8</v>
      </c>
      <c r="H27" s="21"/>
      <c r="I27" s="21" t="n">
        <f>4730713</f>
        <v>4730713.0</v>
      </c>
      <c r="J27" s="21" t="n">
        <f>1096601</f>
        <v>1096601.0</v>
      </c>
      <c r="K27" s="21" t="n">
        <f>38461</f>
        <v>38461.0</v>
      </c>
      <c r="L27" s="4" t="s">
        <v>57</v>
      </c>
      <c r="M27" s="22" t="n">
        <f>4893610</f>
        <v>4893610.0</v>
      </c>
      <c r="N27" s="5" t="s">
        <v>163</v>
      </c>
      <c r="O27" s="23" t="n">
        <f>485083</f>
        <v>485083.0</v>
      </c>
      <c r="P27" s="3" t="s">
        <v>164</v>
      </c>
      <c r="Q27" s="21"/>
      <c r="R27" s="3" t="s">
        <v>165</v>
      </c>
      <c r="S27" s="21" t="n">
        <f>2145315034378</f>
        <v>2.145315034378E12</v>
      </c>
      <c r="T27" s="21" t="n">
        <f>75499231402</f>
        <v>7.5499231402E10</v>
      </c>
      <c r="U27" s="5" t="s">
        <v>57</v>
      </c>
      <c r="V27" s="23" t="n">
        <f>8834987357200</f>
        <v>8.8349873572E12</v>
      </c>
      <c r="W27" s="5" t="s">
        <v>163</v>
      </c>
      <c r="X27" s="23" t="n">
        <f>991308169700</f>
        <v>9.913081697E11</v>
      </c>
      <c r="Y27" s="23"/>
      <c r="Z27" s="21" t="n">
        <f>7112590</f>
        <v>7112590.0</v>
      </c>
      <c r="AA27" s="21" t="n">
        <f>416068</f>
        <v>416068.0</v>
      </c>
      <c r="AB27" s="4" t="s">
        <v>61</v>
      </c>
      <c r="AC27" s="22" t="n">
        <f>936727</f>
        <v>936727.0</v>
      </c>
      <c r="AD27" s="5" t="s">
        <v>166</v>
      </c>
      <c r="AE27" s="23" t="n">
        <f>286666</f>
        <v>286666.0</v>
      </c>
    </row>
    <row r="28">
      <c r="A28" s="24" t="s">
        <v>158</v>
      </c>
      <c r="B28" s="25" t="s">
        <v>159</v>
      </c>
      <c r="C28" s="26"/>
      <c r="D28" s="27"/>
      <c r="E28" s="28" t="s">
        <v>63</v>
      </c>
      <c r="F28" s="20" t="n">
        <f>122</f>
        <v>122.0</v>
      </c>
      <c r="G28" s="21" t="n">
        <f>134808162</f>
        <v>1.34808162E8</v>
      </c>
      <c r="H28" s="21"/>
      <c r="I28" s="21" t="n">
        <f>6154398</f>
        <v>6154398.0</v>
      </c>
      <c r="J28" s="21" t="n">
        <f>1104985</f>
        <v>1104985.0</v>
      </c>
      <c r="K28" s="21" t="n">
        <f>50446</f>
        <v>50446.0</v>
      </c>
      <c r="L28" s="4" t="s">
        <v>167</v>
      </c>
      <c r="M28" s="22" t="n">
        <f>2458131</f>
        <v>2458131.0</v>
      </c>
      <c r="N28" s="5" t="s">
        <v>65</v>
      </c>
      <c r="O28" s="23" t="n">
        <f>341116</f>
        <v>341116.0</v>
      </c>
      <c r="P28" s="3" t="s">
        <v>168</v>
      </c>
      <c r="Q28" s="21"/>
      <c r="R28" s="3" t="s">
        <v>169</v>
      </c>
      <c r="S28" s="21" t="n">
        <f>1958861348844</f>
        <v>1.958861348844E12</v>
      </c>
      <c r="T28" s="21" t="n">
        <f>89692266546</f>
        <v>8.9692266546E10</v>
      </c>
      <c r="U28" s="5" t="s">
        <v>167</v>
      </c>
      <c r="V28" s="23" t="n">
        <f>4023646659500</f>
        <v>4.0236466595E12</v>
      </c>
      <c r="W28" s="5" t="s">
        <v>65</v>
      </c>
      <c r="X28" s="23" t="n">
        <f>642345110600</f>
        <v>6.423451106E11</v>
      </c>
      <c r="Y28" s="23"/>
      <c r="Z28" s="21" t="n">
        <f>8836291</f>
        <v>8836291.0</v>
      </c>
      <c r="AA28" s="21" t="n">
        <f>361567</f>
        <v>361567.0</v>
      </c>
      <c r="AB28" s="4" t="s">
        <v>170</v>
      </c>
      <c r="AC28" s="22" t="n">
        <f>880725</f>
        <v>880725.0</v>
      </c>
      <c r="AD28" s="5" t="s">
        <v>171</v>
      </c>
      <c r="AE28" s="23" t="n">
        <f>254479</f>
        <v>254479.0</v>
      </c>
    </row>
    <row r="29">
      <c r="A29" s="24" t="s">
        <v>158</v>
      </c>
      <c r="B29" s="25" t="s">
        <v>159</v>
      </c>
      <c r="C29" s="26"/>
      <c r="D29" s="27"/>
      <c r="E29" s="28" t="s">
        <v>70</v>
      </c>
      <c r="F29" s="20" t="n">
        <f>123</f>
        <v>123.0</v>
      </c>
      <c r="G29" s="21" t="n">
        <f>102829715</f>
        <v>1.02829715E8</v>
      </c>
      <c r="H29" s="21"/>
      <c r="I29" s="21" t="n">
        <f>4855717</f>
        <v>4855717.0</v>
      </c>
      <c r="J29" s="21" t="n">
        <f>836014</f>
        <v>836014.0</v>
      </c>
      <c r="K29" s="21" t="n">
        <f>39477</f>
        <v>39477.0</v>
      </c>
      <c r="L29" s="4" t="s">
        <v>111</v>
      </c>
      <c r="M29" s="22" t="n">
        <f>2263373</f>
        <v>2263373.0</v>
      </c>
      <c r="N29" s="5" t="s">
        <v>72</v>
      </c>
      <c r="O29" s="23" t="n">
        <f>375456</f>
        <v>375456.0</v>
      </c>
      <c r="P29" s="3" t="s">
        <v>172</v>
      </c>
      <c r="Q29" s="21"/>
      <c r="R29" s="3" t="s">
        <v>173</v>
      </c>
      <c r="S29" s="21" t="n">
        <f>1368477690454</f>
        <v>1.368477690454E12</v>
      </c>
      <c r="T29" s="21" t="n">
        <f>64482727057</f>
        <v>6.4482727057E10</v>
      </c>
      <c r="U29" s="5" t="s">
        <v>111</v>
      </c>
      <c r="V29" s="23" t="n">
        <f>3550504990900</f>
        <v>3.5505049909E12</v>
      </c>
      <c r="W29" s="5" t="s">
        <v>72</v>
      </c>
      <c r="X29" s="23" t="n">
        <f>627574987600</f>
        <v>6.275749876E11</v>
      </c>
      <c r="Y29" s="23"/>
      <c r="Z29" s="21" t="n">
        <f>6601957</f>
        <v>6601957.0</v>
      </c>
      <c r="AA29" s="21" t="n">
        <f>428698</f>
        <v>428698.0</v>
      </c>
      <c r="AB29" s="4" t="s">
        <v>174</v>
      </c>
      <c r="AC29" s="22" t="n">
        <f>674991</f>
        <v>674991.0</v>
      </c>
      <c r="AD29" s="5" t="s">
        <v>76</v>
      </c>
      <c r="AE29" s="23" t="n">
        <f>243378</f>
        <v>243378.0</v>
      </c>
    </row>
    <row r="30">
      <c r="A30" s="24" t="s">
        <v>158</v>
      </c>
      <c r="B30" s="25" t="s">
        <v>159</v>
      </c>
      <c r="C30" s="26"/>
      <c r="D30" s="27"/>
      <c r="E30" s="28" t="s">
        <v>77</v>
      </c>
      <c r="F30" s="20" t="n">
        <f>122</f>
        <v>122.0</v>
      </c>
      <c r="G30" s="21" t="n">
        <f>108170052</f>
        <v>1.08170052E8</v>
      </c>
      <c r="H30" s="21"/>
      <c r="I30" s="21" t="n">
        <f>4906376</f>
        <v>4906376.0</v>
      </c>
      <c r="J30" s="21" t="n">
        <f>886640</f>
        <v>886640.0</v>
      </c>
      <c r="K30" s="21" t="n">
        <f>40216</f>
        <v>40216.0</v>
      </c>
      <c r="L30" s="4" t="s">
        <v>175</v>
      </c>
      <c r="M30" s="22" t="n">
        <f>3039238</f>
        <v>3039238.0</v>
      </c>
      <c r="N30" s="5" t="s">
        <v>50</v>
      </c>
      <c r="O30" s="23" t="n">
        <f>336109</f>
        <v>336109.0</v>
      </c>
      <c r="P30" s="3" t="s">
        <v>176</v>
      </c>
      <c r="Q30" s="21"/>
      <c r="R30" s="3" t="s">
        <v>177</v>
      </c>
      <c r="S30" s="21" t="n">
        <f>1644822720216</f>
        <v>1.644822720216E12</v>
      </c>
      <c r="T30" s="21" t="n">
        <f>74510432803</f>
        <v>7.4510432803E10</v>
      </c>
      <c r="U30" s="5" t="s">
        <v>175</v>
      </c>
      <c r="V30" s="23" t="n">
        <f>5094447340200</f>
        <v>5.0944473402E12</v>
      </c>
      <c r="W30" s="5" t="s">
        <v>50</v>
      </c>
      <c r="X30" s="23" t="n">
        <f>651005924400</f>
        <v>6.510059244E11</v>
      </c>
      <c r="Y30" s="23"/>
      <c r="Z30" s="21" t="n">
        <f>6764882</f>
        <v>6764882.0</v>
      </c>
      <c r="AA30" s="21" t="n">
        <f>485725</f>
        <v>485725.0</v>
      </c>
      <c r="AB30" s="4" t="s">
        <v>178</v>
      </c>
      <c r="AC30" s="22" t="n">
        <f>756915</f>
        <v>756915.0</v>
      </c>
      <c r="AD30" s="5" t="s">
        <v>116</v>
      </c>
      <c r="AE30" s="23" t="n">
        <f>316838</f>
        <v>316838.0</v>
      </c>
    </row>
    <row r="31">
      <c r="A31" s="24" t="s">
        <v>158</v>
      </c>
      <c r="B31" s="25" t="s">
        <v>159</v>
      </c>
      <c r="C31" s="26"/>
      <c r="D31" s="27"/>
      <c r="E31" s="28" t="s">
        <v>83</v>
      </c>
      <c r="F31" s="20" t="n">
        <f>124</f>
        <v>124.0</v>
      </c>
      <c r="G31" s="21" t="n">
        <f>99376109</f>
        <v>9.9376109E7</v>
      </c>
      <c r="H31" s="21"/>
      <c r="I31" s="21" t="n">
        <f>4498959</f>
        <v>4498959.0</v>
      </c>
      <c r="J31" s="21" t="n">
        <f>801420</f>
        <v>801420.0</v>
      </c>
      <c r="K31" s="21" t="n">
        <f>36282</f>
        <v>36282.0</v>
      </c>
      <c r="L31" s="4" t="s">
        <v>179</v>
      </c>
      <c r="M31" s="22" t="n">
        <f>1786423</f>
        <v>1786423.0</v>
      </c>
      <c r="N31" s="5" t="s">
        <v>180</v>
      </c>
      <c r="O31" s="23" t="n">
        <f>402136</f>
        <v>402136.0</v>
      </c>
      <c r="P31" s="3" t="s">
        <v>181</v>
      </c>
      <c r="Q31" s="21"/>
      <c r="R31" s="3" t="s">
        <v>182</v>
      </c>
      <c r="S31" s="21" t="n">
        <f>1572679960123</f>
        <v>1.572679960123E12</v>
      </c>
      <c r="T31" s="21" t="n">
        <f>71270836553</f>
        <v>7.1270836553E10</v>
      </c>
      <c r="U31" s="5" t="s">
        <v>179</v>
      </c>
      <c r="V31" s="23" t="n">
        <f>3479158552000</f>
        <v>3.479158552E12</v>
      </c>
      <c r="W31" s="5" t="s">
        <v>180</v>
      </c>
      <c r="X31" s="23" t="n">
        <f>804402928800</f>
        <v>8.044029288E11</v>
      </c>
      <c r="Y31" s="23"/>
      <c r="Z31" s="21" t="n">
        <f>6221675</f>
        <v>6221675.0</v>
      </c>
      <c r="AA31" s="21" t="n">
        <f>464028</f>
        <v>464028.0</v>
      </c>
      <c r="AB31" s="4" t="s">
        <v>183</v>
      </c>
      <c r="AC31" s="22" t="n">
        <f>724395</f>
        <v>724395.0</v>
      </c>
      <c r="AD31" s="5" t="s">
        <v>107</v>
      </c>
      <c r="AE31" s="23" t="n">
        <f>296343</f>
        <v>296343.0</v>
      </c>
    </row>
    <row r="32">
      <c r="A32" s="24" t="s">
        <v>158</v>
      </c>
      <c r="B32" s="25" t="s">
        <v>159</v>
      </c>
      <c r="C32" s="26"/>
      <c r="D32" s="27"/>
      <c r="E32" s="28" t="s">
        <v>89</v>
      </c>
      <c r="F32" s="20" t="n">
        <f>121</f>
        <v>121.0</v>
      </c>
      <c r="G32" s="21" t="n">
        <f>141899140</f>
        <v>1.4189914E8</v>
      </c>
      <c r="H32" s="21"/>
      <c r="I32" s="21" t="n">
        <f>8143521</f>
        <v>8143521.0</v>
      </c>
      <c r="J32" s="21" t="n">
        <f>1172720</f>
        <v>1172720.0</v>
      </c>
      <c r="K32" s="21" t="n">
        <f>67302</f>
        <v>67302.0</v>
      </c>
      <c r="L32" s="4" t="s">
        <v>184</v>
      </c>
      <c r="M32" s="22" t="n">
        <f>3415767</f>
        <v>3415767.0</v>
      </c>
      <c r="N32" s="5" t="s">
        <v>50</v>
      </c>
      <c r="O32" s="23" t="n">
        <f>193505</f>
        <v>193505.0</v>
      </c>
      <c r="P32" s="3" t="s">
        <v>185</v>
      </c>
      <c r="Q32" s="21"/>
      <c r="R32" s="3" t="s">
        <v>186</v>
      </c>
      <c r="S32" s="21" t="n">
        <f>2599119859651</f>
        <v>2.599119859651E12</v>
      </c>
      <c r="T32" s="21" t="n">
        <f>149711000677</f>
        <v>1.49711000677E11</v>
      </c>
      <c r="U32" s="5" t="s">
        <v>184</v>
      </c>
      <c r="V32" s="23" t="n">
        <f>7466438977550</f>
        <v>7.46643897755E12</v>
      </c>
      <c r="W32" s="5" t="s">
        <v>50</v>
      </c>
      <c r="X32" s="23" t="n">
        <f>442637806800</f>
        <v>4.426378068E11</v>
      </c>
      <c r="Y32" s="23"/>
      <c r="Z32" s="21" t="n">
        <f>10665541</f>
        <v>1.0665541E7</v>
      </c>
      <c r="AA32" s="21" t="n">
        <f>552300</f>
        <v>552300.0</v>
      </c>
      <c r="AB32" s="4" t="s">
        <v>93</v>
      </c>
      <c r="AC32" s="22" t="n">
        <f>1255998</f>
        <v>1255998.0</v>
      </c>
      <c r="AD32" s="5" t="s">
        <v>187</v>
      </c>
      <c r="AE32" s="23" t="n">
        <f>296437</f>
        <v>296437.0</v>
      </c>
    </row>
    <row r="33">
      <c r="A33" s="24" t="s">
        <v>158</v>
      </c>
      <c r="B33" s="25" t="s">
        <v>159</v>
      </c>
      <c r="C33" s="26"/>
      <c r="D33" s="27"/>
      <c r="E33" s="28" t="s">
        <v>95</v>
      </c>
      <c r="F33" s="20" t="n">
        <f>124</f>
        <v>124.0</v>
      </c>
      <c r="G33" s="21" t="n">
        <f>110548393</f>
        <v>1.10548393E8</v>
      </c>
      <c r="H33" s="21"/>
      <c r="I33" s="21" t="n">
        <f>5995139</f>
        <v>5995139.0</v>
      </c>
      <c r="J33" s="21" t="n">
        <f>891519</f>
        <v>891519.0</v>
      </c>
      <c r="K33" s="21" t="n">
        <f>48348</f>
        <v>48348.0</v>
      </c>
      <c r="L33" s="4" t="s">
        <v>188</v>
      </c>
      <c r="M33" s="22" t="n">
        <f>1556266</f>
        <v>1556266.0</v>
      </c>
      <c r="N33" s="5" t="s">
        <v>189</v>
      </c>
      <c r="O33" s="23" t="n">
        <f>370324</f>
        <v>370324.0</v>
      </c>
      <c r="P33" s="3" t="s">
        <v>190</v>
      </c>
      <c r="Q33" s="21"/>
      <c r="R33" s="3" t="s">
        <v>191</v>
      </c>
      <c r="S33" s="21" t="n">
        <f>1998749728958</f>
        <v>1.998749728958E12</v>
      </c>
      <c r="T33" s="21" t="n">
        <f>108460231855</f>
        <v>1.08460231855E11</v>
      </c>
      <c r="U33" s="5" t="s">
        <v>188</v>
      </c>
      <c r="V33" s="23" t="n">
        <f>3428937406950</f>
        <v>3.42893740695E12</v>
      </c>
      <c r="W33" s="5" t="s">
        <v>189</v>
      </c>
      <c r="X33" s="23" t="n">
        <f>851457037400</f>
        <v>8.514570374E11</v>
      </c>
      <c r="Y33" s="23"/>
      <c r="Z33" s="21" t="n">
        <f>8027400</f>
        <v>8027400.0</v>
      </c>
      <c r="AA33" s="21" t="n">
        <f>748710</f>
        <v>748710.0</v>
      </c>
      <c r="AB33" s="4" t="s">
        <v>192</v>
      </c>
      <c r="AC33" s="22" t="n">
        <f>821404</f>
        <v>821404.0</v>
      </c>
      <c r="AD33" s="5" t="s">
        <v>193</v>
      </c>
      <c r="AE33" s="23" t="n">
        <f>236192</f>
        <v>236192.0</v>
      </c>
    </row>
    <row r="34">
      <c r="A34" s="24" t="s">
        <v>158</v>
      </c>
      <c r="B34" s="25" t="s">
        <v>159</v>
      </c>
      <c r="C34" s="26"/>
      <c r="D34" s="27"/>
      <c r="E34" s="28" t="s">
        <v>101</v>
      </c>
      <c r="F34" s="20" t="n">
        <f>120</f>
        <v>120.0</v>
      </c>
      <c r="G34" s="21" t="n">
        <f>145912847</f>
        <v>1.45912847E8</v>
      </c>
      <c r="H34" s="21"/>
      <c r="I34" s="21" t="n">
        <f>9201472</f>
        <v>9201472.0</v>
      </c>
      <c r="J34" s="21" t="n">
        <f>1215940</f>
        <v>1215940.0</v>
      </c>
      <c r="K34" s="21" t="n">
        <f>76679</f>
        <v>76679.0</v>
      </c>
      <c r="L34" s="4" t="s">
        <v>194</v>
      </c>
      <c r="M34" s="22" t="n">
        <f>2659660</f>
        <v>2659660.0</v>
      </c>
      <c r="N34" s="5" t="s">
        <v>167</v>
      </c>
      <c r="O34" s="23" t="n">
        <f>673703</f>
        <v>673703.0</v>
      </c>
      <c r="P34" s="3" t="s">
        <v>195</v>
      </c>
      <c r="Q34" s="21"/>
      <c r="R34" s="3" t="s">
        <v>196</v>
      </c>
      <c r="S34" s="21" t="n">
        <f>2613160272014</f>
        <v>2.613160272014E12</v>
      </c>
      <c r="T34" s="21" t="n">
        <f>164663359224</f>
        <v>1.64663359224E11</v>
      </c>
      <c r="U34" s="5" t="s">
        <v>194</v>
      </c>
      <c r="V34" s="23" t="n">
        <f>6081735038130</f>
        <v>6.08173503813E12</v>
      </c>
      <c r="W34" s="5" t="s">
        <v>167</v>
      </c>
      <c r="X34" s="23" t="n">
        <f>1391710749350</f>
        <v>1.39171074935E12</v>
      </c>
      <c r="Y34" s="23"/>
      <c r="Z34" s="21" t="n">
        <f>10771327</f>
        <v>1.0771327E7</v>
      </c>
      <c r="AA34" s="21" t="n">
        <f>419232</f>
        <v>419232.0</v>
      </c>
      <c r="AB34" s="4" t="s">
        <v>65</v>
      </c>
      <c r="AC34" s="22" t="n">
        <f>1279710</f>
        <v>1279710.0</v>
      </c>
      <c r="AD34" s="5" t="s">
        <v>197</v>
      </c>
      <c r="AE34" s="23" t="n">
        <f>297476</f>
        <v>297476.0</v>
      </c>
    </row>
    <row r="35">
      <c r="A35" s="24" t="s">
        <v>158</v>
      </c>
      <c r="B35" s="25" t="s">
        <v>159</v>
      </c>
      <c r="C35" s="26"/>
      <c r="D35" s="27"/>
      <c r="E35" s="28" t="s">
        <v>106</v>
      </c>
      <c r="F35" s="20" t="n">
        <f>121</f>
        <v>121.0</v>
      </c>
      <c r="G35" s="21" t="n">
        <f>121947009</f>
        <v>1.21947009E8</v>
      </c>
      <c r="H35" s="21"/>
      <c r="I35" s="21" t="n">
        <f>7433848</f>
        <v>7433848.0</v>
      </c>
      <c r="J35" s="21" t="n">
        <f>1007827</f>
        <v>1007827.0</v>
      </c>
      <c r="K35" s="21" t="n">
        <f>61437</f>
        <v>61437.0</v>
      </c>
      <c r="L35" s="4" t="s">
        <v>198</v>
      </c>
      <c r="M35" s="22" t="n">
        <f>2525167</f>
        <v>2525167.0</v>
      </c>
      <c r="N35" s="5" t="s">
        <v>108</v>
      </c>
      <c r="O35" s="23" t="n">
        <f>455462</f>
        <v>455462.0</v>
      </c>
      <c r="P35" s="3" t="s">
        <v>199</v>
      </c>
      <c r="Q35" s="21"/>
      <c r="R35" s="3" t="s">
        <v>200</v>
      </c>
      <c r="S35" s="21" t="n">
        <f>2137409275944</f>
        <v>2.137409275944E12</v>
      </c>
      <c r="T35" s="21" t="n">
        <f>130423443527</f>
        <v>1.30423443527E11</v>
      </c>
      <c r="U35" s="5" t="s">
        <v>198</v>
      </c>
      <c r="V35" s="23" t="n">
        <f>5143023804200</f>
        <v>5.1430238042E12</v>
      </c>
      <c r="W35" s="5" t="s">
        <v>108</v>
      </c>
      <c r="X35" s="23" t="n">
        <f>986908525551</f>
        <v>9.86908525551E11</v>
      </c>
      <c r="Y35" s="23"/>
      <c r="Z35" s="21" t="n">
        <f>9201733</f>
        <v>9201733.0</v>
      </c>
      <c r="AA35" s="21" t="n">
        <f>458818</f>
        <v>458818.0</v>
      </c>
      <c r="AB35" s="4" t="s">
        <v>198</v>
      </c>
      <c r="AC35" s="22" t="n">
        <f>1188472</f>
        <v>1188472.0</v>
      </c>
      <c r="AD35" s="5" t="s">
        <v>201</v>
      </c>
      <c r="AE35" s="23" t="n">
        <f>284867</f>
        <v>284867.0</v>
      </c>
    </row>
    <row r="36">
      <c r="A36" s="24" t="s">
        <v>158</v>
      </c>
      <c r="B36" s="25" t="s">
        <v>159</v>
      </c>
      <c r="C36" s="26"/>
      <c r="D36" s="27"/>
      <c r="E36" s="28" t="s">
        <v>112</v>
      </c>
      <c r="F36" s="20" t="n">
        <f>120</f>
        <v>120.0</v>
      </c>
      <c r="G36" s="21" t="n">
        <f>173952804</f>
        <v>1.73952804E8</v>
      </c>
      <c r="H36" s="21"/>
      <c r="I36" s="21" t="n">
        <f>11737033</f>
        <v>1.1737033E7</v>
      </c>
      <c r="J36" s="21" t="n">
        <f>1449607</f>
        <v>1449607.0</v>
      </c>
      <c r="K36" s="21" t="n">
        <f>97809</f>
        <v>97809.0</v>
      </c>
      <c r="L36" s="4" t="s">
        <v>202</v>
      </c>
      <c r="M36" s="22" t="n">
        <f>5132559</f>
        <v>5132559.0</v>
      </c>
      <c r="N36" s="5" t="s">
        <v>113</v>
      </c>
      <c r="O36" s="23" t="n">
        <f>166721</f>
        <v>166721.0</v>
      </c>
      <c r="P36" s="3" t="s">
        <v>203</v>
      </c>
      <c r="Q36" s="21"/>
      <c r="R36" s="3" t="s">
        <v>204</v>
      </c>
      <c r="S36" s="21" t="n">
        <f>3116168391020</f>
        <v>3.11616839102E12</v>
      </c>
      <c r="T36" s="21" t="n">
        <f>211540039746</f>
        <v>2.11540039746E11</v>
      </c>
      <c r="U36" s="5" t="s">
        <v>202</v>
      </c>
      <c r="V36" s="23" t="n">
        <f>10739808304500</f>
        <v>1.07398083045E13</v>
      </c>
      <c r="W36" s="5" t="s">
        <v>113</v>
      </c>
      <c r="X36" s="23" t="n">
        <f>395952456600</f>
        <v>3.959524566E11</v>
      </c>
      <c r="Y36" s="23"/>
      <c r="Z36" s="21" t="n">
        <f>13897654</f>
        <v>1.3897654E7</v>
      </c>
      <c r="AA36" s="21" t="n">
        <f>665463</f>
        <v>665463.0</v>
      </c>
      <c r="AB36" s="4" t="s">
        <v>116</v>
      </c>
      <c r="AC36" s="22" t="n">
        <f>2031915</f>
        <v>2031915.0</v>
      </c>
      <c r="AD36" s="5" t="s">
        <v>117</v>
      </c>
      <c r="AE36" s="23" t="n">
        <f>413812</f>
        <v>413812.0</v>
      </c>
    </row>
    <row r="37">
      <c r="A37" s="24" t="s">
        <v>158</v>
      </c>
      <c r="B37" s="25" t="s">
        <v>159</v>
      </c>
      <c r="C37" s="26"/>
      <c r="D37" s="27"/>
      <c r="E37" s="28" t="s">
        <v>118</v>
      </c>
      <c r="F37" s="20" t="n">
        <f>122</f>
        <v>122.0</v>
      </c>
      <c r="G37" s="21" t="n">
        <f>146737924</f>
        <v>1.46737924E8</v>
      </c>
      <c r="H37" s="21"/>
      <c r="I37" s="21" t="n">
        <f>12103559</f>
        <v>1.2103559E7</v>
      </c>
      <c r="J37" s="21" t="n">
        <f>1202770</f>
        <v>1202770.0</v>
      </c>
      <c r="K37" s="21" t="n">
        <f>99210</f>
        <v>99210.0</v>
      </c>
      <c r="L37" s="4" t="s">
        <v>205</v>
      </c>
      <c r="M37" s="22" t="n">
        <f>2460721</f>
        <v>2460721.0</v>
      </c>
      <c r="N37" s="5" t="s">
        <v>120</v>
      </c>
      <c r="O37" s="23" t="n">
        <f>510067</f>
        <v>510067.0</v>
      </c>
      <c r="P37" s="3" t="s">
        <v>206</v>
      </c>
      <c r="Q37" s="21"/>
      <c r="R37" s="3" t="s">
        <v>207</v>
      </c>
      <c r="S37" s="21" t="n">
        <f>2606128358095</f>
        <v>2.606128358095E12</v>
      </c>
      <c r="T37" s="21" t="n">
        <f>214086738904</f>
        <v>2.14086738904E11</v>
      </c>
      <c r="U37" s="5" t="s">
        <v>205</v>
      </c>
      <c r="V37" s="23" t="n">
        <f>5426800471150</f>
        <v>5.42680047115E12</v>
      </c>
      <c r="W37" s="5" t="s">
        <v>123</v>
      </c>
      <c r="X37" s="23" t="n">
        <f>1111682094750</f>
        <v>1.11168209475E12</v>
      </c>
      <c r="Y37" s="23"/>
      <c r="Z37" s="21" t="n">
        <f>13404361</f>
        <v>1.3404361E7</v>
      </c>
      <c r="AA37" s="21" t="n">
        <f>488664</f>
        <v>488664.0</v>
      </c>
      <c r="AB37" s="4" t="s">
        <v>107</v>
      </c>
      <c r="AC37" s="22" t="n">
        <f>1894294</f>
        <v>1894294.0</v>
      </c>
      <c r="AD37" s="5" t="s">
        <v>192</v>
      </c>
      <c r="AE37" s="23" t="n">
        <f>370548</f>
        <v>370548.0</v>
      </c>
    </row>
    <row r="38">
      <c r="A38" s="24" t="s">
        <v>158</v>
      </c>
      <c r="B38" s="25" t="s">
        <v>159</v>
      </c>
      <c r="C38" s="26"/>
      <c r="D38" s="27"/>
      <c r="E38" s="28" t="s">
        <v>124</v>
      </c>
      <c r="F38" s="20" t="n">
        <f>123</f>
        <v>123.0</v>
      </c>
      <c r="G38" s="21" t="n">
        <f>116979801</f>
        <v>1.16979801E8</v>
      </c>
      <c r="H38" s="21"/>
      <c r="I38" s="21" t="n">
        <f>9277968</f>
        <v>9277968.0</v>
      </c>
      <c r="J38" s="21" t="n">
        <f>951055</f>
        <v>951055.0</v>
      </c>
      <c r="K38" s="21" t="n">
        <f>75431</f>
        <v>75431.0</v>
      </c>
      <c r="L38" s="4" t="s">
        <v>208</v>
      </c>
      <c r="M38" s="22" t="n">
        <f>2411386</f>
        <v>2411386.0</v>
      </c>
      <c r="N38" s="5" t="s">
        <v>113</v>
      </c>
      <c r="O38" s="23" t="n">
        <f>180145</f>
        <v>180145.0</v>
      </c>
      <c r="P38" s="3" t="s">
        <v>209</v>
      </c>
      <c r="Q38" s="21"/>
      <c r="R38" s="3" t="s">
        <v>210</v>
      </c>
      <c r="S38" s="21" t="n">
        <f>2575069159274</f>
        <v>2.575069159274E12</v>
      </c>
      <c r="T38" s="21" t="n">
        <f>206187445172</f>
        <v>2.06187445172E11</v>
      </c>
      <c r="U38" s="5" t="s">
        <v>208</v>
      </c>
      <c r="V38" s="23" t="n">
        <f>6108169435077</f>
        <v>6.108169435077E12</v>
      </c>
      <c r="W38" s="5" t="s">
        <v>113</v>
      </c>
      <c r="X38" s="23" t="n">
        <f>479515208266</f>
        <v>4.79515208266E11</v>
      </c>
      <c r="Y38" s="23"/>
      <c r="Z38" s="21" t="n">
        <f>14305057</f>
        <v>1.4305057E7</v>
      </c>
      <c r="AA38" s="21" t="n">
        <f>372060</f>
        <v>372060.0</v>
      </c>
      <c r="AB38" s="4" t="s">
        <v>211</v>
      </c>
      <c r="AC38" s="22" t="n">
        <f>598980</f>
        <v>598980.0</v>
      </c>
      <c r="AD38" s="5" t="s">
        <v>212</v>
      </c>
      <c r="AE38" s="23" t="n">
        <f>279316</f>
        <v>279316.0</v>
      </c>
    </row>
    <row r="39">
      <c r="A39" s="24" t="s">
        <v>158</v>
      </c>
      <c r="B39" s="25" t="s">
        <v>159</v>
      </c>
      <c r="C39" s="26"/>
      <c r="D39" s="27"/>
      <c r="E39" s="28" t="s">
        <v>127</v>
      </c>
      <c r="F39" s="20" t="n">
        <f>122</f>
        <v>122.0</v>
      </c>
      <c r="G39" s="21" t="n">
        <f>104554696</f>
        <v>1.04554696E8</v>
      </c>
      <c r="H39" s="21"/>
      <c r="I39" s="21" t="n">
        <f>8499778</f>
        <v>8499778.0</v>
      </c>
      <c r="J39" s="21" t="n">
        <f>857006</f>
        <v>857006.0</v>
      </c>
      <c r="K39" s="21" t="n">
        <f>69670</f>
        <v>69670.0</v>
      </c>
      <c r="L39" s="4" t="s">
        <v>213</v>
      </c>
      <c r="M39" s="22" t="n">
        <f>1811257</f>
        <v>1811257.0</v>
      </c>
      <c r="N39" s="5" t="s">
        <v>129</v>
      </c>
      <c r="O39" s="23" t="n">
        <f>419534</f>
        <v>419534.0</v>
      </c>
      <c r="P39" s="3" t="s">
        <v>214</v>
      </c>
      <c r="Q39" s="21"/>
      <c r="R39" s="3" t="s">
        <v>215</v>
      </c>
      <c r="S39" s="21" t="n">
        <f>2458901298478</f>
        <v>2.458901298478E12</v>
      </c>
      <c r="T39" s="21" t="n">
        <f>200301871646</f>
        <v>2.00301871646E11</v>
      </c>
      <c r="U39" s="5" t="s">
        <v>216</v>
      </c>
      <c r="V39" s="23" t="n">
        <f>5134837223404</f>
        <v>5.134837223404E12</v>
      </c>
      <c r="W39" s="5" t="s">
        <v>129</v>
      </c>
      <c r="X39" s="23" t="n">
        <f>1163266264358</f>
        <v>1.163266264358E12</v>
      </c>
      <c r="Y39" s="23"/>
      <c r="Z39" s="21" t="n">
        <f>14295104</f>
        <v>1.4295104E7</v>
      </c>
      <c r="AA39" s="21" t="n">
        <f>374771</f>
        <v>374771.0</v>
      </c>
      <c r="AB39" s="4" t="s">
        <v>217</v>
      </c>
      <c r="AC39" s="22" t="n">
        <f>844460</f>
        <v>844460.0</v>
      </c>
      <c r="AD39" s="5" t="s">
        <v>132</v>
      </c>
      <c r="AE39" s="23" t="n">
        <f>180754</f>
        <v>180754.0</v>
      </c>
    </row>
    <row r="40">
      <c r="A40" s="24" t="s">
        <v>158</v>
      </c>
      <c r="B40" s="25" t="s">
        <v>159</v>
      </c>
      <c r="C40" s="26"/>
      <c r="D40" s="27"/>
      <c r="E40" s="28" t="s">
        <v>133</v>
      </c>
      <c r="F40" s="20" t="n">
        <f>122</f>
        <v>122.0</v>
      </c>
      <c r="G40" s="21" t="n">
        <f>136874965</f>
        <v>1.36874965E8</v>
      </c>
      <c r="H40" s="21"/>
      <c r="I40" s="21" t="n">
        <f>10660669</f>
        <v>1.0660669E7</v>
      </c>
      <c r="J40" s="21" t="n">
        <f>1121926</f>
        <v>1121926.0</v>
      </c>
      <c r="K40" s="21" t="n">
        <f>87383</f>
        <v>87383.0</v>
      </c>
      <c r="L40" s="4" t="s">
        <v>218</v>
      </c>
      <c r="M40" s="22" t="n">
        <f>2377393</f>
        <v>2377393.0</v>
      </c>
      <c r="N40" s="5" t="s">
        <v>134</v>
      </c>
      <c r="O40" s="23" t="n">
        <f>255013</f>
        <v>255013.0</v>
      </c>
      <c r="P40" s="3" t="s">
        <v>219</v>
      </c>
      <c r="Q40" s="21"/>
      <c r="R40" s="3" t="s">
        <v>220</v>
      </c>
      <c r="S40" s="21" t="n">
        <f>3100957076885</f>
        <v>3.100957076885E12</v>
      </c>
      <c r="T40" s="21" t="n">
        <f>241516164421</f>
        <v>2.41516164421E11</v>
      </c>
      <c r="U40" s="5" t="s">
        <v>218</v>
      </c>
      <c r="V40" s="23" t="n">
        <f>6442792429340</f>
        <v>6.44279242934E12</v>
      </c>
      <c r="W40" s="5" t="s">
        <v>134</v>
      </c>
      <c r="X40" s="23" t="n">
        <f>731117461929</f>
        <v>7.31117461929E11</v>
      </c>
      <c r="Y40" s="23"/>
      <c r="Z40" s="21" t="n">
        <f>18933743</f>
        <v>1.8933743E7</v>
      </c>
      <c r="AA40" s="21" t="n">
        <f>472944</f>
        <v>472944.0</v>
      </c>
      <c r="AB40" s="4" t="s">
        <v>221</v>
      </c>
      <c r="AC40" s="22" t="n">
        <f>733752</f>
        <v>733752.0</v>
      </c>
      <c r="AD40" s="5" t="s">
        <v>171</v>
      </c>
      <c r="AE40" s="23" t="n">
        <f>289073</f>
        <v>289073.0</v>
      </c>
    </row>
    <row r="41">
      <c r="A41" s="24" t="s">
        <v>158</v>
      </c>
      <c r="B41" s="25" t="s">
        <v>159</v>
      </c>
      <c r="C41" s="26"/>
      <c r="D41" s="27"/>
      <c r="E41" s="28" t="s">
        <v>139</v>
      </c>
      <c r="F41" s="20" t="n">
        <f>123</f>
        <v>123.0</v>
      </c>
      <c r="G41" s="21" t="n">
        <f>137400334</f>
        <v>1.37400334E8</v>
      </c>
      <c r="H41" s="21"/>
      <c r="I41" s="21" t="n">
        <f>10431202</f>
        <v>1.0431202E7</v>
      </c>
      <c r="J41" s="21" t="n">
        <f>1117076</f>
        <v>1117076.0</v>
      </c>
      <c r="K41" s="21" t="n">
        <f>84807</f>
        <v>84807.0</v>
      </c>
      <c r="L41" s="4" t="s">
        <v>201</v>
      </c>
      <c r="M41" s="22" t="n">
        <f>1995908</f>
        <v>1995908.0</v>
      </c>
      <c r="N41" s="5" t="s">
        <v>140</v>
      </c>
      <c r="O41" s="23" t="n">
        <f>586384</f>
        <v>586384.0</v>
      </c>
      <c r="P41" s="3" t="s">
        <v>222</v>
      </c>
      <c r="Q41" s="21"/>
      <c r="R41" s="3" t="s">
        <v>223</v>
      </c>
      <c r="S41" s="21" t="n">
        <f>3023831214998</f>
        <v>3.023831214998E12</v>
      </c>
      <c r="T41" s="21" t="n">
        <f>229717092934</f>
        <v>2.29717092934E11</v>
      </c>
      <c r="U41" s="5" t="s">
        <v>201</v>
      </c>
      <c r="V41" s="23" t="n">
        <f>5148054869500</f>
        <v>5.1480548695E12</v>
      </c>
      <c r="W41" s="5" t="s">
        <v>140</v>
      </c>
      <c r="X41" s="23" t="n">
        <f>1567603584705</f>
        <v>1.567603584705E12</v>
      </c>
      <c r="Y41" s="23"/>
      <c r="Z41" s="21" t="n">
        <f>13910651</f>
        <v>1.3910651E7</v>
      </c>
      <c r="AA41" s="21" t="n">
        <f>537250</f>
        <v>537250.0</v>
      </c>
      <c r="AB41" s="4" t="s">
        <v>97</v>
      </c>
      <c r="AC41" s="22" t="n">
        <f>626551</f>
        <v>626551.0</v>
      </c>
      <c r="AD41" s="5" t="s">
        <v>224</v>
      </c>
      <c r="AE41" s="23" t="n">
        <f>342842</f>
        <v>342842.0</v>
      </c>
    </row>
    <row r="42">
      <c r="A42" s="24" t="s">
        <v>158</v>
      </c>
      <c r="B42" s="25" t="s">
        <v>159</v>
      </c>
      <c r="C42" s="26"/>
      <c r="D42" s="27"/>
      <c r="E42" s="28" t="s">
        <v>145</v>
      </c>
      <c r="F42" s="20" t="n">
        <f>122</f>
        <v>122.0</v>
      </c>
      <c r="G42" s="21" t="n">
        <f>118784479</f>
        <v>1.18784479E8</v>
      </c>
      <c r="H42" s="21"/>
      <c r="I42" s="21" t="n">
        <f>9436588</f>
        <v>9436588.0</v>
      </c>
      <c r="J42" s="21" t="n">
        <f>973643</f>
        <v>973643.0</v>
      </c>
      <c r="K42" s="21" t="n">
        <f>77349</f>
        <v>77349.0</v>
      </c>
      <c r="L42" s="4" t="s">
        <v>171</v>
      </c>
      <c r="M42" s="22" t="n">
        <f>2191185</f>
        <v>2191185.0</v>
      </c>
      <c r="N42" s="5" t="s">
        <v>134</v>
      </c>
      <c r="O42" s="23" t="n">
        <f>371012</f>
        <v>371012.0</v>
      </c>
      <c r="P42" s="3" t="s">
        <v>225</v>
      </c>
      <c r="Q42" s="21"/>
      <c r="R42" s="3" t="s">
        <v>226</v>
      </c>
      <c r="S42" s="21" t="n">
        <f>2649565761938</f>
        <v>2.649565761938E12</v>
      </c>
      <c r="T42" s="21" t="n">
        <f>210281412240</f>
        <v>2.1028141224E11</v>
      </c>
      <c r="U42" s="5" t="s">
        <v>171</v>
      </c>
      <c r="V42" s="23" t="n">
        <f>5940385950188</f>
        <v>5.940385950188E12</v>
      </c>
      <c r="W42" s="5" t="s">
        <v>134</v>
      </c>
      <c r="X42" s="23" t="n">
        <f>980873999944</f>
        <v>9.80873999944E11</v>
      </c>
      <c r="Y42" s="23"/>
      <c r="Z42" s="21" t="n">
        <f>11556029</f>
        <v>1.1556029E7</v>
      </c>
      <c r="AA42" s="21" t="n">
        <f>546206</f>
        <v>546206.0</v>
      </c>
      <c r="AB42" s="4" t="s">
        <v>149</v>
      </c>
      <c r="AC42" s="22" t="n">
        <f>1186941</f>
        <v>1186941.0</v>
      </c>
      <c r="AD42" s="5" t="s">
        <v>54</v>
      </c>
      <c r="AE42" s="23" t="n">
        <f>262918</f>
        <v>262918.0</v>
      </c>
    </row>
    <row r="43">
      <c r="A43" s="24" t="s">
        <v>158</v>
      </c>
      <c r="B43" s="25" t="s">
        <v>159</v>
      </c>
      <c r="C43" s="26"/>
      <c r="D43" s="27"/>
      <c r="E43" s="28" t="s">
        <v>150</v>
      </c>
      <c r="F43" s="20" t="n">
        <f>124</f>
        <v>124.0</v>
      </c>
      <c r="G43" s="21" t="n">
        <f>128423117</f>
        <v>1.28423117E8</v>
      </c>
      <c r="H43" s="21"/>
      <c r="I43" s="21" t="n">
        <f>9813758</f>
        <v>9813758.0</v>
      </c>
      <c r="J43" s="21" t="n">
        <f>1035670</f>
        <v>1035670.0</v>
      </c>
      <c r="K43" s="21" t="n">
        <f>79143</f>
        <v>79143.0</v>
      </c>
      <c r="L43" s="4" t="s">
        <v>227</v>
      </c>
      <c r="M43" s="22" t="n">
        <f>2207781</f>
        <v>2207781.0</v>
      </c>
      <c r="N43" s="5" t="s">
        <v>151</v>
      </c>
      <c r="O43" s="23" t="n">
        <f>487588</f>
        <v>487588.0</v>
      </c>
      <c r="P43" s="3" t="s">
        <v>228</v>
      </c>
      <c r="Q43" s="21"/>
      <c r="R43" s="3" t="s">
        <v>229</v>
      </c>
      <c r="S43" s="21" t="n">
        <f>3267184665905</f>
        <v>3.267184665905E12</v>
      </c>
      <c r="T43" s="21" t="n">
        <f>249186646661</f>
        <v>2.49186646661E11</v>
      </c>
      <c r="U43" s="5" t="s">
        <v>227</v>
      </c>
      <c r="V43" s="23" t="n">
        <f>6367255467750</f>
        <v>6.36725546775E12</v>
      </c>
      <c r="W43" s="5" t="s">
        <v>151</v>
      </c>
      <c r="X43" s="23" t="n">
        <f>1347350468225</f>
        <v>1.347350468225E12</v>
      </c>
      <c r="Y43" s="23"/>
      <c r="Z43" s="21" t="n">
        <f>12998507</f>
        <v>1.2998507E7</v>
      </c>
      <c r="AA43" s="21" t="n">
        <f>460914</f>
        <v>460914.0</v>
      </c>
      <c r="AB43" s="4" t="s">
        <v>230</v>
      </c>
      <c r="AC43" s="22" t="n">
        <f>856871</f>
        <v>856871.0</v>
      </c>
      <c r="AD43" s="5" t="s">
        <v>61</v>
      </c>
      <c r="AE43" s="23" t="n">
        <f>319626</f>
        <v>319626.0</v>
      </c>
    </row>
    <row r="44">
      <c r="A44" s="24" t="s">
        <v>158</v>
      </c>
      <c r="B44" s="25" t="s">
        <v>159</v>
      </c>
      <c r="C44" s="26"/>
      <c r="D44" s="27"/>
      <c r="E44" s="28" t="s">
        <v>154</v>
      </c>
      <c r="F44" s="20" t="n">
        <f>120</f>
        <v>120.0</v>
      </c>
      <c r="G44" s="21" t="n">
        <f>126853740</f>
        <v>1.2685374E8</v>
      </c>
      <c r="H44" s="21"/>
      <c r="I44" s="21" t="n">
        <f>8441518</f>
        <v>8441518.0</v>
      </c>
      <c r="J44" s="21" t="n">
        <f>1057115</f>
        <v>1057115.0</v>
      </c>
      <c r="K44" s="21" t="n">
        <f>70346</f>
        <v>70346.0</v>
      </c>
      <c r="L44" s="4" t="s">
        <v>231</v>
      </c>
      <c r="M44" s="22" t="n">
        <f>1774599</f>
        <v>1774599.0</v>
      </c>
      <c r="N44" s="5" t="s">
        <v>50</v>
      </c>
      <c r="O44" s="23" t="n">
        <f>273643</f>
        <v>273643.0</v>
      </c>
      <c r="P44" s="3" t="s">
        <v>232</v>
      </c>
      <c r="Q44" s="21"/>
      <c r="R44" s="3" t="s">
        <v>233</v>
      </c>
      <c r="S44" s="21" t="n">
        <f>3692131463597</f>
        <v>3.692131463597E12</v>
      </c>
      <c r="T44" s="21" t="n">
        <f>246320961547</f>
        <v>2.46320961547E11</v>
      </c>
      <c r="U44" s="5" t="s">
        <v>234</v>
      </c>
      <c r="V44" s="23" t="n">
        <f>6748756140977</f>
        <v>6.748756140977E12</v>
      </c>
      <c r="W44" s="5" t="s">
        <v>50</v>
      </c>
      <c r="X44" s="23" t="n">
        <f>907805977170</f>
        <v>9.0780597717E11</v>
      </c>
      <c r="Y44" s="23"/>
      <c r="Z44" s="21" t="n">
        <f>12939555</f>
        <v>1.2939555E7</v>
      </c>
      <c r="AA44" s="21" t="n">
        <f>407679</f>
        <v>407679.0</v>
      </c>
      <c r="AB44" s="4" t="s">
        <v>93</v>
      </c>
      <c r="AC44" s="22" t="n">
        <f>650728</f>
        <v>650728.0</v>
      </c>
      <c r="AD44" s="5" t="s">
        <v>197</v>
      </c>
      <c r="AE44" s="23" t="n">
        <f>304431</f>
        <v>304431.0</v>
      </c>
    </row>
    <row r="45">
      <c r="A45" s="24" t="s">
        <v>235</v>
      </c>
      <c r="B45" s="25" t="s">
        <v>236</v>
      </c>
      <c r="C45" s="26"/>
      <c r="D45" s="27"/>
      <c r="E45" s="28" t="s">
        <v>150</v>
      </c>
      <c r="F45" s="20" t="n">
        <f>87</f>
        <v>87.0</v>
      </c>
      <c r="G45" s="21" t="n">
        <f>8566567</f>
        <v>8566567.0</v>
      </c>
      <c r="H45" s="21"/>
      <c r="I45" s="21"/>
      <c r="J45" s="21" t="n">
        <f>98466</f>
        <v>98466.0</v>
      </c>
      <c r="K45" s="21"/>
      <c r="L45" s="4" t="s">
        <v>237</v>
      </c>
      <c r="M45" s="22" t="n">
        <f>233854</f>
        <v>233854.0</v>
      </c>
      <c r="N45" s="5" t="s">
        <v>238</v>
      </c>
      <c r="O45" s="23" t="n">
        <f>4757</f>
        <v>4757.0</v>
      </c>
      <c r="P45" s="3" t="s">
        <v>239</v>
      </c>
      <c r="Q45" s="21"/>
      <c r="R45" s="3"/>
      <c r="S45" s="21" t="n">
        <f>31952163362</f>
        <v>3.1952163362E10</v>
      </c>
      <c r="T45" s="21"/>
      <c r="U45" s="5" t="s">
        <v>237</v>
      </c>
      <c r="V45" s="23" t="n">
        <f>75826183800</f>
        <v>7.58261838E10</v>
      </c>
      <c r="W45" s="5" t="s">
        <v>238</v>
      </c>
      <c r="X45" s="23" t="n">
        <f>1491738200</f>
        <v>1.4917382E9</v>
      </c>
      <c r="Y45" s="23"/>
      <c r="Z45" s="21" t="n">
        <f>1787</f>
        <v>1787.0</v>
      </c>
      <c r="AA45" s="21" t="n">
        <f>32622</f>
        <v>32622.0</v>
      </c>
      <c r="AB45" s="4" t="s">
        <v>84</v>
      </c>
      <c r="AC45" s="22" t="n">
        <f>35308</f>
        <v>35308.0</v>
      </c>
      <c r="AD45" s="5" t="s">
        <v>238</v>
      </c>
      <c r="AE45" s="23" t="n">
        <f>1602</f>
        <v>1602.0</v>
      </c>
    </row>
    <row r="46">
      <c r="A46" s="24" t="s">
        <v>235</v>
      </c>
      <c r="B46" s="25" t="s">
        <v>236</v>
      </c>
      <c r="C46" s="26"/>
      <c r="D46" s="27"/>
      <c r="E46" s="28" t="s">
        <v>154</v>
      </c>
      <c r="F46" s="20" t="n">
        <f>120</f>
        <v>120.0</v>
      </c>
      <c r="G46" s="21" t="n">
        <f>29241464</f>
        <v>2.9241464E7</v>
      </c>
      <c r="H46" s="21"/>
      <c r="I46" s="21"/>
      <c r="J46" s="21" t="n">
        <f>243679</f>
        <v>243679.0</v>
      </c>
      <c r="K46" s="21"/>
      <c r="L46" s="4" t="s">
        <v>234</v>
      </c>
      <c r="M46" s="22" t="n">
        <f>663809</f>
        <v>663809.0</v>
      </c>
      <c r="N46" s="5" t="s">
        <v>50</v>
      </c>
      <c r="O46" s="23" t="n">
        <f>61598</f>
        <v>61598.0</v>
      </c>
      <c r="P46" s="3" t="s">
        <v>240</v>
      </c>
      <c r="Q46" s="21"/>
      <c r="R46" s="3"/>
      <c r="S46" s="21" t="n">
        <f>86611001536</f>
        <v>8.6611001536E10</v>
      </c>
      <c r="T46" s="21"/>
      <c r="U46" s="5" t="s">
        <v>234</v>
      </c>
      <c r="V46" s="23" t="n">
        <f>266316854000</f>
        <v>2.66316854E11</v>
      </c>
      <c r="W46" s="5" t="s">
        <v>50</v>
      </c>
      <c r="X46" s="23" t="n">
        <f>20436019700</f>
        <v>2.04360197E10</v>
      </c>
      <c r="Y46" s="23"/>
      <c r="Z46" s="21" t="str">
        <f>"－"</f>
        <v>－</v>
      </c>
      <c r="AA46" s="21" t="n">
        <f>51593</f>
        <v>51593.0</v>
      </c>
      <c r="AB46" s="4" t="s">
        <v>93</v>
      </c>
      <c r="AC46" s="22" t="n">
        <f>92213</f>
        <v>92213.0</v>
      </c>
      <c r="AD46" s="5" t="s">
        <v>241</v>
      </c>
      <c r="AE46" s="23" t="n">
        <f>19324</f>
        <v>19324.0</v>
      </c>
    </row>
    <row r="47">
      <c r="A47" s="24" t="s">
        <v>242</v>
      </c>
      <c r="B47" s="25" t="s">
        <v>243</v>
      </c>
      <c r="C47" s="26"/>
      <c r="D47" s="27"/>
      <c r="E47" s="28" t="s">
        <v>244</v>
      </c>
      <c r="F47" s="20" t="n">
        <f>20</f>
        <v>20.0</v>
      </c>
      <c r="G47" s="21" t="n">
        <f>392671</f>
        <v>392671.0</v>
      </c>
      <c r="H47" s="21"/>
      <c r="I47" s="21" t="str">
        <f>"－"</f>
        <v>－</v>
      </c>
      <c r="J47" s="21" t="n">
        <f>19634</f>
        <v>19634.0</v>
      </c>
      <c r="K47" s="21" t="str">
        <f>"－"</f>
        <v>－</v>
      </c>
      <c r="L47" s="4" t="s">
        <v>245</v>
      </c>
      <c r="M47" s="22" t="n">
        <f>77480</f>
        <v>77480.0</v>
      </c>
      <c r="N47" s="5" t="s">
        <v>84</v>
      </c>
      <c r="O47" s="23" t="n">
        <f>9951</f>
        <v>9951.0</v>
      </c>
      <c r="P47" s="3" t="s">
        <v>246</v>
      </c>
      <c r="Q47" s="21"/>
      <c r="R47" s="3" t="s">
        <v>247</v>
      </c>
      <c r="S47" s="21" t="n">
        <f>421216851000</f>
        <v>4.21216851E11</v>
      </c>
      <c r="T47" s="21" t="str">
        <f>"－"</f>
        <v>－</v>
      </c>
      <c r="U47" s="5" t="s">
        <v>245</v>
      </c>
      <c r="V47" s="23" t="n">
        <f>1669707120000</f>
        <v>1.66970712E12</v>
      </c>
      <c r="W47" s="5" t="s">
        <v>84</v>
      </c>
      <c r="X47" s="23" t="n">
        <f>210977810000</f>
        <v>2.1097781E11</v>
      </c>
      <c r="Y47" s="23"/>
      <c r="Z47" s="21" t="str">
        <f>"－"</f>
        <v>－</v>
      </c>
      <c r="AA47" s="21" t="n">
        <f>13199</f>
        <v>13199.0</v>
      </c>
      <c r="AB47" s="4" t="s">
        <v>245</v>
      </c>
      <c r="AC47" s="22" t="n">
        <f>18258</f>
        <v>18258.0</v>
      </c>
      <c r="AD47" s="5" t="s">
        <v>248</v>
      </c>
      <c r="AE47" s="23" t="n">
        <f>13199</f>
        <v>13199.0</v>
      </c>
    </row>
    <row r="48">
      <c r="A48" s="24" t="s">
        <v>242</v>
      </c>
      <c r="B48" s="25" t="s">
        <v>243</v>
      </c>
      <c r="C48" s="26"/>
      <c r="D48" s="27"/>
      <c r="E48" s="28" t="s">
        <v>249</v>
      </c>
      <c r="F48" s="20" t="n">
        <f>128</f>
        <v>128.0</v>
      </c>
      <c r="G48" s="21" t="n">
        <f>2472317</f>
        <v>2472317.0</v>
      </c>
      <c r="H48" s="21"/>
      <c r="I48" s="21" t="str">
        <f>"－"</f>
        <v>－</v>
      </c>
      <c r="J48" s="21" t="n">
        <f>19315</f>
        <v>19315.0</v>
      </c>
      <c r="K48" s="21" t="str">
        <f>"－"</f>
        <v>－</v>
      </c>
      <c r="L48" s="4" t="s">
        <v>212</v>
      </c>
      <c r="M48" s="22" t="n">
        <f>42631</f>
        <v>42631.0</v>
      </c>
      <c r="N48" s="5" t="s">
        <v>250</v>
      </c>
      <c r="O48" s="23" t="n">
        <f>7152</f>
        <v>7152.0</v>
      </c>
      <c r="P48" s="3" t="s">
        <v>251</v>
      </c>
      <c r="Q48" s="21"/>
      <c r="R48" s="3" t="s">
        <v>247</v>
      </c>
      <c r="S48" s="21" t="n">
        <f>452679102422</f>
        <v>4.52679102422E11</v>
      </c>
      <c r="T48" s="21" t="str">
        <f>"－"</f>
        <v>－</v>
      </c>
      <c r="U48" s="5" t="s">
        <v>212</v>
      </c>
      <c r="V48" s="23" t="n">
        <f>997993260000</f>
        <v>9.9799326E11</v>
      </c>
      <c r="W48" s="5" t="s">
        <v>250</v>
      </c>
      <c r="X48" s="23" t="n">
        <f>153502550000</f>
        <v>1.5350255E11</v>
      </c>
      <c r="Y48" s="23"/>
      <c r="Z48" s="21" t="str">
        <f>"－"</f>
        <v>－</v>
      </c>
      <c r="AA48" s="21" t="n">
        <f>28707</f>
        <v>28707.0</v>
      </c>
      <c r="AB48" s="4" t="s">
        <v>252</v>
      </c>
      <c r="AC48" s="22" t="n">
        <f>30526</f>
        <v>30526.0</v>
      </c>
      <c r="AD48" s="5" t="s">
        <v>81</v>
      </c>
      <c r="AE48" s="23" t="n">
        <f>11565</f>
        <v>11565.0</v>
      </c>
    </row>
    <row r="49">
      <c r="A49" s="24" t="s">
        <v>242</v>
      </c>
      <c r="B49" s="25" t="s">
        <v>243</v>
      </c>
      <c r="C49" s="26"/>
      <c r="D49" s="27"/>
      <c r="E49" s="28" t="s">
        <v>253</v>
      </c>
      <c r="F49" s="20" t="n">
        <f>126</f>
        <v>126.0</v>
      </c>
      <c r="G49" s="21" t="n">
        <f>1780904</f>
        <v>1780904.0</v>
      </c>
      <c r="H49" s="21"/>
      <c r="I49" s="21" t="str">
        <f>"－"</f>
        <v>－</v>
      </c>
      <c r="J49" s="21" t="n">
        <f>14134</f>
        <v>14134.0</v>
      </c>
      <c r="K49" s="21" t="str">
        <f>"－"</f>
        <v>－</v>
      </c>
      <c r="L49" s="4" t="s">
        <v>254</v>
      </c>
      <c r="M49" s="22" t="n">
        <f>25680</f>
        <v>25680.0</v>
      </c>
      <c r="N49" s="5" t="s">
        <v>88</v>
      </c>
      <c r="O49" s="23" t="n">
        <f>8081</f>
        <v>8081.0</v>
      </c>
      <c r="P49" s="3" t="s">
        <v>255</v>
      </c>
      <c r="Q49" s="21"/>
      <c r="R49" s="3" t="s">
        <v>247</v>
      </c>
      <c r="S49" s="21" t="n">
        <f>363430821587</f>
        <v>3.63430821587E11</v>
      </c>
      <c r="T49" s="21" t="str">
        <f>"－"</f>
        <v>－</v>
      </c>
      <c r="U49" s="5" t="s">
        <v>254</v>
      </c>
      <c r="V49" s="23" t="n">
        <f>686580110000</f>
        <v>6.8658011E11</v>
      </c>
      <c r="W49" s="5" t="s">
        <v>88</v>
      </c>
      <c r="X49" s="23" t="n">
        <f>204305520000</f>
        <v>2.0430552E11</v>
      </c>
      <c r="Y49" s="23"/>
      <c r="Z49" s="21" t="str">
        <f>"－"</f>
        <v>－</v>
      </c>
      <c r="AA49" s="21" t="n">
        <f>26454</f>
        <v>26454.0</v>
      </c>
      <c r="AB49" s="4" t="s">
        <v>254</v>
      </c>
      <c r="AC49" s="22" t="n">
        <f>34991</f>
        <v>34991.0</v>
      </c>
      <c r="AD49" s="5" t="s">
        <v>107</v>
      </c>
      <c r="AE49" s="23" t="n">
        <f>19761</f>
        <v>19761.0</v>
      </c>
    </row>
    <row r="50">
      <c r="A50" s="24" t="s">
        <v>242</v>
      </c>
      <c r="B50" s="25" t="s">
        <v>243</v>
      </c>
      <c r="C50" s="26"/>
      <c r="D50" s="27"/>
      <c r="E50" s="28" t="s">
        <v>256</v>
      </c>
      <c r="F50" s="20" t="n">
        <f>121</f>
        <v>121.0</v>
      </c>
      <c r="G50" s="21" t="n">
        <f>2069063</f>
        <v>2069063.0</v>
      </c>
      <c r="H50" s="21"/>
      <c r="I50" s="21" t="str">
        <f>"－"</f>
        <v>－</v>
      </c>
      <c r="J50" s="21" t="n">
        <f>17100</f>
        <v>17100.0</v>
      </c>
      <c r="K50" s="21" t="str">
        <f>"－"</f>
        <v>－</v>
      </c>
      <c r="L50" s="4" t="s">
        <v>146</v>
      </c>
      <c r="M50" s="22" t="n">
        <f>32037</f>
        <v>32037.0</v>
      </c>
      <c r="N50" s="5" t="s">
        <v>257</v>
      </c>
      <c r="O50" s="23" t="n">
        <f>5674</f>
        <v>5674.0</v>
      </c>
      <c r="P50" s="3" t="s">
        <v>258</v>
      </c>
      <c r="Q50" s="21"/>
      <c r="R50" s="3" t="s">
        <v>247</v>
      </c>
      <c r="S50" s="21" t="n">
        <f>462488718099</f>
        <v>4.62488718099E11</v>
      </c>
      <c r="T50" s="21" t="str">
        <f>"－"</f>
        <v>－</v>
      </c>
      <c r="U50" s="5" t="s">
        <v>146</v>
      </c>
      <c r="V50" s="23" t="n">
        <f>813202010000</f>
        <v>8.1320201E11</v>
      </c>
      <c r="W50" s="5" t="s">
        <v>257</v>
      </c>
      <c r="X50" s="23" t="n">
        <f>165370890000</f>
        <v>1.6537089E11</v>
      </c>
      <c r="Y50" s="23"/>
      <c r="Z50" s="21" t="str">
        <f>"－"</f>
        <v>－</v>
      </c>
      <c r="AA50" s="21" t="n">
        <f>31406</f>
        <v>31406.0</v>
      </c>
      <c r="AB50" s="4" t="s">
        <v>259</v>
      </c>
      <c r="AC50" s="22" t="n">
        <f>47451</f>
        <v>47451.0</v>
      </c>
      <c r="AD50" s="5" t="s">
        <v>260</v>
      </c>
      <c r="AE50" s="23" t="n">
        <f>25707</f>
        <v>25707.0</v>
      </c>
    </row>
    <row r="51">
      <c r="A51" s="24" t="s">
        <v>242</v>
      </c>
      <c r="B51" s="25" t="s">
        <v>243</v>
      </c>
      <c r="C51" s="26"/>
      <c r="D51" s="27"/>
      <c r="E51" s="28" t="s">
        <v>261</v>
      </c>
      <c r="F51" s="20" t="n">
        <f>126</f>
        <v>126.0</v>
      </c>
      <c r="G51" s="21" t="n">
        <f>1600643</f>
        <v>1600643.0</v>
      </c>
      <c r="H51" s="21"/>
      <c r="I51" s="21" t="str">
        <f>"－"</f>
        <v>－</v>
      </c>
      <c r="J51" s="21" t="n">
        <f>12704</f>
        <v>12704.0</v>
      </c>
      <c r="K51" s="21" t="str">
        <f>"－"</f>
        <v>－</v>
      </c>
      <c r="L51" s="4" t="s">
        <v>262</v>
      </c>
      <c r="M51" s="22" t="n">
        <f>22656</f>
        <v>22656.0</v>
      </c>
      <c r="N51" s="5" t="s">
        <v>263</v>
      </c>
      <c r="O51" s="23" t="n">
        <f>3777</f>
        <v>3777.0</v>
      </c>
      <c r="P51" s="3" t="s">
        <v>264</v>
      </c>
      <c r="Q51" s="21"/>
      <c r="R51" s="3" t="s">
        <v>247</v>
      </c>
      <c r="S51" s="21" t="n">
        <f>285122429365</f>
        <v>2.85122429365E11</v>
      </c>
      <c r="T51" s="21" t="str">
        <f>"－"</f>
        <v>－</v>
      </c>
      <c r="U51" s="5" t="s">
        <v>262</v>
      </c>
      <c r="V51" s="23" t="n">
        <f>564325660000</f>
        <v>5.6432566E11</v>
      </c>
      <c r="W51" s="5" t="s">
        <v>263</v>
      </c>
      <c r="X51" s="23" t="n">
        <f>80920480000</f>
        <v>8.092048E10</v>
      </c>
      <c r="Y51" s="23"/>
      <c r="Z51" s="21" t="str">
        <f>"－"</f>
        <v>－</v>
      </c>
      <c r="AA51" s="21" t="n">
        <f>21537</f>
        <v>21537.0</v>
      </c>
      <c r="AB51" s="4" t="s">
        <v>265</v>
      </c>
      <c r="AC51" s="22" t="n">
        <f>41955</f>
        <v>41955.0</v>
      </c>
      <c r="AD51" s="5" t="s">
        <v>266</v>
      </c>
      <c r="AE51" s="23" t="n">
        <f>21002</f>
        <v>21002.0</v>
      </c>
    </row>
    <row r="52">
      <c r="A52" s="24" t="s">
        <v>242</v>
      </c>
      <c r="B52" s="25" t="s">
        <v>243</v>
      </c>
      <c r="C52" s="26"/>
      <c r="D52" s="27"/>
      <c r="E52" s="28" t="s">
        <v>267</v>
      </c>
      <c r="F52" s="20" t="n">
        <f>119</f>
        <v>119.0</v>
      </c>
      <c r="G52" s="21" t="n">
        <f>855493</f>
        <v>855493.0</v>
      </c>
      <c r="H52" s="21"/>
      <c r="I52" s="21" t="str">
        <f>"－"</f>
        <v>－</v>
      </c>
      <c r="J52" s="21" t="n">
        <f>7189</f>
        <v>7189.0</v>
      </c>
      <c r="K52" s="21" t="str">
        <f>"－"</f>
        <v>－</v>
      </c>
      <c r="L52" s="4" t="s">
        <v>94</v>
      </c>
      <c r="M52" s="22" t="n">
        <f>17226</f>
        <v>17226.0</v>
      </c>
      <c r="N52" s="5" t="s">
        <v>268</v>
      </c>
      <c r="O52" s="23" t="n">
        <f>19</f>
        <v>19.0</v>
      </c>
      <c r="P52" s="3" t="s">
        <v>269</v>
      </c>
      <c r="Q52" s="21"/>
      <c r="R52" s="3" t="s">
        <v>247</v>
      </c>
      <c r="S52" s="21" t="n">
        <f>133208332353</f>
        <v>1.33208332353E11</v>
      </c>
      <c r="T52" s="21" t="str">
        <f>"－"</f>
        <v>－</v>
      </c>
      <c r="U52" s="5" t="s">
        <v>94</v>
      </c>
      <c r="V52" s="23" t="n">
        <f>354481360000</f>
        <v>3.5448136E11</v>
      </c>
      <c r="W52" s="5" t="s">
        <v>268</v>
      </c>
      <c r="X52" s="23" t="n">
        <f>306950000</f>
        <v>3.0695E8</v>
      </c>
      <c r="Y52" s="23"/>
      <c r="Z52" s="21" t="str">
        <f>"－"</f>
        <v>－</v>
      </c>
      <c r="AA52" s="21" t="n">
        <f>34759</f>
        <v>34759.0</v>
      </c>
      <c r="AB52" s="4" t="s">
        <v>270</v>
      </c>
      <c r="AC52" s="22" t="n">
        <f>36736</f>
        <v>36736.0</v>
      </c>
      <c r="AD52" s="5" t="s">
        <v>105</v>
      </c>
      <c r="AE52" s="23" t="n">
        <f>20741</f>
        <v>20741.0</v>
      </c>
    </row>
    <row r="53">
      <c r="A53" s="24" t="s">
        <v>242</v>
      </c>
      <c r="B53" s="25" t="s">
        <v>243</v>
      </c>
      <c r="C53" s="26"/>
      <c r="D53" s="27"/>
      <c r="E53" s="28" t="s">
        <v>271</v>
      </c>
      <c r="F53" s="20" t="n">
        <f>126</f>
        <v>126.0</v>
      </c>
      <c r="G53" s="21" t="n">
        <f>879697</f>
        <v>879697.0</v>
      </c>
      <c r="H53" s="21"/>
      <c r="I53" s="21" t="str">
        <f>"－"</f>
        <v>－</v>
      </c>
      <c r="J53" s="21" t="n">
        <f>6982</f>
        <v>6982.0</v>
      </c>
      <c r="K53" s="21" t="str">
        <f>"－"</f>
        <v>－</v>
      </c>
      <c r="L53" s="4" t="s">
        <v>272</v>
      </c>
      <c r="M53" s="22" t="n">
        <f>15695</f>
        <v>15695.0</v>
      </c>
      <c r="N53" s="5" t="s">
        <v>188</v>
      </c>
      <c r="O53" s="23" t="n">
        <f>2988</f>
        <v>2988.0</v>
      </c>
      <c r="P53" s="3" t="s">
        <v>273</v>
      </c>
      <c r="Q53" s="21"/>
      <c r="R53" s="3" t="s">
        <v>247</v>
      </c>
      <c r="S53" s="21" t="n">
        <f>132262163651</f>
        <v>1.32262163651E11</v>
      </c>
      <c r="T53" s="21" t="str">
        <f>"－"</f>
        <v>－</v>
      </c>
      <c r="U53" s="5" t="s">
        <v>272</v>
      </c>
      <c r="V53" s="23" t="n">
        <f>309566210000</f>
        <v>3.0956621E11</v>
      </c>
      <c r="W53" s="5" t="s">
        <v>188</v>
      </c>
      <c r="X53" s="23" t="n">
        <f>53637310000</f>
        <v>5.363731E10</v>
      </c>
      <c r="Y53" s="23"/>
      <c r="Z53" s="21" t="str">
        <f>"－"</f>
        <v>－</v>
      </c>
      <c r="AA53" s="21" t="n">
        <f>31120</f>
        <v>31120.0</v>
      </c>
      <c r="AB53" s="4" t="s">
        <v>274</v>
      </c>
      <c r="AC53" s="22" t="n">
        <f>43791</f>
        <v>43791.0</v>
      </c>
      <c r="AD53" s="5" t="s">
        <v>201</v>
      </c>
      <c r="AE53" s="23" t="n">
        <f>26297</f>
        <v>26297.0</v>
      </c>
    </row>
    <row r="54">
      <c r="A54" s="24" t="s">
        <v>242</v>
      </c>
      <c r="B54" s="25" t="s">
        <v>243</v>
      </c>
      <c r="C54" s="26"/>
      <c r="D54" s="27"/>
      <c r="E54" s="28" t="s">
        <v>275</v>
      </c>
      <c r="F54" s="20" t="n">
        <f>121</f>
        <v>121.0</v>
      </c>
      <c r="G54" s="21" t="n">
        <f>621615</f>
        <v>621615.0</v>
      </c>
      <c r="H54" s="21"/>
      <c r="I54" s="21" t="str">
        <f>"－"</f>
        <v>－</v>
      </c>
      <c r="J54" s="21" t="n">
        <f>5137</f>
        <v>5137.0</v>
      </c>
      <c r="K54" s="21" t="str">
        <f>"－"</f>
        <v>－</v>
      </c>
      <c r="L54" s="4" t="s">
        <v>276</v>
      </c>
      <c r="M54" s="22" t="n">
        <f>13110</f>
        <v>13110.0</v>
      </c>
      <c r="N54" s="5" t="s">
        <v>277</v>
      </c>
      <c r="O54" s="23" t="n">
        <f>1733</f>
        <v>1733.0</v>
      </c>
      <c r="P54" s="3" t="s">
        <v>278</v>
      </c>
      <c r="Q54" s="21"/>
      <c r="R54" s="3" t="s">
        <v>247</v>
      </c>
      <c r="S54" s="21" t="n">
        <f>86827592479</f>
        <v>8.6827592479E10</v>
      </c>
      <c r="T54" s="21" t="str">
        <f>"－"</f>
        <v>－</v>
      </c>
      <c r="U54" s="5" t="s">
        <v>276</v>
      </c>
      <c r="V54" s="23" t="n">
        <f>227736430000</f>
        <v>2.2773643E11</v>
      </c>
      <c r="W54" s="5" t="s">
        <v>277</v>
      </c>
      <c r="X54" s="23" t="n">
        <f>33127290000</f>
        <v>3.312729E10</v>
      </c>
      <c r="Y54" s="23"/>
      <c r="Z54" s="21" t="str">
        <f>"－"</f>
        <v>－</v>
      </c>
      <c r="AA54" s="21" t="n">
        <f>25583</f>
        <v>25583.0</v>
      </c>
      <c r="AB54" s="4" t="s">
        <v>279</v>
      </c>
      <c r="AC54" s="22" t="n">
        <f>31435</f>
        <v>31435.0</v>
      </c>
      <c r="AD54" s="5" t="s">
        <v>55</v>
      </c>
      <c r="AE54" s="23" t="n">
        <f>22665</f>
        <v>22665.0</v>
      </c>
    </row>
    <row r="55">
      <c r="A55" s="24" t="s">
        <v>242</v>
      </c>
      <c r="B55" s="25" t="s">
        <v>243</v>
      </c>
      <c r="C55" s="26"/>
      <c r="D55" s="27"/>
      <c r="E55" s="28" t="s">
        <v>280</v>
      </c>
      <c r="F55" s="20" t="n">
        <f>126</f>
        <v>126.0</v>
      </c>
      <c r="G55" s="21" t="n">
        <f>716438</f>
        <v>716438.0</v>
      </c>
      <c r="H55" s="21"/>
      <c r="I55" s="21" t="str">
        <f>"－"</f>
        <v>－</v>
      </c>
      <c r="J55" s="21" t="n">
        <f>5686</f>
        <v>5686.0</v>
      </c>
      <c r="K55" s="21" t="str">
        <f>"－"</f>
        <v>－</v>
      </c>
      <c r="L55" s="4" t="s">
        <v>281</v>
      </c>
      <c r="M55" s="22" t="n">
        <f>17223</f>
        <v>17223.0</v>
      </c>
      <c r="N55" s="5" t="s">
        <v>282</v>
      </c>
      <c r="O55" s="23" t="n">
        <f>2419</f>
        <v>2419.0</v>
      </c>
      <c r="P55" s="3" t="s">
        <v>283</v>
      </c>
      <c r="Q55" s="21"/>
      <c r="R55" s="3" t="s">
        <v>247</v>
      </c>
      <c r="S55" s="21" t="n">
        <f>74736774048</f>
        <v>7.4736774048E10</v>
      </c>
      <c r="T55" s="21" t="str">
        <f>"－"</f>
        <v>－</v>
      </c>
      <c r="U55" s="5" t="s">
        <v>281</v>
      </c>
      <c r="V55" s="23" t="n">
        <f>248477510000</f>
        <v>2.4847751E11</v>
      </c>
      <c r="W55" s="5" t="s">
        <v>282</v>
      </c>
      <c r="X55" s="23" t="n">
        <f>29228290000</f>
        <v>2.922829E10</v>
      </c>
      <c r="Y55" s="23"/>
      <c r="Z55" s="21" t="str">
        <f>"－"</f>
        <v>－</v>
      </c>
      <c r="AA55" s="21" t="n">
        <f>28943</f>
        <v>28943.0</v>
      </c>
      <c r="AB55" s="4" t="s">
        <v>281</v>
      </c>
      <c r="AC55" s="22" t="n">
        <f>35410</f>
        <v>35410.0</v>
      </c>
      <c r="AD55" s="5" t="s">
        <v>205</v>
      </c>
      <c r="AE55" s="23" t="n">
        <f>15336</f>
        <v>15336.0</v>
      </c>
    </row>
    <row r="56">
      <c r="A56" s="24" t="s">
        <v>242</v>
      </c>
      <c r="B56" s="25" t="s">
        <v>243</v>
      </c>
      <c r="C56" s="26"/>
      <c r="D56" s="27"/>
      <c r="E56" s="28" t="s">
        <v>284</v>
      </c>
      <c r="F56" s="20" t="n">
        <f>123</f>
        <v>123.0</v>
      </c>
      <c r="G56" s="21" t="n">
        <f>757904</f>
        <v>757904.0</v>
      </c>
      <c r="H56" s="21"/>
      <c r="I56" s="21" t="str">
        <f>"－"</f>
        <v>－</v>
      </c>
      <c r="J56" s="21" t="n">
        <f>6162</f>
        <v>6162.0</v>
      </c>
      <c r="K56" s="21" t="str">
        <f>"－"</f>
        <v>－</v>
      </c>
      <c r="L56" s="4" t="s">
        <v>93</v>
      </c>
      <c r="M56" s="22" t="n">
        <f>21401</f>
        <v>21401.0</v>
      </c>
      <c r="N56" s="5" t="s">
        <v>285</v>
      </c>
      <c r="O56" s="23" t="n">
        <f>2345</f>
        <v>2345.0</v>
      </c>
      <c r="P56" s="3" t="s">
        <v>286</v>
      </c>
      <c r="Q56" s="21"/>
      <c r="R56" s="3" t="s">
        <v>247</v>
      </c>
      <c r="S56" s="21" t="n">
        <f>81145659919</f>
        <v>8.1145659919E10</v>
      </c>
      <c r="T56" s="21" t="str">
        <f>"－"</f>
        <v>－</v>
      </c>
      <c r="U56" s="5" t="s">
        <v>93</v>
      </c>
      <c r="V56" s="23" t="n">
        <f>281115470000</f>
        <v>2.8111547E11</v>
      </c>
      <c r="W56" s="5" t="s">
        <v>285</v>
      </c>
      <c r="X56" s="23" t="n">
        <f>30699960000</f>
        <v>3.069996E10</v>
      </c>
      <c r="Y56" s="23"/>
      <c r="Z56" s="21" t="str">
        <f>"－"</f>
        <v>－</v>
      </c>
      <c r="AA56" s="21" t="n">
        <f>50809</f>
        <v>50809.0</v>
      </c>
      <c r="AB56" s="4" t="s">
        <v>187</v>
      </c>
      <c r="AC56" s="22" t="n">
        <f>71193</f>
        <v>71193.0</v>
      </c>
      <c r="AD56" s="5" t="s">
        <v>287</v>
      </c>
      <c r="AE56" s="23" t="n">
        <f>28220</f>
        <v>28220.0</v>
      </c>
    </row>
    <row r="57">
      <c r="A57" s="24" t="s">
        <v>242</v>
      </c>
      <c r="B57" s="25" t="s">
        <v>243</v>
      </c>
      <c r="C57" s="26"/>
      <c r="D57" s="27"/>
      <c r="E57" s="28" t="s">
        <v>288</v>
      </c>
      <c r="F57" s="20" t="n">
        <f>124</f>
        <v>124.0</v>
      </c>
      <c r="G57" s="21" t="n">
        <f>969202</f>
        <v>969202.0</v>
      </c>
      <c r="H57" s="21"/>
      <c r="I57" s="21" t="str">
        <f>"－"</f>
        <v>－</v>
      </c>
      <c r="J57" s="21" t="n">
        <f>7816</f>
        <v>7816.0</v>
      </c>
      <c r="K57" s="21" t="str">
        <f>"－"</f>
        <v>－</v>
      </c>
      <c r="L57" s="4" t="s">
        <v>289</v>
      </c>
      <c r="M57" s="22" t="n">
        <f>21191</f>
        <v>21191.0</v>
      </c>
      <c r="N57" s="5" t="s">
        <v>108</v>
      </c>
      <c r="O57" s="23" t="n">
        <f>2393</f>
        <v>2393.0</v>
      </c>
      <c r="P57" s="3" t="s">
        <v>290</v>
      </c>
      <c r="Q57" s="21"/>
      <c r="R57" s="3" t="s">
        <v>247</v>
      </c>
      <c r="S57" s="21" t="n">
        <f>127745177984</f>
        <v>1.27745177984E11</v>
      </c>
      <c r="T57" s="21" t="str">
        <f>"－"</f>
        <v>－</v>
      </c>
      <c r="U57" s="5" t="s">
        <v>289</v>
      </c>
      <c r="V57" s="23" t="n">
        <f>358512820000</f>
        <v>3.5851282E11</v>
      </c>
      <c r="W57" s="5" t="s">
        <v>108</v>
      </c>
      <c r="X57" s="23" t="n">
        <f>38018630000</f>
        <v>3.801863E10</v>
      </c>
      <c r="Y57" s="23"/>
      <c r="Z57" s="21" t="str">
        <f>"－"</f>
        <v>－</v>
      </c>
      <c r="AA57" s="21" t="n">
        <f>60561</f>
        <v>60561.0</v>
      </c>
      <c r="AB57" s="4" t="s">
        <v>281</v>
      </c>
      <c r="AC57" s="22" t="n">
        <f>87389</f>
        <v>87389.0</v>
      </c>
      <c r="AD57" s="5" t="s">
        <v>132</v>
      </c>
      <c r="AE57" s="23" t="n">
        <f>36813</f>
        <v>36813.0</v>
      </c>
    </row>
    <row r="58">
      <c r="A58" s="24" t="s">
        <v>242</v>
      </c>
      <c r="B58" s="25" t="s">
        <v>243</v>
      </c>
      <c r="C58" s="26"/>
      <c r="D58" s="27"/>
      <c r="E58" s="28" t="s">
        <v>291</v>
      </c>
      <c r="F58" s="20" t="n">
        <f>122</f>
        <v>122.0</v>
      </c>
      <c r="G58" s="21" t="n">
        <f>1542156</f>
        <v>1542156.0</v>
      </c>
      <c r="H58" s="21"/>
      <c r="I58" s="21" t="str">
        <f>"－"</f>
        <v>－</v>
      </c>
      <c r="J58" s="21" t="n">
        <f>12641</f>
        <v>12641.0</v>
      </c>
      <c r="K58" s="21" t="str">
        <f>"－"</f>
        <v>－</v>
      </c>
      <c r="L58" s="4" t="s">
        <v>292</v>
      </c>
      <c r="M58" s="22" t="n">
        <f>35828</f>
        <v>35828.0</v>
      </c>
      <c r="N58" s="5" t="s">
        <v>293</v>
      </c>
      <c r="O58" s="23" t="str">
        <f>"－"</f>
        <v>－</v>
      </c>
      <c r="P58" s="3" t="s">
        <v>294</v>
      </c>
      <c r="Q58" s="21"/>
      <c r="R58" s="3" t="s">
        <v>247</v>
      </c>
      <c r="S58" s="21" t="n">
        <f>195645458361</f>
        <v>1.95645458361E11</v>
      </c>
      <c r="T58" s="21" t="str">
        <f>"－"</f>
        <v>－</v>
      </c>
      <c r="U58" s="5" t="s">
        <v>292</v>
      </c>
      <c r="V58" s="23" t="n">
        <f>521972610000</f>
        <v>5.2197261E11</v>
      </c>
      <c r="W58" s="5" t="s">
        <v>293</v>
      </c>
      <c r="X58" s="23" t="str">
        <f>"－"</f>
        <v>－</v>
      </c>
      <c r="Y58" s="23"/>
      <c r="Z58" s="21" t="str">
        <f>"－"</f>
        <v>－</v>
      </c>
      <c r="AA58" s="21" t="n">
        <f>72194</f>
        <v>72194.0</v>
      </c>
      <c r="AB58" s="4" t="s">
        <v>197</v>
      </c>
      <c r="AC58" s="22" t="n">
        <f>114991</f>
        <v>114991.0</v>
      </c>
      <c r="AD58" s="5" t="s">
        <v>279</v>
      </c>
      <c r="AE58" s="23" t="n">
        <f>61486</f>
        <v>61486.0</v>
      </c>
    </row>
    <row r="59">
      <c r="A59" s="24" t="s">
        <v>242</v>
      </c>
      <c r="B59" s="25" t="s">
        <v>243</v>
      </c>
      <c r="C59" s="26"/>
      <c r="D59" s="27"/>
      <c r="E59" s="28" t="s">
        <v>295</v>
      </c>
      <c r="F59" s="20" t="n">
        <f>125</f>
        <v>125.0</v>
      </c>
      <c r="G59" s="21" t="n">
        <f>1241337</f>
        <v>1241337.0</v>
      </c>
      <c r="H59" s="21"/>
      <c r="I59" s="21" t="str">
        <f>"－"</f>
        <v>－</v>
      </c>
      <c r="J59" s="21" t="n">
        <f>9931</f>
        <v>9931.0</v>
      </c>
      <c r="K59" s="21" t="str">
        <f>"－"</f>
        <v>－</v>
      </c>
      <c r="L59" s="4" t="s">
        <v>143</v>
      </c>
      <c r="M59" s="22" t="n">
        <f>24936</f>
        <v>24936.0</v>
      </c>
      <c r="N59" s="5" t="s">
        <v>265</v>
      </c>
      <c r="O59" s="23" t="n">
        <f>3153</f>
        <v>3153.0</v>
      </c>
      <c r="P59" s="3" t="s">
        <v>296</v>
      </c>
      <c r="Q59" s="21"/>
      <c r="R59" s="3" t="s">
        <v>247</v>
      </c>
      <c r="S59" s="21" t="n">
        <f>163568738400</f>
        <v>1.635687384E11</v>
      </c>
      <c r="T59" s="21" t="str">
        <f>"－"</f>
        <v>－</v>
      </c>
      <c r="U59" s="5" t="s">
        <v>143</v>
      </c>
      <c r="V59" s="23" t="n">
        <f>423085870000</f>
        <v>4.2308587E11</v>
      </c>
      <c r="W59" s="5" t="s">
        <v>265</v>
      </c>
      <c r="X59" s="23" t="n">
        <f>50309180000</f>
        <v>5.030918E10</v>
      </c>
      <c r="Y59" s="23"/>
      <c r="Z59" s="21" t="str">
        <f>"－"</f>
        <v>－</v>
      </c>
      <c r="AA59" s="21" t="n">
        <f>62804</f>
        <v>62804.0</v>
      </c>
      <c r="AB59" s="4" t="s">
        <v>75</v>
      </c>
      <c r="AC59" s="22" t="n">
        <f>117709</f>
        <v>117709.0</v>
      </c>
      <c r="AD59" s="5" t="s">
        <v>248</v>
      </c>
      <c r="AE59" s="23" t="n">
        <f>62804</f>
        <v>62804.0</v>
      </c>
    </row>
    <row r="60">
      <c r="A60" s="24" t="s">
        <v>242</v>
      </c>
      <c r="B60" s="25" t="s">
        <v>243</v>
      </c>
      <c r="C60" s="26"/>
      <c r="D60" s="27"/>
      <c r="E60" s="28" t="s">
        <v>297</v>
      </c>
      <c r="F60" s="20" t="n">
        <f>122</f>
        <v>122.0</v>
      </c>
      <c r="G60" s="21" t="n">
        <f>1375481</f>
        <v>1375481.0</v>
      </c>
      <c r="H60" s="21"/>
      <c r="I60" s="21" t="str">
        <f>"－"</f>
        <v>－</v>
      </c>
      <c r="J60" s="21" t="n">
        <f>11274</f>
        <v>11274.0</v>
      </c>
      <c r="K60" s="21" t="str">
        <f>"－"</f>
        <v>－</v>
      </c>
      <c r="L60" s="4" t="s">
        <v>298</v>
      </c>
      <c r="M60" s="22" t="n">
        <f>29572</f>
        <v>29572.0</v>
      </c>
      <c r="N60" s="5" t="s">
        <v>285</v>
      </c>
      <c r="O60" s="23" t="n">
        <f>3106</f>
        <v>3106.0</v>
      </c>
      <c r="P60" s="3" t="s">
        <v>299</v>
      </c>
      <c r="Q60" s="21"/>
      <c r="R60" s="3" t="s">
        <v>247</v>
      </c>
      <c r="S60" s="21" t="n">
        <f>164442846639</f>
        <v>1.64442846639E11</v>
      </c>
      <c r="T60" s="21" t="str">
        <f>"－"</f>
        <v>－</v>
      </c>
      <c r="U60" s="5" t="s">
        <v>298</v>
      </c>
      <c r="V60" s="23" t="n">
        <f>454059210000</f>
        <v>4.5405921E11</v>
      </c>
      <c r="W60" s="5" t="s">
        <v>285</v>
      </c>
      <c r="X60" s="23" t="n">
        <f>48396500000</f>
        <v>4.83965E10</v>
      </c>
      <c r="Y60" s="23"/>
      <c r="Z60" s="21" t="str">
        <f>"－"</f>
        <v>－</v>
      </c>
      <c r="AA60" s="21" t="n">
        <f>59338</f>
        <v>59338.0</v>
      </c>
      <c r="AB60" s="4" t="s">
        <v>300</v>
      </c>
      <c r="AC60" s="22" t="n">
        <f>84867</f>
        <v>84867.0</v>
      </c>
      <c r="AD60" s="5" t="s">
        <v>116</v>
      </c>
      <c r="AE60" s="23" t="n">
        <f>54059</f>
        <v>54059.0</v>
      </c>
    </row>
    <row r="61">
      <c r="A61" s="24" t="s">
        <v>242</v>
      </c>
      <c r="B61" s="25" t="s">
        <v>243</v>
      </c>
      <c r="C61" s="26"/>
      <c r="D61" s="27"/>
      <c r="E61" s="28" t="s">
        <v>301</v>
      </c>
      <c r="F61" s="20" t="n">
        <f>126</f>
        <v>126.0</v>
      </c>
      <c r="G61" s="21" t="n">
        <f>1296961</f>
        <v>1296961.0</v>
      </c>
      <c r="H61" s="21"/>
      <c r="I61" s="21" t="str">
        <f>"－"</f>
        <v>－</v>
      </c>
      <c r="J61" s="21" t="n">
        <f>10293</f>
        <v>10293.0</v>
      </c>
      <c r="K61" s="21" t="str">
        <f>"－"</f>
        <v>－</v>
      </c>
      <c r="L61" s="4" t="s">
        <v>302</v>
      </c>
      <c r="M61" s="22" t="n">
        <f>37489</f>
        <v>37489.0</v>
      </c>
      <c r="N61" s="5" t="s">
        <v>303</v>
      </c>
      <c r="O61" s="23" t="n">
        <f>3643</f>
        <v>3643.0</v>
      </c>
      <c r="P61" s="3" t="s">
        <v>304</v>
      </c>
      <c r="Q61" s="21"/>
      <c r="R61" s="3" t="s">
        <v>247</v>
      </c>
      <c r="S61" s="21" t="n">
        <f>137409613571</f>
        <v>1.37409613571E11</v>
      </c>
      <c r="T61" s="21" t="str">
        <f>"－"</f>
        <v>－</v>
      </c>
      <c r="U61" s="5" t="s">
        <v>302</v>
      </c>
      <c r="V61" s="23" t="n">
        <f>532629130000</f>
        <v>5.3262913E11</v>
      </c>
      <c r="W61" s="5" t="s">
        <v>303</v>
      </c>
      <c r="X61" s="23" t="n">
        <f>43839690000</f>
        <v>4.383969E10</v>
      </c>
      <c r="Y61" s="23"/>
      <c r="Z61" s="21" t="str">
        <f>"－"</f>
        <v>－</v>
      </c>
      <c r="AA61" s="21" t="n">
        <f>97422</f>
        <v>97422.0</v>
      </c>
      <c r="AB61" s="4" t="s">
        <v>183</v>
      </c>
      <c r="AC61" s="22" t="n">
        <f>128682</f>
        <v>128682.0</v>
      </c>
      <c r="AD61" s="5" t="s">
        <v>107</v>
      </c>
      <c r="AE61" s="23" t="n">
        <f>47337</f>
        <v>47337.0</v>
      </c>
    </row>
    <row r="62">
      <c r="A62" s="24" t="s">
        <v>242</v>
      </c>
      <c r="B62" s="25" t="s">
        <v>243</v>
      </c>
      <c r="C62" s="26"/>
      <c r="D62" s="27"/>
      <c r="E62" s="28" t="s">
        <v>305</v>
      </c>
      <c r="F62" s="20" t="n">
        <f>121</f>
        <v>121.0</v>
      </c>
      <c r="G62" s="21" t="n">
        <f>1479790</f>
        <v>1479790.0</v>
      </c>
      <c r="H62" s="21"/>
      <c r="I62" s="21" t="str">
        <f>"－"</f>
        <v>－</v>
      </c>
      <c r="J62" s="21" t="n">
        <f>12230</f>
        <v>12230.0</v>
      </c>
      <c r="K62" s="21" t="str">
        <f>"－"</f>
        <v>－</v>
      </c>
      <c r="L62" s="4" t="s">
        <v>306</v>
      </c>
      <c r="M62" s="22" t="n">
        <f>43232</f>
        <v>43232.0</v>
      </c>
      <c r="N62" s="5" t="s">
        <v>257</v>
      </c>
      <c r="O62" s="23" t="n">
        <f>3506</f>
        <v>3506.0</v>
      </c>
      <c r="P62" s="3" t="s">
        <v>307</v>
      </c>
      <c r="Q62" s="21"/>
      <c r="R62" s="3" t="s">
        <v>247</v>
      </c>
      <c r="S62" s="21" t="n">
        <f>187851819256</f>
        <v>1.87851819256E11</v>
      </c>
      <c r="T62" s="21" t="str">
        <f>"－"</f>
        <v>－</v>
      </c>
      <c r="U62" s="5" t="s">
        <v>306</v>
      </c>
      <c r="V62" s="23" t="n">
        <f>641642230000</f>
        <v>6.4164223E11</v>
      </c>
      <c r="W62" s="5" t="s">
        <v>308</v>
      </c>
      <c r="X62" s="23" t="n">
        <f>51192670000</f>
        <v>5.119267E10</v>
      </c>
      <c r="Y62" s="23"/>
      <c r="Z62" s="21" t="str">
        <f>"－"</f>
        <v>－</v>
      </c>
      <c r="AA62" s="21" t="n">
        <f>142227</f>
        <v>142227.0</v>
      </c>
      <c r="AB62" s="4" t="s">
        <v>93</v>
      </c>
      <c r="AC62" s="22" t="n">
        <f>162535</f>
        <v>162535.0</v>
      </c>
      <c r="AD62" s="5" t="s">
        <v>268</v>
      </c>
      <c r="AE62" s="23" t="n">
        <f>96728</f>
        <v>96728.0</v>
      </c>
    </row>
    <row r="63">
      <c r="A63" s="24" t="s">
        <v>242</v>
      </c>
      <c r="B63" s="25" t="s">
        <v>243</v>
      </c>
      <c r="C63" s="26"/>
      <c r="D63" s="27"/>
      <c r="E63" s="28" t="s">
        <v>309</v>
      </c>
      <c r="F63" s="20" t="n">
        <f>126</f>
        <v>126.0</v>
      </c>
      <c r="G63" s="21" t="n">
        <f>1392374</f>
        <v>1392374.0</v>
      </c>
      <c r="H63" s="21"/>
      <c r="I63" s="21" t="str">
        <f>"－"</f>
        <v>－</v>
      </c>
      <c r="J63" s="21" t="n">
        <f>11051</f>
        <v>11051.0</v>
      </c>
      <c r="K63" s="21" t="str">
        <f>"－"</f>
        <v>－</v>
      </c>
      <c r="L63" s="4" t="s">
        <v>302</v>
      </c>
      <c r="M63" s="22" t="n">
        <f>28376</f>
        <v>28376.0</v>
      </c>
      <c r="N63" s="5" t="s">
        <v>310</v>
      </c>
      <c r="O63" s="23" t="n">
        <f>4328</f>
        <v>4328.0</v>
      </c>
      <c r="P63" s="3" t="s">
        <v>311</v>
      </c>
      <c r="Q63" s="21"/>
      <c r="R63" s="3" t="s">
        <v>247</v>
      </c>
      <c r="S63" s="21" t="n">
        <f>181086365794</f>
        <v>1.81086365794E11</v>
      </c>
      <c r="T63" s="21" t="str">
        <f>"－"</f>
        <v>－</v>
      </c>
      <c r="U63" s="5" t="s">
        <v>302</v>
      </c>
      <c r="V63" s="23" t="n">
        <f>438258890000</f>
        <v>4.3825889E11</v>
      </c>
      <c r="W63" s="5" t="s">
        <v>312</v>
      </c>
      <c r="X63" s="23" t="n">
        <f>69778510000</f>
        <v>6.977851E10</v>
      </c>
      <c r="Y63" s="23"/>
      <c r="Z63" s="21" t="str">
        <f>"－"</f>
        <v>－</v>
      </c>
      <c r="AA63" s="21" t="n">
        <f>113008</f>
        <v>113008.0</v>
      </c>
      <c r="AB63" s="4" t="s">
        <v>132</v>
      </c>
      <c r="AC63" s="22" t="n">
        <f>192135</f>
        <v>192135.0</v>
      </c>
      <c r="AD63" s="5" t="s">
        <v>166</v>
      </c>
      <c r="AE63" s="23" t="n">
        <f>103660</f>
        <v>103660.0</v>
      </c>
    </row>
    <row r="64">
      <c r="A64" s="24" t="s">
        <v>242</v>
      </c>
      <c r="B64" s="25" t="s">
        <v>243</v>
      </c>
      <c r="C64" s="26"/>
      <c r="D64" s="27"/>
      <c r="E64" s="28" t="s">
        <v>313</v>
      </c>
      <c r="F64" s="20" t="n">
        <f>120</f>
        <v>120.0</v>
      </c>
      <c r="G64" s="21" t="n">
        <f>1504029</f>
        <v>1504029.0</v>
      </c>
      <c r="H64" s="21"/>
      <c r="I64" s="21" t="str">
        <f>"－"</f>
        <v>－</v>
      </c>
      <c r="J64" s="21" t="n">
        <f>12534</f>
        <v>12534.0</v>
      </c>
      <c r="K64" s="21" t="str">
        <f>"－"</f>
        <v>－</v>
      </c>
      <c r="L64" s="4" t="s">
        <v>300</v>
      </c>
      <c r="M64" s="22" t="n">
        <f>39029</f>
        <v>39029.0</v>
      </c>
      <c r="N64" s="5" t="s">
        <v>314</v>
      </c>
      <c r="O64" s="23" t="n">
        <f>2674</f>
        <v>2674.0</v>
      </c>
      <c r="P64" s="3" t="s">
        <v>315</v>
      </c>
      <c r="Q64" s="21"/>
      <c r="R64" s="3" t="s">
        <v>247</v>
      </c>
      <c r="S64" s="21" t="n">
        <f>182719313583</f>
        <v>1.82719313583E11</v>
      </c>
      <c r="T64" s="21" t="str">
        <f>"－"</f>
        <v>－</v>
      </c>
      <c r="U64" s="5" t="s">
        <v>300</v>
      </c>
      <c r="V64" s="23" t="n">
        <f>535260880000</f>
        <v>5.3526088E11</v>
      </c>
      <c r="W64" s="5" t="s">
        <v>314</v>
      </c>
      <c r="X64" s="23" t="n">
        <f>39149160000</f>
        <v>3.914916E10</v>
      </c>
      <c r="Y64" s="23"/>
      <c r="Z64" s="21" t="str">
        <f>"－"</f>
        <v>－</v>
      </c>
      <c r="AA64" s="21" t="n">
        <f>111860</f>
        <v>111860.0</v>
      </c>
      <c r="AB64" s="4" t="s">
        <v>116</v>
      </c>
      <c r="AC64" s="22" t="n">
        <f>140238</f>
        <v>140238.0</v>
      </c>
      <c r="AD64" s="5" t="s">
        <v>117</v>
      </c>
      <c r="AE64" s="23" t="n">
        <f>100016</f>
        <v>100016.0</v>
      </c>
    </row>
    <row r="65">
      <c r="A65" s="24" t="s">
        <v>242</v>
      </c>
      <c r="B65" s="25" t="s">
        <v>243</v>
      </c>
      <c r="C65" s="26"/>
      <c r="D65" s="27"/>
      <c r="E65" s="28" t="s">
        <v>316</v>
      </c>
      <c r="F65" s="20" t="n">
        <f>126</f>
        <v>126.0</v>
      </c>
      <c r="G65" s="21" t="n">
        <f>1437557</f>
        <v>1437557.0</v>
      </c>
      <c r="H65" s="21"/>
      <c r="I65" s="21" t="str">
        <f>"－"</f>
        <v>－</v>
      </c>
      <c r="J65" s="21" t="n">
        <f>11409</f>
        <v>11409.0</v>
      </c>
      <c r="K65" s="21" t="str">
        <f>"－"</f>
        <v>－</v>
      </c>
      <c r="L65" s="4" t="s">
        <v>302</v>
      </c>
      <c r="M65" s="22" t="n">
        <f>56672</f>
        <v>56672.0</v>
      </c>
      <c r="N65" s="5" t="s">
        <v>317</v>
      </c>
      <c r="O65" s="23" t="n">
        <f>3400</f>
        <v>3400.0</v>
      </c>
      <c r="P65" s="3" t="s">
        <v>318</v>
      </c>
      <c r="Q65" s="21"/>
      <c r="R65" s="3" t="s">
        <v>247</v>
      </c>
      <c r="S65" s="21" t="n">
        <f>167519648730</f>
        <v>1.6751964873E11</v>
      </c>
      <c r="T65" s="21" t="str">
        <f>"－"</f>
        <v>－</v>
      </c>
      <c r="U65" s="5" t="s">
        <v>302</v>
      </c>
      <c r="V65" s="23" t="n">
        <f>820192580000</f>
        <v>8.2019258E11</v>
      </c>
      <c r="W65" s="5" t="s">
        <v>317</v>
      </c>
      <c r="X65" s="23" t="n">
        <f>52145460000</f>
        <v>5.214546E10</v>
      </c>
      <c r="Y65" s="23"/>
      <c r="Z65" s="21" t="str">
        <f>"－"</f>
        <v>－</v>
      </c>
      <c r="AA65" s="21" t="n">
        <f>108254</f>
        <v>108254.0</v>
      </c>
      <c r="AB65" s="4" t="s">
        <v>319</v>
      </c>
      <c r="AC65" s="22" t="n">
        <f>151216</f>
        <v>151216.0</v>
      </c>
      <c r="AD65" s="5" t="s">
        <v>120</v>
      </c>
      <c r="AE65" s="23" t="n">
        <f>105718</f>
        <v>105718.0</v>
      </c>
    </row>
    <row r="66">
      <c r="A66" s="24" t="s">
        <v>242</v>
      </c>
      <c r="B66" s="25" t="s">
        <v>243</v>
      </c>
      <c r="C66" s="26"/>
      <c r="D66" s="27"/>
      <c r="E66" s="28" t="s">
        <v>320</v>
      </c>
      <c r="F66" s="20" t="n">
        <f>121</f>
        <v>121.0</v>
      </c>
      <c r="G66" s="21" t="n">
        <f>1445060</f>
        <v>1445060.0</v>
      </c>
      <c r="H66" s="21"/>
      <c r="I66" s="21" t="str">
        <f>"－"</f>
        <v>－</v>
      </c>
      <c r="J66" s="21" t="n">
        <f>11943</f>
        <v>11943.0</v>
      </c>
      <c r="K66" s="21" t="str">
        <f>"－"</f>
        <v>－</v>
      </c>
      <c r="L66" s="4" t="s">
        <v>64</v>
      </c>
      <c r="M66" s="22" t="n">
        <f>52737</f>
        <v>52737.0</v>
      </c>
      <c r="N66" s="5" t="s">
        <v>321</v>
      </c>
      <c r="O66" s="23" t="n">
        <f>3422</f>
        <v>3422.0</v>
      </c>
      <c r="P66" s="3" t="s">
        <v>322</v>
      </c>
      <c r="Q66" s="21"/>
      <c r="R66" s="3" t="s">
        <v>247</v>
      </c>
      <c r="S66" s="21" t="n">
        <f>149954029628</f>
        <v>1.49954029628E11</v>
      </c>
      <c r="T66" s="21" t="str">
        <f>"－"</f>
        <v>－</v>
      </c>
      <c r="U66" s="5" t="s">
        <v>64</v>
      </c>
      <c r="V66" s="23" t="n">
        <f>648900550000</f>
        <v>6.4890055E11</v>
      </c>
      <c r="W66" s="5" t="s">
        <v>323</v>
      </c>
      <c r="X66" s="23" t="n">
        <f>44975100000</f>
        <v>4.49751E10</v>
      </c>
      <c r="Y66" s="23"/>
      <c r="Z66" s="21" t="str">
        <f>"－"</f>
        <v>－</v>
      </c>
      <c r="AA66" s="21" t="n">
        <f>122939</f>
        <v>122939.0</v>
      </c>
      <c r="AB66" s="4" t="s">
        <v>54</v>
      </c>
      <c r="AC66" s="22" t="n">
        <f>160693</f>
        <v>160693.0</v>
      </c>
      <c r="AD66" s="5" t="s">
        <v>82</v>
      </c>
      <c r="AE66" s="23" t="n">
        <f>107447</f>
        <v>107447.0</v>
      </c>
    </row>
    <row r="67">
      <c r="A67" s="24" t="s">
        <v>242</v>
      </c>
      <c r="B67" s="25" t="s">
        <v>243</v>
      </c>
      <c r="C67" s="26"/>
      <c r="D67" s="27"/>
      <c r="E67" s="28" t="s">
        <v>324</v>
      </c>
      <c r="F67" s="20" t="n">
        <f>125</f>
        <v>125.0</v>
      </c>
      <c r="G67" s="21" t="n">
        <f>1386816</f>
        <v>1386816.0</v>
      </c>
      <c r="H67" s="21"/>
      <c r="I67" s="21" t="str">
        <f>"－"</f>
        <v>－</v>
      </c>
      <c r="J67" s="21" t="n">
        <f>11095</f>
        <v>11095.0</v>
      </c>
      <c r="K67" s="21" t="str">
        <f>"－"</f>
        <v>－</v>
      </c>
      <c r="L67" s="4" t="s">
        <v>88</v>
      </c>
      <c r="M67" s="22" t="n">
        <f>56160</f>
        <v>56160.0</v>
      </c>
      <c r="N67" s="5" t="s">
        <v>325</v>
      </c>
      <c r="O67" s="23" t="n">
        <f>2285</f>
        <v>2285.0</v>
      </c>
      <c r="P67" s="3" t="s">
        <v>326</v>
      </c>
      <c r="Q67" s="21"/>
      <c r="R67" s="3" t="s">
        <v>247</v>
      </c>
      <c r="S67" s="21" t="n">
        <f>130530453560</f>
        <v>1.3053045356E11</v>
      </c>
      <c r="T67" s="21" t="str">
        <f>"－"</f>
        <v>－</v>
      </c>
      <c r="U67" s="5" t="s">
        <v>88</v>
      </c>
      <c r="V67" s="23" t="n">
        <f>673594965000</f>
        <v>6.73594965E11</v>
      </c>
      <c r="W67" s="5" t="s">
        <v>325</v>
      </c>
      <c r="X67" s="23" t="n">
        <f>26936085000</f>
        <v>2.6936085E10</v>
      </c>
      <c r="Y67" s="23"/>
      <c r="Z67" s="21" t="str">
        <f>"－"</f>
        <v>－</v>
      </c>
      <c r="AA67" s="21" t="n">
        <f>130788</f>
        <v>130788.0</v>
      </c>
      <c r="AB67" s="4" t="s">
        <v>61</v>
      </c>
      <c r="AC67" s="22" t="n">
        <f>159133</f>
        <v>159133.0</v>
      </c>
      <c r="AD67" s="5" t="s">
        <v>205</v>
      </c>
      <c r="AE67" s="23" t="n">
        <f>114125</f>
        <v>114125.0</v>
      </c>
    </row>
    <row r="68">
      <c r="A68" s="24" t="s">
        <v>242</v>
      </c>
      <c r="B68" s="25" t="s">
        <v>243</v>
      </c>
      <c r="C68" s="26"/>
      <c r="D68" s="27"/>
      <c r="E68" s="28" t="s">
        <v>327</v>
      </c>
      <c r="F68" s="20" t="n">
        <f>122</f>
        <v>122.0</v>
      </c>
      <c r="G68" s="21" t="n">
        <f>1463851</f>
        <v>1463851.0</v>
      </c>
      <c r="H68" s="21"/>
      <c r="I68" s="21" t="n">
        <f>185255</f>
        <v>185255.0</v>
      </c>
      <c r="J68" s="21" t="n">
        <f>11999</f>
        <v>11999.0</v>
      </c>
      <c r="K68" s="21" t="n">
        <f>1518</f>
        <v>1518.0</v>
      </c>
      <c r="L68" s="4" t="s">
        <v>68</v>
      </c>
      <c r="M68" s="22" t="n">
        <f>59436</f>
        <v>59436.0</v>
      </c>
      <c r="N68" s="5" t="s">
        <v>314</v>
      </c>
      <c r="O68" s="23" t="n">
        <f>2463</f>
        <v>2463.0</v>
      </c>
      <c r="P68" s="3" t="s">
        <v>328</v>
      </c>
      <c r="Q68" s="21"/>
      <c r="R68" s="3" t="s">
        <v>329</v>
      </c>
      <c r="S68" s="21" t="n">
        <f>134287365574</f>
        <v>1.34287365574E11</v>
      </c>
      <c r="T68" s="21" t="n">
        <f>17162613320</f>
        <v>1.716261332E10</v>
      </c>
      <c r="U68" s="5" t="s">
        <v>68</v>
      </c>
      <c r="V68" s="23" t="n">
        <f>686193740000</f>
        <v>6.8619374E11</v>
      </c>
      <c r="W68" s="5" t="s">
        <v>314</v>
      </c>
      <c r="X68" s="23" t="n">
        <f>26649970000</f>
        <v>2.664997E10</v>
      </c>
      <c r="Y68" s="23"/>
      <c r="Z68" s="21" t="str">
        <f>"－"</f>
        <v>－</v>
      </c>
      <c r="AA68" s="21" t="n">
        <f>95376</f>
        <v>95376.0</v>
      </c>
      <c r="AB68" s="4" t="s">
        <v>197</v>
      </c>
      <c r="AC68" s="22" t="n">
        <f>141478</f>
        <v>141478.0</v>
      </c>
      <c r="AD68" s="5" t="s">
        <v>330</v>
      </c>
      <c r="AE68" s="23" t="n">
        <f>95376</f>
        <v>95376.0</v>
      </c>
    </row>
    <row r="69">
      <c r="A69" s="24" t="s">
        <v>242</v>
      </c>
      <c r="B69" s="25" t="s">
        <v>243</v>
      </c>
      <c r="C69" s="26"/>
      <c r="D69" s="27"/>
      <c r="E69" s="28" t="s">
        <v>331</v>
      </c>
      <c r="F69" s="20" t="n">
        <f>124</f>
        <v>124.0</v>
      </c>
      <c r="G69" s="21" t="n">
        <f>1460477</f>
        <v>1460477.0</v>
      </c>
      <c r="H69" s="21"/>
      <c r="I69" s="21" t="n">
        <f>249390</f>
        <v>249390.0</v>
      </c>
      <c r="J69" s="21" t="n">
        <f>11778</f>
        <v>11778.0</v>
      </c>
      <c r="K69" s="21" t="n">
        <f>2011</f>
        <v>2011.0</v>
      </c>
      <c r="L69" s="4" t="s">
        <v>183</v>
      </c>
      <c r="M69" s="22" t="n">
        <f>61980</f>
        <v>61980.0</v>
      </c>
      <c r="N69" s="5" t="s">
        <v>332</v>
      </c>
      <c r="O69" s="23" t="n">
        <f>3608</f>
        <v>3608.0</v>
      </c>
      <c r="P69" s="3" t="s">
        <v>333</v>
      </c>
      <c r="Q69" s="21"/>
      <c r="R69" s="3" t="s">
        <v>334</v>
      </c>
      <c r="S69" s="21" t="n">
        <f>165792931452</f>
        <v>1.65792931452E11</v>
      </c>
      <c r="T69" s="21" t="n">
        <f>28446750161</f>
        <v>2.8446750161E10</v>
      </c>
      <c r="U69" s="5" t="s">
        <v>183</v>
      </c>
      <c r="V69" s="23" t="n">
        <f>925753495000</f>
        <v>9.25753495E11</v>
      </c>
      <c r="W69" s="5" t="s">
        <v>332</v>
      </c>
      <c r="X69" s="23" t="n">
        <f>53070275000</f>
        <v>5.3070275E10</v>
      </c>
      <c r="Y69" s="23"/>
      <c r="Z69" s="21" t="str">
        <f>"－"</f>
        <v>－</v>
      </c>
      <c r="AA69" s="21" t="n">
        <f>103916</f>
        <v>103916.0</v>
      </c>
      <c r="AB69" s="4" t="s">
        <v>88</v>
      </c>
      <c r="AC69" s="22" t="n">
        <f>144002</f>
        <v>144002.0</v>
      </c>
      <c r="AD69" s="5" t="s">
        <v>335</v>
      </c>
      <c r="AE69" s="23" t="n">
        <f>97444</f>
        <v>97444.0</v>
      </c>
    </row>
    <row r="70">
      <c r="A70" s="24" t="s">
        <v>242</v>
      </c>
      <c r="B70" s="25" t="s">
        <v>243</v>
      </c>
      <c r="C70" s="26"/>
      <c r="D70" s="27"/>
      <c r="E70" s="28" t="s">
        <v>336</v>
      </c>
      <c r="F70" s="20" t="n">
        <f>122</f>
        <v>122.0</v>
      </c>
      <c r="G70" s="21" t="n">
        <f>2002232</f>
        <v>2002232.0</v>
      </c>
      <c r="H70" s="21"/>
      <c r="I70" s="21" t="n">
        <f>476369</f>
        <v>476369.0</v>
      </c>
      <c r="J70" s="21" t="n">
        <f>16412</f>
        <v>16412.0</v>
      </c>
      <c r="K70" s="21" t="n">
        <f>3905</f>
        <v>3905.0</v>
      </c>
      <c r="L70" s="4" t="s">
        <v>146</v>
      </c>
      <c r="M70" s="22" t="n">
        <f>79618</f>
        <v>79618.0</v>
      </c>
      <c r="N70" s="5" t="s">
        <v>314</v>
      </c>
      <c r="O70" s="23" t="n">
        <f>2064</f>
        <v>2064.0</v>
      </c>
      <c r="P70" s="3" t="s">
        <v>337</v>
      </c>
      <c r="Q70" s="21"/>
      <c r="R70" s="3" t="s">
        <v>338</v>
      </c>
      <c r="S70" s="21" t="n">
        <f>269264915123</f>
        <v>2.69264915123E11</v>
      </c>
      <c r="T70" s="21" t="n">
        <f>63958721311</f>
        <v>6.3958721311E10</v>
      </c>
      <c r="U70" s="5" t="s">
        <v>146</v>
      </c>
      <c r="V70" s="23" t="n">
        <f>1309564095000</f>
        <v>1.309564095E12</v>
      </c>
      <c r="W70" s="5" t="s">
        <v>314</v>
      </c>
      <c r="X70" s="23" t="n">
        <f>35346465000</f>
        <v>3.5346465E10</v>
      </c>
      <c r="Y70" s="23"/>
      <c r="Z70" s="21" t="str">
        <f>"－"</f>
        <v>－</v>
      </c>
      <c r="AA70" s="21" t="n">
        <f>140346</f>
        <v>140346.0</v>
      </c>
      <c r="AB70" s="4" t="s">
        <v>53</v>
      </c>
      <c r="AC70" s="22" t="n">
        <f>167829</f>
        <v>167829.0</v>
      </c>
      <c r="AD70" s="5" t="s">
        <v>339</v>
      </c>
      <c r="AE70" s="23" t="n">
        <f>104528</f>
        <v>104528.0</v>
      </c>
    </row>
    <row r="71">
      <c r="A71" s="24" t="s">
        <v>242</v>
      </c>
      <c r="B71" s="25" t="s">
        <v>243</v>
      </c>
      <c r="C71" s="26"/>
      <c r="D71" s="27"/>
      <c r="E71" s="28" t="s">
        <v>340</v>
      </c>
      <c r="F71" s="20" t="n">
        <f>125</f>
        <v>125.0</v>
      </c>
      <c r="G71" s="21" t="n">
        <f>2144443</f>
        <v>2144443.0</v>
      </c>
      <c r="H71" s="21"/>
      <c r="I71" s="21" t="n">
        <f>645222</f>
        <v>645222.0</v>
      </c>
      <c r="J71" s="21" t="n">
        <f>17156</f>
        <v>17156.0</v>
      </c>
      <c r="K71" s="21" t="n">
        <f>5162</f>
        <v>5162.0</v>
      </c>
      <c r="L71" s="4" t="s">
        <v>84</v>
      </c>
      <c r="M71" s="22" t="n">
        <f>121375</f>
        <v>121375.0</v>
      </c>
      <c r="N71" s="5" t="s">
        <v>188</v>
      </c>
      <c r="O71" s="23" t="n">
        <f>5500</f>
        <v>5500.0</v>
      </c>
      <c r="P71" s="3" t="s">
        <v>341</v>
      </c>
      <c r="Q71" s="21"/>
      <c r="R71" s="3" t="s">
        <v>342</v>
      </c>
      <c r="S71" s="21" t="n">
        <f>265996256320</f>
        <v>2.6599625632E11</v>
      </c>
      <c r="T71" s="21" t="n">
        <f>79416104160</f>
        <v>7.941610416E10</v>
      </c>
      <c r="U71" s="5" t="s">
        <v>84</v>
      </c>
      <c r="V71" s="23" t="n">
        <f>1801365978000</f>
        <v>1.801365978E12</v>
      </c>
      <c r="W71" s="5" t="s">
        <v>188</v>
      </c>
      <c r="X71" s="23" t="n">
        <f>82453165000</f>
        <v>8.2453165E10</v>
      </c>
      <c r="Y71" s="23"/>
      <c r="Z71" s="21" t="str">
        <f>"－"</f>
        <v>－</v>
      </c>
      <c r="AA71" s="21" t="n">
        <f>139695</f>
        <v>139695.0</v>
      </c>
      <c r="AB71" s="4" t="s">
        <v>183</v>
      </c>
      <c r="AC71" s="22" t="n">
        <f>169088</f>
        <v>169088.0</v>
      </c>
      <c r="AD71" s="5" t="s">
        <v>343</v>
      </c>
      <c r="AE71" s="23" t="n">
        <f>129230</f>
        <v>129230.0</v>
      </c>
    </row>
    <row r="72">
      <c r="A72" s="24" t="s">
        <v>242</v>
      </c>
      <c r="B72" s="25" t="s">
        <v>243</v>
      </c>
      <c r="C72" s="26"/>
      <c r="D72" s="27"/>
      <c r="E72" s="28" t="s">
        <v>344</v>
      </c>
      <c r="F72" s="20" t="n">
        <f>121</f>
        <v>121.0</v>
      </c>
      <c r="G72" s="21" t="n">
        <f>1977769</f>
        <v>1977769.0</v>
      </c>
      <c r="H72" s="21"/>
      <c r="I72" s="21" t="n">
        <f>560798</f>
        <v>560798.0</v>
      </c>
      <c r="J72" s="21" t="n">
        <f>16345</f>
        <v>16345.0</v>
      </c>
      <c r="K72" s="21" t="n">
        <f>4635</f>
        <v>4635.0</v>
      </c>
      <c r="L72" s="4" t="s">
        <v>90</v>
      </c>
      <c r="M72" s="22" t="n">
        <f>143088</f>
        <v>143088.0</v>
      </c>
      <c r="N72" s="5" t="s">
        <v>65</v>
      </c>
      <c r="O72" s="23" t="n">
        <f>3747</f>
        <v>3747.0</v>
      </c>
      <c r="P72" s="3" t="s">
        <v>345</v>
      </c>
      <c r="Q72" s="21"/>
      <c r="R72" s="3" t="s">
        <v>346</v>
      </c>
      <c r="S72" s="21" t="n">
        <f>214180068777</f>
        <v>2.14180068777E11</v>
      </c>
      <c r="T72" s="21" t="n">
        <f>60273040471</f>
        <v>6.0273040471E10</v>
      </c>
      <c r="U72" s="5" t="s">
        <v>90</v>
      </c>
      <c r="V72" s="23" t="n">
        <f>1732964604000</f>
        <v>1.732964604E12</v>
      </c>
      <c r="W72" s="5" t="s">
        <v>65</v>
      </c>
      <c r="X72" s="23" t="n">
        <f>48353647000</f>
        <v>4.8353647E10</v>
      </c>
      <c r="Y72" s="23"/>
      <c r="Z72" s="21" t="str">
        <f>"－"</f>
        <v>－</v>
      </c>
      <c r="AA72" s="21" t="n">
        <f>176073</f>
        <v>176073.0</v>
      </c>
      <c r="AB72" s="4" t="s">
        <v>146</v>
      </c>
      <c r="AC72" s="22" t="n">
        <f>211468</f>
        <v>211468.0</v>
      </c>
      <c r="AD72" s="5" t="s">
        <v>268</v>
      </c>
      <c r="AE72" s="23" t="n">
        <f>141306</f>
        <v>141306.0</v>
      </c>
    </row>
    <row r="73">
      <c r="A73" s="24" t="s">
        <v>242</v>
      </c>
      <c r="B73" s="25" t="s">
        <v>243</v>
      </c>
      <c r="C73" s="26"/>
      <c r="D73" s="27"/>
      <c r="E73" s="28" t="s">
        <v>347</v>
      </c>
      <c r="F73" s="20" t="n">
        <f>125</f>
        <v>125.0</v>
      </c>
      <c r="G73" s="21" t="n">
        <f>2483709</f>
        <v>2483709.0</v>
      </c>
      <c r="H73" s="21"/>
      <c r="I73" s="21" t="n">
        <f>748668</f>
        <v>748668.0</v>
      </c>
      <c r="J73" s="21" t="n">
        <f>19870</f>
        <v>19870.0</v>
      </c>
      <c r="K73" s="21" t="n">
        <f>5989</f>
        <v>5989.0</v>
      </c>
      <c r="L73" s="4" t="s">
        <v>61</v>
      </c>
      <c r="M73" s="22" t="n">
        <f>166389</f>
        <v>166389.0</v>
      </c>
      <c r="N73" s="5" t="s">
        <v>193</v>
      </c>
      <c r="O73" s="23" t="n">
        <f>5213</f>
        <v>5213.0</v>
      </c>
      <c r="P73" s="3" t="s">
        <v>348</v>
      </c>
      <c r="Q73" s="21"/>
      <c r="R73" s="3" t="s">
        <v>349</v>
      </c>
      <c r="S73" s="21" t="n">
        <f>239313814048</f>
        <v>2.39313814048E11</v>
      </c>
      <c r="T73" s="21" t="n">
        <f>71487839008</f>
        <v>7.1487839008E10</v>
      </c>
      <c r="U73" s="5" t="s">
        <v>96</v>
      </c>
      <c r="V73" s="23" t="n">
        <f>2069401095000</f>
        <v>2.069401095E12</v>
      </c>
      <c r="W73" s="5" t="s">
        <v>193</v>
      </c>
      <c r="X73" s="23" t="n">
        <f>68461155000</f>
        <v>6.8461155E10</v>
      </c>
      <c r="Y73" s="23"/>
      <c r="Z73" s="21" t="str">
        <f>"－"</f>
        <v>－</v>
      </c>
      <c r="AA73" s="21" t="n">
        <f>189220</f>
        <v>189220.0</v>
      </c>
      <c r="AB73" s="4" t="s">
        <v>96</v>
      </c>
      <c r="AC73" s="22" t="n">
        <f>245871</f>
        <v>245871.0</v>
      </c>
      <c r="AD73" s="5" t="s">
        <v>350</v>
      </c>
      <c r="AE73" s="23" t="n">
        <f>165205</f>
        <v>165205.0</v>
      </c>
    </row>
    <row r="74">
      <c r="A74" s="24" t="s">
        <v>242</v>
      </c>
      <c r="B74" s="25" t="s">
        <v>243</v>
      </c>
      <c r="C74" s="26"/>
      <c r="D74" s="27"/>
      <c r="E74" s="28" t="s">
        <v>351</v>
      </c>
      <c r="F74" s="20" t="n">
        <f>120</f>
        <v>120.0</v>
      </c>
      <c r="G74" s="21" t="n">
        <f>3261407</f>
        <v>3261407.0</v>
      </c>
      <c r="H74" s="21"/>
      <c r="I74" s="21" t="n">
        <f>1148399</f>
        <v>1148399.0</v>
      </c>
      <c r="J74" s="21" t="n">
        <f>27178</f>
        <v>27178.0</v>
      </c>
      <c r="K74" s="21" t="n">
        <f>9570</f>
        <v>9570.0</v>
      </c>
      <c r="L74" s="4" t="s">
        <v>155</v>
      </c>
      <c r="M74" s="22" t="n">
        <f>250678</f>
        <v>250678.0</v>
      </c>
      <c r="N74" s="5" t="s">
        <v>352</v>
      </c>
      <c r="O74" s="23" t="n">
        <f>8250</f>
        <v>8250.0</v>
      </c>
      <c r="P74" s="3" t="s">
        <v>353</v>
      </c>
      <c r="Q74" s="21"/>
      <c r="R74" s="3" t="s">
        <v>354</v>
      </c>
      <c r="S74" s="21" t="n">
        <f>283029320542</f>
        <v>2.83029320542E11</v>
      </c>
      <c r="T74" s="21" t="n">
        <f>100003442000</f>
        <v>1.00003442E11</v>
      </c>
      <c r="U74" s="5" t="s">
        <v>155</v>
      </c>
      <c r="V74" s="23" t="n">
        <f>2703305470000</f>
        <v>2.70330547E12</v>
      </c>
      <c r="W74" s="5" t="s">
        <v>352</v>
      </c>
      <c r="X74" s="23" t="n">
        <f>87440265000</f>
        <v>8.7440265E10</v>
      </c>
      <c r="Y74" s="23"/>
      <c r="Z74" s="21" t="str">
        <f>"－"</f>
        <v>－</v>
      </c>
      <c r="AA74" s="21" t="n">
        <f>229631</f>
        <v>229631.0</v>
      </c>
      <c r="AB74" s="4" t="s">
        <v>93</v>
      </c>
      <c r="AC74" s="22" t="n">
        <f>321205</f>
        <v>321205.0</v>
      </c>
      <c r="AD74" s="5" t="s">
        <v>134</v>
      </c>
      <c r="AE74" s="23" t="n">
        <f>190711</f>
        <v>190711.0</v>
      </c>
    </row>
    <row r="75">
      <c r="A75" s="24" t="s">
        <v>242</v>
      </c>
      <c r="B75" s="25" t="s">
        <v>243</v>
      </c>
      <c r="C75" s="26"/>
      <c r="D75" s="27"/>
      <c r="E75" s="28" t="s">
        <v>355</v>
      </c>
      <c r="F75" s="20" t="n">
        <f>126</f>
        <v>126.0</v>
      </c>
      <c r="G75" s="21" t="n">
        <f>3620008</f>
        <v>3620008.0</v>
      </c>
      <c r="H75" s="21"/>
      <c r="I75" s="21" t="n">
        <f>1203255</f>
        <v>1203255.0</v>
      </c>
      <c r="J75" s="21" t="n">
        <f>28730</f>
        <v>28730.0</v>
      </c>
      <c r="K75" s="21" t="n">
        <f>9550</f>
        <v>9550.0</v>
      </c>
      <c r="L75" s="4" t="s">
        <v>107</v>
      </c>
      <c r="M75" s="22" t="n">
        <f>217435</f>
        <v>217435.0</v>
      </c>
      <c r="N75" s="5" t="s">
        <v>265</v>
      </c>
      <c r="O75" s="23" t="n">
        <f>7155</f>
        <v>7155.0</v>
      </c>
      <c r="P75" s="3" t="s">
        <v>356</v>
      </c>
      <c r="Q75" s="21"/>
      <c r="R75" s="3" t="s">
        <v>357</v>
      </c>
      <c r="S75" s="21" t="n">
        <f>290088875817</f>
        <v>2.90088875817E11</v>
      </c>
      <c r="T75" s="21" t="n">
        <f>95826484746</f>
        <v>9.5826484746E10</v>
      </c>
      <c r="U75" s="5" t="s">
        <v>107</v>
      </c>
      <c r="V75" s="23" t="n">
        <f>2374200848000</f>
        <v>2.374200848E12</v>
      </c>
      <c r="W75" s="5" t="s">
        <v>265</v>
      </c>
      <c r="X75" s="23" t="n">
        <f>77670339000</f>
        <v>7.7670339E10</v>
      </c>
      <c r="Y75" s="23"/>
      <c r="Z75" s="21" t="str">
        <f>"－"</f>
        <v>－</v>
      </c>
      <c r="AA75" s="21" t="n">
        <f>221931</f>
        <v>221931.0</v>
      </c>
      <c r="AB75" s="4" t="s">
        <v>76</v>
      </c>
      <c r="AC75" s="22" t="n">
        <f>370259</f>
        <v>370259.0</v>
      </c>
      <c r="AD75" s="5" t="s">
        <v>100</v>
      </c>
      <c r="AE75" s="23" t="n">
        <f>203865</f>
        <v>203865.0</v>
      </c>
    </row>
    <row r="76">
      <c r="A76" s="24" t="s">
        <v>242</v>
      </c>
      <c r="B76" s="25" t="s">
        <v>243</v>
      </c>
      <c r="C76" s="26"/>
      <c r="D76" s="27"/>
      <c r="E76" s="28" t="s">
        <v>358</v>
      </c>
      <c r="F76" s="20" t="n">
        <f>120</f>
        <v>120.0</v>
      </c>
      <c r="G76" s="21" t="n">
        <f>3821067</f>
        <v>3821067.0</v>
      </c>
      <c r="H76" s="21"/>
      <c r="I76" s="21" t="n">
        <f>1416662</f>
        <v>1416662.0</v>
      </c>
      <c r="J76" s="21" t="n">
        <f>31842</f>
        <v>31842.0</v>
      </c>
      <c r="K76" s="21" t="n">
        <f>11806</f>
        <v>11806.0</v>
      </c>
      <c r="L76" s="4" t="s">
        <v>197</v>
      </c>
      <c r="M76" s="22" t="n">
        <f>254758</f>
        <v>254758.0</v>
      </c>
      <c r="N76" s="5" t="s">
        <v>314</v>
      </c>
      <c r="O76" s="23" t="n">
        <f>7480</f>
        <v>7480.0</v>
      </c>
      <c r="P76" s="3" t="s">
        <v>359</v>
      </c>
      <c r="Q76" s="21"/>
      <c r="R76" s="3" t="s">
        <v>360</v>
      </c>
      <c r="S76" s="21" t="n">
        <f>265327716767</f>
        <v>2.65327716767E11</v>
      </c>
      <c r="T76" s="21" t="n">
        <f>97102831142</f>
        <v>9.7102831142E10</v>
      </c>
      <c r="U76" s="5" t="s">
        <v>197</v>
      </c>
      <c r="V76" s="23" t="n">
        <f>1975039306000</f>
        <v>1.975039306E12</v>
      </c>
      <c r="W76" s="5" t="s">
        <v>314</v>
      </c>
      <c r="X76" s="23" t="n">
        <f>62838000000</f>
        <v>6.2838E10</v>
      </c>
      <c r="Y76" s="23"/>
      <c r="Z76" s="21" t="str">
        <f>"－"</f>
        <v>－</v>
      </c>
      <c r="AA76" s="21" t="n">
        <f>241344</f>
        <v>241344.0</v>
      </c>
      <c r="AB76" s="4" t="s">
        <v>197</v>
      </c>
      <c r="AC76" s="22" t="n">
        <f>334810</f>
        <v>334810.0</v>
      </c>
      <c r="AD76" s="5" t="s">
        <v>117</v>
      </c>
      <c r="AE76" s="23" t="n">
        <f>216970</f>
        <v>216970.0</v>
      </c>
    </row>
    <row r="77">
      <c r="A77" s="24" t="s">
        <v>242</v>
      </c>
      <c r="B77" s="25" t="s">
        <v>243</v>
      </c>
      <c r="C77" s="26"/>
      <c r="D77" s="27"/>
      <c r="E77" s="28" t="s">
        <v>361</v>
      </c>
      <c r="F77" s="20" t="n">
        <f>126</f>
        <v>126.0</v>
      </c>
      <c r="G77" s="21" t="n">
        <f>4920755</f>
        <v>4920755.0</v>
      </c>
      <c r="H77" s="21"/>
      <c r="I77" s="21" t="n">
        <f>1834670</f>
        <v>1834670.0</v>
      </c>
      <c r="J77" s="21" t="n">
        <f>39054</f>
        <v>39054.0</v>
      </c>
      <c r="K77" s="21" t="n">
        <f>14561</f>
        <v>14561.0</v>
      </c>
      <c r="L77" s="4" t="s">
        <v>75</v>
      </c>
      <c r="M77" s="22" t="n">
        <f>296559</f>
        <v>296559.0</v>
      </c>
      <c r="N77" s="5" t="s">
        <v>238</v>
      </c>
      <c r="O77" s="23" t="n">
        <f>16302</f>
        <v>16302.0</v>
      </c>
      <c r="P77" s="3" t="s">
        <v>362</v>
      </c>
      <c r="Q77" s="21"/>
      <c r="R77" s="3" t="s">
        <v>363</v>
      </c>
      <c r="S77" s="21" t="n">
        <f>359601539103</f>
        <v>3.59601539103E11</v>
      </c>
      <c r="T77" s="21" t="n">
        <f>135331262913</f>
        <v>1.35331262913E11</v>
      </c>
      <c r="U77" s="5" t="s">
        <v>281</v>
      </c>
      <c r="V77" s="23" t="n">
        <f>3086539707000</f>
        <v>3.086539707E12</v>
      </c>
      <c r="W77" s="5" t="s">
        <v>364</v>
      </c>
      <c r="X77" s="23" t="n">
        <f>129115154000</f>
        <v>1.29115154E11</v>
      </c>
      <c r="Y77" s="23"/>
      <c r="Z77" s="21" t="str">
        <f>"－"</f>
        <v>－</v>
      </c>
      <c r="AA77" s="21" t="n">
        <f>273330</f>
        <v>273330.0</v>
      </c>
      <c r="AB77" s="4" t="s">
        <v>193</v>
      </c>
      <c r="AC77" s="22" t="n">
        <f>366678</f>
        <v>366678.0</v>
      </c>
      <c r="AD77" s="5" t="s">
        <v>335</v>
      </c>
      <c r="AE77" s="23" t="n">
        <f>250328</f>
        <v>250328.0</v>
      </c>
    </row>
    <row r="78">
      <c r="A78" s="24" t="s">
        <v>242</v>
      </c>
      <c r="B78" s="25" t="s">
        <v>243</v>
      </c>
      <c r="C78" s="26"/>
      <c r="D78" s="27"/>
      <c r="E78" s="28" t="s">
        <v>365</v>
      </c>
      <c r="F78" s="20" t="n">
        <f>122</f>
        <v>122.0</v>
      </c>
      <c r="G78" s="21" t="n">
        <f>4941796</f>
        <v>4941796.0</v>
      </c>
      <c r="H78" s="21"/>
      <c r="I78" s="21" t="n">
        <f>1641254</f>
        <v>1641254.0</v>
      </c>
      <c r="J78" s="21" t="n">
        <f>40507</f>
        <v>40507.0</v>
      </c>
      <c r="K78" s="21" t="n">
        <f>13453</f>
        <v>13453.0</v>
      </c>
      <c r="L78" s="4" t="s">
        <v>53</v>
      </c>
      <c r="M78" s="22" t="n">
        <f>403872</f>
        <v>403872.0</v>
      </c>
      <c r="N78" s="5" t="s">
        <v>113</v>
      </c>
      <c r="O78" s="23" t="n">
        <f>10331</f>
        <v>10331.0</v>
      </c>
      <c r="P78" s="3" t="s">
        <v>366</v>
      </c>
      <c r="Q78" s="21"/>
      <c r="R78" s="3" t="s">
        <v>367</v>
      </c>
      <c r="S78" s="21" t="n">
        <f>429658829172</f>
        <v>4.29658829172E11</v>
      </c>
      <c r="T78" s="21" t="n">
        <f>143031632328</f>
        <v>1.43031632328E11</v>
      </c>
      <c r="U78" s="5" t="s">
        <v>53</v>
      </c>
      <c r="V78" s="23" t="n">
        <f>4553059797000</f>
        <v>4.553059797E12</v>
      </c>
      <c r="W78" s="5" t="s">
        <v>113</v>
      </c>
      <c r="X78" s="23" t="n">
        <f>104526503000</f>
        <v>1.04526503E11</v>
      </c>
      <c r="Y78" s="23"/>
      <c r="Z78" s="21" t="str">
        <f>"－"</f>
        <v>－</v>
      </c>
      <c r="AA78" s="21" t="n">
        <f>344777</f>
        <v>344777.0</v>
      </c>
      <c r="AB78" s="4" t="s">
        <v>53</v>
      </c>
      <c r="AC78" s="22" t="n">
        <f>414056</f>
        <v>414056.0</v>
      </c>
      <c r="AD78" s="5" t="s">
        <v>279</v>
      </c>
      <c r="AE78" s="23" t="n">
        <f>272883</f>
        <v>272883.0</v>
      </c>
    </row>
    <row r="79">
      <c r="A79" s="24" t="s">
        <v>242</v>
      </c>
      <c r="B79" s="25" t="s">
        <v>243</v>
      </c>
      <c r="C79" s="26"/>
      <c r="D79" s="27"/>
      <c r="E79" s="28" t="s">
        <v>368</v>
      </c>
      <c r="F79" s="20" t="n">
        <f>124</f>
        <v>124.0</v>
      </c>
      <c r="G79" s="21" t="n">
        <f>5371643</f>
        <v>5371643.0</v>
      </c>
      <c r="H79" s="21"/>
      <c r="I79" s="21" t="n">
        <f>1918829</f>
        <v>1918829.0</v>
      </c>
      <c r="J79" s="21" t="n">
        <f>43320</f>
        <v>43320.0</v>
      </c>
      <c r="K79" s="21" t="n">
        <f>15474</f>
        <v>15474.0</v>
      </c>
      <c r="L79" s="4" t="s">
        <v>183</v>
      </c>
      <c r="M79" s="22" t="n">
        <f>396554</f>
        <v>396554.0</v>
      </c>
      <c r="N79" s="5" t="s">
        <v>72</v>
      </c>
      <c r="O79" s="23" t="n">
        <f>12950</f>
        <v>12950.0</v>
      </c>
      <c r="P79" s="3" t="s">
        <v>369</v>
      </c>
      <c r="Q79" s="21"/>
      <c r="R79" s="3" t="s">
        <v>370</v>
      </c>
      <c r="S79" s="21" t="n">
        <f>495938261452</f>
        <v>4.95938261452E11</v>
      </c>
      <c r="T79" s="21" t="n">
        <f>177405201573</f>
        <v>1.77405201573E11</v>
      </c>
      <c r="U79" s="5" t="s">
        <v>183</v>
      </c>
      <c r="V79" s="23" t="n">
        <f>4537616470000</f>
        <v>4.53761647E12</v>
      </c>
      <c r="W79" s="5" t="s">
        <v>72</v>
      </c>
      <c r="X79" s="23" t="n">
        <f>147229053000</f>
        <v>1.47229053E11</v>
      </c>
      <c r="Y79" s="23"/>
      <c r="Z79" s="21" t="str">
        <f>"－"</f>
        <v>－</v>
      </c>
      <c r="AA79" s="21" t="n">
        <f>299490</f>
        <v>299490.0</v>
      </c>
      <c r="AB79" s="4" t="s">
        <v>88</v>
      </c>
      <c r="AC79" s="22" t="n">
        <f>497075</f>
        <v>497075.0</v>
      </c>
      <c r="AD79" s="5" t="s">
        <v>76</v>
      </c>
      <c r="AE79" s="23" t="n">
        <f>294690</f>
        <v>294690.0</v>
      </c>
    </row>
    <row r="80">
      <c r="A80" s="24" t="s">
        <v>242</v>
      </c>
      <c r="B80" s="25" t="s">
        <v>243</v>
      </c>
      <c r="C80" s="26"/>
      <c r="D80" s="27"/>
      <c r="E80" s="28" t="s">
        <v>371</v>
      </c>
      <c r="F80" s="20" t="n">
        <f>121</f>
        <v>121.0</v>
      </c>
      <c r="G80" s="21" t="n">
        <f>5002570</f>
        <v>5002570.0</v>
      </c>
      <c r="H80" s="21"/>
      <c r="I80" s="21" t="n">
        <f>1714569</f>
        <v>1714569.0</v>
      </c>
      <c r="J80" s="21" t="n">
        <f>41344</f>
        <v>41344.0</v>
      </c>
      <c r="K80" s="21" t="n">
        <f>14170</f>
        <v>14170.0</v>
      </c>
      <c r="L80" s="4" t="s">
        <v>64</v>
      </c>
      <c r="M80" s="22" t="n">
        <f>402887</f>
        <v>402887.0</v>
      </c>
      <c r="N80" s="5" t="s">
        <v>134</v>
      </c>
      <c r="O80" s="23" t="n">
        <f>14913</f>
        <v>14913.0</v>
      </c>
      <c r="P80" s="3" t="s">
        <v>372</v>
      </c>
      <c r="Q80" s="21"/>
      <c r="R80" s="3" t="s">
        <v>373</v>
      </c>
      <c r="S80" s="21" t="n">
        <f>471805959140</f>
        <v>4.7180595914E11</v>
      </c>
      <c r="T80" s="21" t="n">
        <f>162305168975</f>
        <v>1.62305168975E11</v>
      </c>
      <c r="U80" s="5" t="s">
        <v>93</v>
      </c>
      <c r="V80" s="23" t="n">
        <f>4796904137000</f>
        <v>4.796904137E12</v>
      </c>
      <c r="W80" s="5" t="s">
        <v>374</v>
      </c>
      <c r="X80" s="23" t="n">
        <f>167585160000</f>
        <v>1.6758516E11</v>
      </c>
      <c r="Y80" s="23"/>
      <c r="Z80" s="21" t="str">
        <f>"－"</f>
        <v>－</v>
      </c>
      <c r="AA80" s="21" t="n">
        <f>351220</f>
        <v>351220.0</v>
      </c>
      <c r="AB80" s="4" t="s">
        <v>197</v>
      </c>
      <c r="AC80" s="22" t="n">
        <f>437472</f>
        <v>437472.0</v>
      </c>
      <c r="AD80" s="5" t="s">
        <v>138</v>
      </c>
      <c r="AE80" s="23" t="n">
        <f>285918</f>
        <v>285918.0</v>
      </c>
    </row>
    <row r="81">
      <c r="A81" s="24" t="s">
        <v>242</v>
      </c>
      <c r="B81" s="25" t="s">
        <v>243</v>
      </c>
      <c r="C81" s="26"/>
      <c r="D81" s="27"/>
      <c r="E81" s="28" t="s">
        <v>375</v>
      </c>
      <c r="F81" s="20" t="n">
        <f>124</f>
        <v>124.0</v>
      </c>
      <c r="G81" s="21" t="n">
        <f>5944819</f>
        <v>5944819.0</v>
      </c>
      <c r="H81" s="21"/>
      <c r="I81" s="21" t="n">
        <f>1886327</f>
        <v>1886327.0</v>
      </c>
      <c r="J81" s="21" t="n">
        <f>47942</f>
        <v>47942.0</v>
      </c>
      <c r="K81" s="21" t="n">
        <f>15212</f>
        <v>15212.0</v>
      </c>
      <c r="L81" s="4" t="s">
        <v>128</v>
      </c>
      <c r="M81" s="22" t="n">
        <f>519941</f>
        <v>519941.0</v>
      </c>
      <c r="N81" s="5" t="s">
        <v>132</v>
      </c>
      <c r="O81" s="23" t="n">
        <f>15788</f>
        <v>15788.0</v>
      </c>
      <c r="P81" s="3" t="s">
        <v>376</v>
      </c>
      <c r="Q81" s="21"/>
      <c r="R81" s="3" t="s">
        <v>377</v>
      </c>
      <c r="S81" s="21" t="n">
        <f>581620925177</f>
        <v>5.81620925177E11</v>
      </c>
      <c r="T81" s="21" t="n">
        <f>184376269250</f>
        <v>1.8437626925E11</v>
      </c>
      <c r="U81" s="5" t="s">
        <v>128</v>
      </c>
      <c r="V81" s="23" t="n">
        <f>6680429266000</f>
        <v>6.680429266E12</v>
      </c>
      <c r="W81" s="5" t="s">
        <v>132</v>
      </c>
      <c r="X81" s="23" t="n">
        <f>181611117000</f>
        <v>1.81611117E11</v>
      </c>
      <c r="Y81" s="23"/>
      <c r="Z81" s="21" t="str">
        <f>"－"</f>
        <v>－</v>
      </c>
      <c r="AA81" s="21" t="n">
        <f>400818</f>
        <v>400818.0</v>
      </c>
      <c r="AB81" s="4" t="s">
        <v>119</v>
      </c>
      <c r="AC81" s="22" t="n">
        <f>495098</f>
        <v>495098.0</v>
      </c>
      <c r="AD81" s="5" t="s">
        <v>319</v>
      </c>
      <c r="AE81" s="23" t="n">
        <f>309135</f>
        <v>309135.0</v>
      </c>
    </row>
    <row r="82">
      <c r="A82" s="24" t="s">
        <v>242</v>
      </c>
      <c r="B82" s="25" t="s">
        <v>243</v>
      </c>
      <c r="C82" s="26"/>
      <c r="D82" s="27"/>
      <c r="E82" s="28" t="s">
        <v>378</v>
      </c>
      <c r="F82" s="20" t="n">
        <f>122</f>
        <v>122.0</v>
      </c>
      <c r="G82" s="21" t="n">
        <f>8328256</f>
        <v>8328256.0</v>
      </c>
      <c r="H82" s="21"/>
      <c r="I82" s="21" t="n">
        <f>2033314</f>
        <v>2033314.0</v>
      </c>
      <c r="J82" s="21" t="n">
        <f>68264</f>
        <v>68264.0</v>
      </c>
      <c r="K82" s="21" t="n">
        <f>16667</f>
        <v>16667.0</v>
      </c>
      <c r="L82" s="4" t="s">
        <v>78</v>
      </c>
      <c r="M82" s="22" t="n">
        <f>559027</f>
        <v>559027.0</v>
      </c>
      <c r="N82" s="5" t="s">
        <v>379</v>
      </c>
      <c r="O82" s="23" t="n">
        <f>26954</f>
        <v>26954.0</v>
      </c>
      <c r="P82" s="3" t="s">
        <v>380</v>
      </c>
      <c r="Q82" s="21"/>
      <c r="R82" s="3" t="s">
        <v>381</v>
      </c>
      <c r="S82" s="21" t="n">
        <f>1081632834500</f>
        <v>1.0816328345E12</v>
      </c>
      <c r="T82" s="21" t="n">
        <f>266771955238</f>
        <v>2.66771955238E11</v>
      </c>
      <c r="U82" s="5" t="s">
        <v>78</v>
      </c>
      <c r="V82" s="23" t="n">
        <f>8932354559000</f>
        <v>8.932354559E12</v>
      </c>
      <c r="W82" s="5" t="s">
        <v>382</v>
      </c>
      <c r="X82" s="23" t="n">
        <f>445712550000</f>
        <v>4.4571255E11</v>
      </c>
      <c r="Y82" s="23"/>
      <c r="Z82" s="21" t="str">
        <f>"－"</f>
        <v>－</v>
      </c>
      <c r="AA82" s="21" t="n">
        <f>397920</f>
        <v>397920.0</v>
      </c>
      <c r="AB82" s="4" t="s">
        <v>137</v>
      </c>
      <c r="AC82" s="22" t="n">
        <f>500760</f>
        <v>500760.0</v>
      </c>
      <c r="AD82" s="5" t="s">
        <v>55</v>
      </c>
      <c r="AE82" s="23" t="n">
        <f>376935</f>
        <v>376935.0</v>
      </c>
    </row>
    <row r="83">
      <c r="A83" s="24" t="s">
        <v>242</v>
      </c>
      <c r="B83" s="25" t="s">
        <v>243</v>
      </c>
      <c r="C83" s="26"/>
      <c r="D83" s="27"/>
      <c r="E83" s="28" t="s">
        <v>383</v>
      </c>
      <c r="F83" s="20" t="n">
        <f>125</f>
        <v>125.0</v>
      </c>
      <c r="G83" s="21" t="n">
        <f>7537750</f>
        <v>7537750.0</v>
      </c>
      <c r="H83" s="21"/>
      <c r="I83" s="21" t="n">
        <f>1842433</f>
        <v>1842433.0</v>
      </c>
      <c r="J83" s="21" t="n">
        <f>60302</f>
        <v>60302.0</v>
      </c>
      <c r="K83" s="21" t="n">
        <f>14739</f>
        <v>14739.0</v>
      </c>
      <c r="L83" s="4" t="s">
        <v>84</v>
      </c>
      <c r="M83" s="22" t="n">
        <f>471132</f>
        <v>471132.0</v>
      </c>
      <c r="N83" s="5" t="s">
        <v>237</v>
      </c>
      <c r="O83" s="23" t="n">
        <f>23884</f>
        <v>23884.0</v>
      </c>
      <c r="P83" s="3" t="s">
        <v>384</v>
      </c>
      <c r="Q83" s="21"/>
      <c r="R83" s="3" t="s">
        <v>385</v>
      </c>
      <c r="S83" s="21" t="n">
        <f>970745365816</f>
        <v>9.70745365816E11</v>
      </c>
      <c r="T83" s="21" t="n">
        <f>237080388056</f>
        <v>2.37080388056E11</v>
      </c>
      <c r="U83" s="5" t="s">
        <v>84</v>
      </c>
      <c r="V83" s="23" t="n">
        <f>7756683961000</f>
        <v>7.756683961E12</v>
      </c>
      <c r="W83" s="5" t="s">
        <v>85</v>
      </c>
      <c r="X83" s="23" t="n">
        <f>377423745000</f>
        <v>3.77423745E11</v>
      </c>
      <c r="Y83" s="23"/>
      <c r="Z83" s="21" t="str">
        <f>"－"</f>
        <v>－</v>
      </c>
      <c r="AA83" s="21" t="n">
        <f>375404</f>
        <v>375404.0</v>
      </c>
      <c r="AB83" s="4" t="s">
        <v>84</v>
      </c>
      <c r="AC83" s="22" t="n">
        <f>490206</f>
        <v>490206.0</v>
      </c>
      <c r="AD83" s="5" t="s">
        <v>144</v>
      </c>
      <c r="AE83" s="23" t="n">
        <f>362020</f>
        <v>362020.0</v>
      </c>
    </row>
    <row r="84">
      <c r="A84" s="24" t="s">
        <v>242</v>
      </c>
      <c r="B84" s="25" t="s">
        <v>243</v>
      </c>
      <c r="C84" s="26"/>
      <c r="D84" s="27"/>
      <c r="E84" s="28" t="s">
        <v>386</v>
      </c>
      <c r="F84" s="20" t="n">
        <f>121</f>
        <v>121.0</v>
      </c>
      <c r="G84" s="21" t="n">
        <f>7192102</f>
        <v>7192102.0</v>
      </c>
      <c r="H84" s="21"/>
      <c r="I84" s="21" t="n">
        <f>1857342</f>
        <v>1857342.0</v>
      </c>
      <c r="J84" s="21" t="n">
        <f>59439</f>
        <v>59439.0</v>
      </c>
      <c r="K84" s="21" t="n">
        <f>15350</f>
        <v>15350.0</v>
      </c>
      <c r="L84" s="4" t="s">
        <v>146</v>
      </c>
      <c r="M84" s="22" t="n">
        <f>540098</f>
        <v>540098.0</v>
      </c>
      <c r="N84" s="5" t="s">
        <v>113</v>
      </c>
      <c r="O84" s="23" t="n">
        <f>18510</f>
        <v>18510.0</v>
      </c>
      <c r="P84" s="3" t="s">
        <v>387</v>
      </c>
      <c r="Q84" s="21"/>
      <c r="R84" s="3" t="s">
        <v>388</v>
      </c>
      <c r="S84" s="21" t="n">
        <f>991877082231</f>
        <v>9.91877082231E11</v>
      </c>
      <c r="T84" s="21" t="n">
        <f>253845591612</f>
        <v>2.53845591612E11</v>
      </c>
      <c r="U84" s="5" t="s">
        <v>146</v>
      </c>
      <c r="V84" s="23" t="n">
        <f>9170887319000</f>
        <v>9.170887319E12</v>
      </c>
      <c r="W84" s="5" t="s">
        <v>113</v>
      </c>
      <c r="X84" s="23" t="n">
        <f>308400392000</f>
        <v>3.08400392E11</v>
      </c>
      <c r="Y84" s="23"/>
      <c r="Z84" s="21" t="str">
        <f>"－"</f>
        <v>－</v>
      </c>
      <c r="AA84" s="21" t="n">
        <f>380801</f>
        <v>380801.0</v>
      </c>
      <c r="AB84" s="4" t="s">
        <v>68</v>
      </c>
      <c r="AC84" s="22" t="n">
        <f>508998</f>
        <v>508998.0</v>
      </c>
      <c r="AD84" s="5" t="s">
        <v>241</v>
      </c>
      <c r="AE84" s="23" t="n">
        <f>343200</f>
        <v>343200.0</v>
      </c>
    </row>
    <row r="85">
      <c r="A85" s="24" t="s">
        <v>242</v>
      </c>
      <c r="B85" s="25" t="s">
        <v>243</v>
      </c>
      <c r="C85" s="26"/>
      <c r="D85" s="27"/>
      <c r="E85" s="28" t="s">
        <v>389</v>
      </c>
      <c r="F85" s="20" t="n">
        <f>124</f>
        <v>124.0</v>
      </c>
      <c r="G85" s="21" t="n">
        <f>8200268</f>
        <v>8200268.0</v>
      </c>
      <c r="H85" s="21"/>
      <c r="I85" s="21" t="n">
        <f>1898629</f>
        <v>1898629.0</v>
      </c>
      <c r="J85" s="21" t="n">
        <f>66131</f>
        <v>66131.0</v>
      </c>
      <c r="K85" s="21" t="n">
        <f>15312</f>
        <v>15312.0</v>
      </c>
      <c r="L85" s="4" t="s">
        <v>61</v>
      </c>
      <c r="M85" s="22" t="n">
        <f>527188</f>
        <v>527188.0</v>
      </c>
      <c r="N85" s="5" t="s">
        <v>390</v>
      </c>
      <c r="O85" s="23" t="n">
        <f>25926</f>
        <v>25926.0</v>
      </c>
      <c r="P85" s="3" t="s">
        <v>391</v>
      </c>
      <c r="Q85" s="21"/>
      <c r="R85" s="3" t="s">
        <v>392</v>
      </c>
      <c r="S85" s="21" t="n">
        <f>1105639050871</f>
        <v>1.105639050871E12</v>
      </c>
      <c r="T85" s="21" t="n">
        <f>254817251153</f>
        <v>2.54817251153E11</v>
      </c>
      <c r="U85" s="5" t="s">
        <v>272</v>
      </c>
      <c r="V85" s="23" t="n">
        <f>8851019789000</f>
        <v>8.851019789E12</v>
      </c>
      <c r="W85" s="5" t="s">
        <v>390</v>
      </c>
      <c r="X85" s="23" t="n">
        <f>462762359000</f>
        <v>4.62762359E11</v>
      </c>
      <c r="Y85" s="23"/>
      <c r="Z85" s="21" t="str">
        <f>"－"</f>
        <v>－</v>
      </c>
      <c r="AA85" s="21" t="n">
        <f>407439</f>
        <v>407439.0</v>
      </c>
      <c r="AB85" s="4" t="s">
        <v>192</v>
      </c>
      <c r="AC85" s="22" t="n">
        <f>514794</f>
        <v>514794.0</v>
      </c>
      <c r="AD85" s="5" t="s">
        <v>319</v>
      </c>
      <c r="AE85" s="23" t="n">
        <f>349519</f>
        <v>349519.0</v>
      </c>
    </row>
    <row r="86">
      <c r="A86" s="24" t="s">
        <v>242</v>
      </c>
      <c r="B86" s="25" t="s">
        <v>243</v>
      </c>
      <c r="C86" s="26"/>
      <c r="D86" s="27"/>
      <c r="E86" s="28" t="s">
        <v>393</v>
      </c>
      <c r="F86" s="20" t="n">
        <f>121</f>
        <v>121.0</v>
      </c>
      <c r="G86" s="21" t="n">
        <f>9181951</f>
        <v>9181951.0</v>
      </c>
      <c r="H86" s="21"/>
      <c r="I86" s="21" t="n">
        <f>1620729</f>
        <v>1620729.0</v>
      </c>
      <c r="J86" s="21" t="n">
        <f>75884</f>
        <v>75884.0</v>
      </c>
      <c r="K86" s="21" t="n">
        <f>13394</f>
        <v>13394.0</v>
      </c>
      <c r="L86" s="4" t="s">
        <v>241</v>
      </c>
      <c r="M86" s="22" t="n">
        <f>514161</f>
        <v>514161.0</v>
      </c>
      <c r="N86" s="5" t="s">
        <v>50</v>
      </c>
      <c r="O86" s="23" t="n">
        <f>19689</f>
        <v>19689.0</v>
      </c>
      <c r="P86" s="3" t="s">
        <v>394</v>
      </c>
      <c r="Q86" s="21"/>
      <c r="R86" s="3" t="s">
        <v>395</v>
      </c>
      <c r="S86" s="21" t="n">
        <f>1069962261058</f>
        <v>1.069962261058E12</v>
      </c>
      <c r="T86" s="21" t="n">
        <f>192981317198</f>
        <v>1.92981317198E11</v>
      </c>
      <c r="U86" s="5" t="s">
        <v>241</v>
      </c>
      <c r="V86" s="23" t="n">
        <f>8062300984000</f>
        <v>8.062300984E12</v>
      </c>
      <c r="W86" s="5" t="s">
        <v>50</v>
      </c>
      <c r="X86" s="23" t="n">
        <f>296517929000</f>
        <v>2.96517929E11</v>
      </c>
      <c r="Y86" s="23"/>
      <c r="Z86" s="21" t="n">
        <f>201257</f>
        <v>201257.0</v>
      </c>
      <c r="AA86" s="21" t="n">
        <f>376882</f>
        <v>376882.0</v>
      </c>
      <c r="AB86" s="4" t="s">
        <v>171</v>
      </c>
      <c r="AC86" s="22" t="n">
        <f>616685</f>
        <v>616685.0</v>
      </c>
      <c r="AD86" s="5" t="s">
        <v>396</v>
      </c>
      <c r="AE86" s="23" t="n">
        <f>354466</f>
        <v>354466.0</v>
      </c>
    </row>
    <row r="87">
      <c r="A87" s="24" t="s">
        <v>242</v>
      </c>
      <c r="B87" s="25" t="s">
        <v>243</v>
      </c>
      <c r="C87" s="26"/>
      <c r="D87" s="27"/>
      <c r="E87" s="28" t="s">
        <v>397</v>
      </c>
      <c r="F87" s="20" t="n">
        <f>125</f>
        <v>125.0</v>
      </c>
      <c r="G87" s="21" t="n">
        <f>8616664</f>
        <v>8616664.0</v>
      </c>
      <c r="H87" s="21"/>
      <c r="I87" s="21" t="n">
        <f>1254484</f>
        <v>1254484.0</v>
      </c>
      <c r="J87" s="21" t="n">
        <f>68933</f>
        <v>68933.0</v>
      </c>
      <c r="K87" s="21" t="n">
        <f>10036</f>
        <v>10036.0</v>
      </c>
      <c r="L87" s="4" t="s">
        <v>119</v>
      </c>
      <c r="M87" s="22" t="n">
        <f>460947</f>
        <v>460947.0</v>
      </c>
      <c r="N87" s="5" t="s">
        <v>398</v>
      </c>
      <c r="O87" s="23" t="n">
        <f>27344</f>
        <v>27344.0</v>
      </c>
      <c r="P87" s="3" t="s">
        <v>399</v>
      </c>
      <c r="Q87" s="21"/>
      <c r="R87" s="3" t="s">
        <v>400</v>
      </c>
      <c r="S87" s="21" t="n">
        <f>890327189032</f>
        <v>8.90327189032E11</v>
      </c>
      <c r="T87" s="21" t="n">
        <f>129830807384</f>
        <v>1.29830807384E11</v>
      </c>
      <c r="U87" s="5" t="s">
        <v>75</v>
      </c>
      <c r="V87" s="23" t="n">
        <f>5844524342000</f>
        <v>5.844524342E12</v>
      </c>
      <c r="W87" s="5" t="s">
        <v>398</v>
      </c>
      <c r="X87" s="23" t="n">
        <f>334946587000</f>
        <v>3.34946587E11</v>
      </c>
      <c r="Y87" s="23"/>
      <c r="Z87" s="21" t="n">
        <f>753620</f>
        <v>753620.0</v>
      </c>
      <c r="AA87" s="21" t="n">
        <f>363960</f>
        <v>363960.0</v>
      </c>
      <c r="AB87" s="4" t="s">
        <v>319</v>
      </c>
      <c r="AC87" s="22" t="n">
        <f>495317</f>
        <v>495317.0</v>
      </c>
      <c r="AD87" s="5" t="s">
        <v>166</v>
      </c>
      <c r="AE87" s="23" t="n">
        <f>332094</f>
        <v>332094.0</v>
      </c>
    </row>
    <row r="88">
      <c r="A88" s="24" t="s">
        <v>242</v>
      </c>
      <c r="B88" s="25" t="s">
        <v>243</v>
      </c>
      <c r="C88" s="26"/>
      <c r="D88" s="27"/>
      <c r="E88" s="28" t="s">
        <v>401</v>
      </c>
      <c r="F88" s="20" t="n">
        <f>120</f>
        <v>120.0</v>
      </c>
      <c r="G88" s="21" t="n">
        <f>8978198</f>
        <v>8978198.0</v>
      </c>
      <c r="H88" s="21"/>
      <c r="I88" s="21" t="n">
        <f>1807608</f>
        <v>1807608.0</v>
      </c>
      <c r="J88" s="21" t="n">
        <f>74818</f>
        <v>74818.0</v>
      </c>
      <c r="K88" s="21" t="n">
        <f>15063</f>
        <v>15063.0</v>
      </c>
      <c r="L88" s="4" t="s">
        <v>53</v>
      </c>
      <c r="M88" s="22" t="n">
        <f>556116</f>
        <v>556116.0</v>
      </c>
      <c r="N88" s="5" t="s">
        <v>113</v>
      </c>
      <c r="O88" s="23" t="n">
        <f>18734</f>
        <v>18734.0</v>
      </c>
      <c r="P88" s="3" t="s">
        <v>402</v>
      </c>
      <c r="Q88" s="21"/>
      <c r="R88" s="3" t="s">
        <v>403</v>
      </c>
      <c r="S88" s="21" t="n">
        <f>610868100808</f>
        <v>6.10868100808E11</v>
      </c>
      <c r="T88" s="21" t="n">
        <f>119535156233</f>
        <v>1.19535156233E11</v>
      </c>
      <c r="U88" s="5" t="s">
        <v>53</v>
      </c>
      <c r="V88" s="23" t="n">
        <f>3895954757000</f>
        <v>3.895954757E12</v>
      </c>
      <c r="W88" s="5" t="s">
        <v>113</v>
      </c>
      <c r="X88" s="23" t="n">
        <f>156212247000</f>
        <v>1.56212247E11</v>
      </c>
      <c r="Y88" s="23"/>
      <c r="Z88" s="21" t="n">
        <f>681352</f>
        <v>681352.0</v>
      </c>
      <c r="AA88" s="21" t="n">
        <f>405747</f>
        <v>405747.0</v>
      </c>
      <c r="AB88" s="4" t="s">
        <v>116</v>
      </c>
      <c r="AC88" s="22" t="n">
        <f>507405</f>
        <v>507405.0</v>
      </c>
      <c r="AD88" s="5" t="s">
        <v>404</v>
      </c>
      <c r="AE88" s="23" t="n">
        <f>349717</f>
        <v>349717.0</v>
      </c>
    </row>
    <row r="89">
      <c r="A89" s="24" t="s">
        <v>242</v>
      </c>
      <c r="B89" s="25" t="s">
        <v>243</v>
      </c>
      <c r="C89" s="26"/>
      <c r="D89" s="27"/>
      <c r="E89" s="28" t="s">
        <v>405</v>
      </c>
      <c r="F89" s="20" t="n">
        <f>123</f>
        <v>123.0</v>
      </c>
      <c r="G89" s="21" t="n">
        <f>7365695</f>
        <v>7365695.0</v>
      </c>
      <c r="H89" s="21"/>
      <c r="I89" s="21" t="n">
        <f>1278223</f>
        <v>1278223.0</v>
      </c>
      <c r="J89" s="21" t="n">
        <f>59884</f>
        <v>59884.0</v>
      </c>
      <c r="K89" s="21" t="n">
        <f>10392</f>
        <v>10392.0</v>
      </c>
      <c r="L89" s="4" t="s">
        <v>88</v>
      </c>
      <c r="M89" s="22" t="n">
        <f>479714</f>
        <v>479714.0</v>
      </c>
      <c r="N89" s="5" t="s">
        <v>406</v>
      </c>
      <c r="O89" s="23" t="n">
        <f>27032</f>
        <v>27032.0</v>
      </c>
      <c r="P89" s="3" t="s">
        <v>407</v>
      </c>
      <c r="Q89" s="21"/>
      <c r="R89" s="3" t="s">
        <v>408</v>
      </c>
      <c r="S89" s="21" t="n">
        <f>546193545455</f>
        <v>5.46193545455E11</v>
      </c>
      <c r="T89" s="21" t="n">
        <f>95823705797</f>
        <v>9.5823705797E10</v>
      </c>
      <c r="U89" s="5" t="s">
        <v>88</v>
      </c>
      <c r="V89" s="23" t="n">
        <f>4422252038000</f>
        <v>4.422252038E12</v>
      </c>
      <c r="W89" s="5" t="s">
        <v>406</v>
      </c>
      <c r="X89" s="23" t="n">
        <f>261517444000</f>
        <v>2.61517444E11</v>
      </c>
      <c r="Y89" s="23"/>
      <c r="Z89" s="21" t="n">
        <f>813704</f>
        <v>813704.0</v>
      </c>
      <c r="AA89" s="21" t="n">
        <f>347612</f>
        <v>347612.0</v>
      </c>
      <c r="AB89" s="4" t="s">
        <v>107</v>
      </c>
      <c r="AC89" s="22" t="n">
        <f>524349</f>
        <v>524349.0</v>
      </c>
      <c r="AD89" s="5" t="s">
        <v>192</v>
      </c>
      <c r="AE89" s="23" t="n">
        <f>319799</f>
        <v>319799.0</v>
      </c>
    </row>
    <row r="90">
      <c r="A90" s="24" t="s">
        <v>242</v>
      </c>
      <c r="B90" s="25" t="s">
        <v>243</v>
      </c>
      <c r="C90" s="26"/>
      <c r="D90" s="27"/>
      <c r="E90" s="28" t="s">
        <v>409</v>
      </c>
      <c r="F90" s="20" t="n">
        <f>121</f>
        <v>121.0</v>
      </c>
      <c r="G90" s="21" t="n">
        <f>7536824</f>
        <v>7536824.0</v>
      </c>
      <c r="H90" s="21"/>
      <c r="I90" s="21" t="n">
        <f>1243612</f>
        <v>1243612.0</v>
      </c>
      <c r="J90" s="21" t="n">
        <f>62288</f>
        <v>62288.0</v>
      </c>
      <c r="K90" s="21" t="n">
        <f>10278</f>
        <v>10278.0</v>
      </c>
      <c r="L90" s="4" t="s">
        <v>64</v>
      </c>
      <c r="M90" s="22" t="n">
        <f>439056</f>
        <v>439056.0</v>
      </c>
      <c r="N90" s="5" t="s">
        <v>113</v>
      </c>
      <c r="O90" s="23" t="n">
        <f>20343</f>
        <v>20343.0</v>
      </c>
      <c r="P90" s="3" t="s">
        <v>410</v>
      </c>
      <c r="Q90" s="21"/>
      <c r="R90" s="3" t="s">
        <v>411</v>
      </c>
      <c r="S90" s="21" t="n">
        <f>561524084405</f>
        <v>5.61524084405E11</v>
      </c>
      <c r="T90" s="21" t="n">
        <f>93002835983</f>
        <v>9.3002835983E10</v>
      </c>
      <c r="U90" s="5" t="s">
        <v>64</v>
      </c>
      <c r="V90" s="23" t="n">
        <f>3930487676000</f>
        <v>3.930487676E12</v>
      </c>
      <c r="W90" s="5" t="s">
        <v>113</v>
      </c>
      <c r="X90" s="23" t="n">
        <f>185194939000</f>
        <v>1.85194939E11</v>
      </c>
      <c r="Y90" s="23"/>
      <c r="Z90" s="21" t="n">
        <f>973609</f>
        <v>973609.0</v>
      </c>
      <c r="AA90" s="21" t="n">
        <f>369819</f>
        <v>369819.0</v>
      </c>
      <c r="AB90" s="4" t="s">
        <v>81</v>
      </c>
      <c r="AC90" s="22" t="n">
        <f>470407</f>
        <v>470407.0</v>
      </c>
      <c r="AD90" s="5" t="s">
        <v>94</v>
      </c>
      <c r="AE90" s="23" t="n">
        <f>323760</f>
        <v>323760.0</v>
      </c>
    </row>
    <row r="91">
      <c r="A91" s="24" t="s">
        <v>242</v>
      </c>
      <c r="B91" s="25" t="s">
        <v>243</v>
      </c>
      <c r="C91" s="26"/>
      <c r="D91" s="27"/>
      <c r="E91" s="28" t="s">
        <v>412</v>
      </c>
      <c r="F91" s="20" t="n">
        <f>124</f>
        <v>124.0</v>
      </c>
      <c r="G91" s="21" t="n">
        <f>7463243</f>
        <v>7463243.0</v>
      </c>
      <c r="H91" s="21"/>
      <c r="I91" s="21" t="n">
        <f>1219406</f>
        <v>1219406.0</v>
      </c>
      <c r="J91" s="21" t="n">
        <f>60187</f>
        <v>60187.0</v>
      </c>
      <c r="K91" s="21" t="n">
        <f>9834</f>
        <v>9834.0</v>
      </c>
      <c r="L91" s="4" t="s">
        <v>143</v>
      </c>
      <c r="M91" s="22" t="n">
        <f>467328</f>
        <v>467328.0</v>
      </c>
      <c r="N91" s="5" t="s">
        <v>132</v>
      </c>
      <c r="O91" s="23" t="n">
        <f>23436</f>
        <v>23436.0</v>
      </c>
      <c r="P91" s="3" t="s">
        <v>413</v>
      </c>
      <c r="Q91" s="21"/>
      <c r="R91" s="3" t="s">
        <v>414</v>
      </c>
      <c r="S91" s="21" t="n">
        <f>524024723024</f>
        <v>5.24024723024E11</v>
      </c>
      <c r="T91" s="21" t="n">
        <f>84764791113</f>
        <v>8.4764791113E10</v>
      </c>
      <c r="U91" s="5" t="s">
        <v>143</v>
      </c>
      <c r="V91" s="23" t="n">
        <f>4010403933000</f>
        <v>4.010403933E12</v>
      </c>
      <c r="W91" s="5" t="s">
        <v>132</v>
      </c>
      <c r="X91" s="23" t="n">
        <f>205259393000</f>
        <v>2.05259393E11</v>
      </c>
      <c r="Y91" s="23"/>
      <c r="Z91" s="21" t="n">
        <f>983631</f>
        <v>983631.0</v>
      </c>
      <c r="AA91" s="21" t="n">
        <f>379863</f>
        <v>379863.0</v>
      </c>
      <c r="AB91" s="4" t="s">
        <v>281</v>
      </c>
      <c r="AC91" s="22" t="n">
        <f>456706</f>
        <v>456706.0</v>
      </c>
      <c r="AD91" s="5" t="s">
        <v>205</v>
      </c>
      <c r="AE91" s="23" t="n">
        <f>334989</f>
        <v>334989.0</v>
      </c>
    </row>
    <row r="92">
      <c r="A92" s="24" t="s">
        <v>242</v>
      </c>
      <c r="B92" s="25" t="s">
        <v>243</v>
      </c>
      <c r="C92" s="26"/>
      <c r="D92" s="27"/>
      <c r="E92" s="28" t="s">
        <v>415</v>
      </c>
      <c r="F92" s="20" t="n">
        <f>121</f>
        <v>121.0</v>
      </c>
      <c r="G92" s="21" t="n">
        <f>7463737</f>
        <v>7463737.0</v>
      </c>
      <c r="H92" s="21"/>
      <c r="I92" s="21" t="n">
        <f>1367775</f>
        <v>1367775.0</v>
      </c>
      <c r="J92" s="21" t="n">
        <f>61684</f>
        <v>61684.0</v>
      </c>
      <c r="K92" s="21" t="n">
        <f>11304</f>
        <v>11304.0</v>
      </c>
      <c r="L92" s="4" t="s">
        <v>93</v>
      </c>
      <c r="M92" s="22" t="n">
        <f>503904</f>
        <v>503904.0</v>
      </c>
      <c r="N92" s="5" t="s">
        <v>65</v>
      </c>
      <c r="O92" s="23" t="n">
        <f>15576</f>
        <v>15576.0</v>
      </c>
      <c r="P92" s="3" t="s">
        <v>416</v>
      </c>
      <c r="Q92" s="21"/>
      <c r="R92" s="3" t="s">
        <v>417</v>
      </c>
      <c r="S92" s="21" t="n">
        <f>547608031000</f>
        <v>5.47608031E11</v>
      </c>
      <c r="T92" s="21" t="n">
        <f>101706358711</f>
        <v>1.01706358711E11</v>
      </c>
      <c r="U92" s="5" t="s">
        <v>93</v>
      </c>
      <c r="V92" s="23" t="n">
        <f>4736085091000</f>
        <v>4.736085091E12</v>
      </c>
      <c r="W92" s="5" t="s">
        <v>65</v>
      </c>
      <c r="X92" s="23" t="n">
        <f>140862655000</f>
        <v>1.40862655E11</v>
      </c>
      <c r="Y92" s="23"/>
      <c r="Z92" s="21" t="n">
        <f>1329885</f>
        <v>1329885.0</v>
      </c>
      <c r="AA92" s="21" t="n">
        <f>398930</f>
        <v>398930.0</v>
      </c>
      <c r="AB92" s="4" t="s">
        <v>49</v>
      </c>
      <c r="AC92" s="22" t="n">
        <f>510494</f>
        <v>510494.0</v>
      </c>
      <c r="AD92" s="5" t="s">
        <v>138</v>
      </c>
      <c r="AE92" s="23" t="n">
        <f>357800</f>
        <v>357800.0</v>
      </c>
    </row>
    <row r="93">
      <c r="A93" s="24" t="s">
        <v>242</v>
      </c>
      <c r="B93" s="25" t="s">
        <v>243</v>
      </c>
      <c r="C93" s="26"/>
      <c r="D93" s="27"/>
      <c r="E93" s="28" t="s">
        <v>418</v>
      </c>
      <c r="F93" s="20" t="n">
        <f>124</f>
        <v>124.0</v>
      </c>
      <c r="G93" s="21" t="n">
        <f>7387683</f>
        <v>7387683.0</v>
      </c>
      <c r="H93" s="21"/>
      <c r="I93" s="21" t="n">
        <f>1312931</f>
        <v>1312931.0</v>
      </c>
      <c r="J93" s="21" t="n">
        <f>59578</f>
        <v>59578.0</v>
      </c>
      <c r="K93" s="21" t="n">
        <f>10588</f>
        <v>10588.0</v>
      </c>
      <c r="L93" s="4" t="s">
        <v>71</v>
      </c>
      <c r="M93" s="22" t="n">
        <f>519890</f>
        <v>519890.0</v>
      </c>
      <c r="N93" s="5" t="s">
        <v>419</v>
      </c>
      <c r="O93" s="23" t="n">
        <f>19862</f>
        <v>19862.0</v>
      </c>
      <c r="P93" s="3" t="s">
        <v>420</v>
      </c>
      <c r="Q93" s="21"/>
      <c r="R93" s="3" t="s">
        <v>421</v>
      </c>
      <c r="S93" s="21" t="n">
        <f>477151319468</f>
        <v>4.77151319468E11</v>
      </c>
      <c r="T93" s="21" t="n">
        <f>83193273218</f>
        <v>8.3193273218E10</v>
      </c>
      <c r="U93" s="5" t="s">
        <v>71</v>
      </c>
      <c r="V93" s="23" t="n">
        <f>4201832329000</f>
        <v>4.201832329E12</v>
      </c>
      <c r="W93" s="5" t="s">
        <v>419</v>
      </c>
      <c r="X93" s="23" t="n">
        <f>167469085000</f>
        <v>1.67469085E11</v>
      </c>
      <c r="Y93" s="23"/>
      <c r="Z93" s="21" t="n">
        <f>1286114</f>
        <v>1286114.0</v>
      </c>
      <c r="AA93" s="21" t="n">
        <f>416158</f>
        <v>416158.0</v>
      </c>
      <c r="AB93" s="4" t="s">
        <v>119</v>
      </c>
      <c r="AC93" s="22" t="n">
        <f>499430</f>
        <v>499430.0</v>
      </c>
      <c r="AD93" s="5" t="s">
        <v>132</v>
      </c>
      <c r="AE93" s="23" t="n">
        <f>362040</f>
        <v>362040.0</v>
      </c>
    </row>
    <row r="94">
      <c r="A94" s="24" t="s">
        <v>242</v>
      </c>
      <c r="B94" s="25" t="s">
        <v>243</v>
      </c>
      <c r="C94" s="26"/>
      <c r="D94" s="27"/>
      <c r="E94" s="28" t="s">
        <v>422</v>
      </c>
      <c r="F94" s="20" t="n">
        <f>122</f>
        <v>122.0</v>
      </c>
      <c r="G94" s="21" t="n">
        <f>6840864</f>
        <v>6840864.0</v>
      </c>
      <c r="H94" s="21"/>
      <c r="I94" s="21" t="n">
        <f>1444078</f>
        <v>1444078.0</v>
      </c>
      <c r="J94" s="21" t="n">
        <f>56073</f>
        <v>56073.0</v>
      </c>
      <c r="K94" s="21" t="n">
        <f>11837</f>
        <v>11837.0</v>
      </c>
      <c r="L94" s="4" t="s">
        <v>90</v>
      </c>
      <c r="M94" s="22" t="n">
        <f>615859</f>
        <v>615859.0</v>
      </c>
      <c r="N94" s="5" t="s">
        <v>50</v>
      </c>
      <c r="O94" s="23" t="n">
        <f>12987</f>
        <v>12987.0</v>
      </c>
      <c r="P94" s="3" t="s">
        <v>423</v>
      </c>
      <c r="Q94" s="21"/>
      <c r="R94" s="3" t="s">
        <v>424</v>
      </c>
      <c r="S94" s="21" t="n">
        <f>436916082803</f>
        <v>4.36916082803E11</v>
      </c>
      <c r="T94" s="21" t="n">
        <f>92794468689</f>
        <v>9.2794468689E10</v>
      </c>
      <c r="U94" s="5" t="s">
        <v>90</v>
      </c>
      <c r="V94" s="23" t="n">
        <f>5098170972000</f>
        <v>5.098170972E12</v>
      </c>
      <c r="W94" s="5" t="s">
        <v>50</v>
      </c>
      <c r="X94" s="23" t="n">
        <f>94283954000</f>
        <v>9.4283954E10</v>
      </c>
      <c r="Y94" s="23"/>
      <c r="Z94" s="21" t="n">
        <f>1348478</f>
        <v>1348478.0</v>
      </c>
      <c r="AA94" s="21" t="n">
        <f>441996</f>
        <v>441996.0</v>
      </c>
      <c r="AB94" s="4" t="s">
        <v>68</v>
      </c>
      <c r="AC94" s="22" t="n">
        <f>534950</f>
        <v>534950.0</v>
      </c>
      <c r="AD94" s="5" t="s">
        <v>138</v>
      </c>
      <c r="AE94" s="23" t="n">
        <f>355085</f>
        <v>355085.0</v>
      </c>
    </row>
    <row r="95">
      <c r="A95" s="24" t="s">
        <v>242</v>
      </c>
      <c r="B95" s="25" t="s">
        <v>243</v>
      </c>
      <c r="C95" s="26"/>
      <c r="D95" s="27"/>
      <c r="E95" s="28" t="s">
        <v>425</v>
      </c>
      <c r="F95" s="20" t="n">
        <f>125</f>
        <v>125.0</v>
      </c>
      <c r="G95" s="21" t="n">
        <f>7737323</f>
        <v>7737323.0</v>
      </c>
      <c r="H95" s="21"/>
      <c r="I95" s="21" t="n">
        <f>1646198</f>
        <v>1646198.0</v>
      </c>
      <c r="J95" s="21" t="n">
        <f>61899</f>
        <v>61899.0</v>
      </c>
      <c r="K95" s="21" t="n">
        <f>13170</f>
        <v>13170.0</v>
      </c>
      <c r="L95" s="4" t="s">
        <v>272</v>
      </c>
      <c r="M95" s="22" t="n">
        <f>581428</f>
        <v>581428.0</v>
      </c>
      <c r="N95" s="5" t="s">
        <v>406</v>
      </c>
      <c r="O95" s="23" t="n">
        <f>24455</f>
        <v>24455.0</v>
      </c>
      <c r="P95" s="3" t="s">
        <v>426</v>
      </c>
      <c r="Q95" s="21"/>
      <c r="R95" s="3" t="s">
        <v>427</v>
      </c>
      <c r="S95" s="21" t="n">
        <f>459736135384</f>
        <v>4.59736135384E11</v>
      </c>
      <c r="T95" s="21" t="n">
        <f>95990274616</f>
        <v>9.5990274616E10</v>
      </c>
      <c r="U95" s="5" t="s">
        <v>272</v>
      </c>
      <c r="V95" s="23" t="n">
        <f>4074698504000</f>
        <v>4.074698504E12</v>
      </c>
      <c r="W95" s="5" t="s">
        <v>406</v>
      </c>
      <c r="X95" s="23" t="n">
        <f>182529063000</f>
        <v>1.82529063E11</v>
      </c>
      <c r="Y95" s="23"/>
      <c r="Z95" s="21" t="n">
        <f>1482490</f>
        <v>1482490.0</v>
      </c>
      <c r="AA95" s="21" t="n">
        <f>389990</f>
        <v>389990.0</v>
      </c>
      <c r="AB95" s="4" t="s">
        <v>143</v>
      </c>
      <c r="AC95" s="22" t="n">
        <f>544721</f>
        <v>544721.0</v>
      </c>
      <c r="AD95" s="5" t="s">
        <v>100</v>
      </c>
      <c r="AE95" s="23" t="n">
        <f>341835</f>
        <v>341835.0</v>
      </c>
    </row>
    <row r="96">
      <c r="A96" s="24" t="s">
        <v>242</v>
      </c>
      <c r="B96" s="25" t="s">
        <v>243</v>
      </c>
      <c r="C96" s="26"/>
      <c r="D96" s="27"/>
      <c r="E96" s="28" t="s">
        <v>428</v>
      </c>
      <c r="F96" s="20" t="n">
        <f>120</f>
        <v>120.0</v>
      </c>
      <c r="G96" s="21" t="n">
        <f>8972684</f>
        <v>8972684.0</v>
      </c>
      <c r="H96" s="21"/>
      <c r="I96" s="21" t="n">
        <f>1737323</f>
        <v>1737323.0</v>
      </c>
      <c r="J96" s="21" t="n">
        <f>74772</f>
        <v>74772.0</v>
      </c>
      <c r="K96" s="21" t="n">
        <f>14478</f>
        <v>14478.0</v>
      </c>
      <c r="L96" s="4" t="s">
        <v>155</v>
      </c>
      <c r="M96" s="22" t="n">
        <f>643443</f>
        <v>643443.0</v>
      </c>
      <c r="N96" s="5" t="s">
        <v>429</v>
      </c>
      <c r="O96" s="23" t="n">
        <f>25689</f>
        <v>25689.0</v>
      </c>
      <c r="P96" s="3" t="s">
        <v>430</v>
      </c>
      <c r="Q96" s="21"/>
      <c r="R96" s="3" t="s">
        <v>431</v>
      </c>
      <c r="S96" s="21" t="n">
        <f>665243319375</f>
        <v>6.65243319375E11</v>
      </c>
      <c r="T96" s="21" t="n">
        <f>129587495600</f>
        <v>1.295874956E11</v>
      </c>
      <c r="U96" s="5" t="s">
        <v>155</v>
      </c>
      <c r="V96" s="23" t="n">
        <f>6384117791000</f>
        <v>6.384117791E12</v>
      </c>
      <c r="W96" s="5" t="s">
        <v>432</v>
      </c>
      <c r="X96" s="23" t="n">
        <f>191484496000</f>
        <v>1.91484496E11</v>
      </c>
      <c r="Y96" s="23"/>
      <c r="Z96" s="21" t="n">
        <f>1799800</f>
        <v>1799800.0</v>
      </c>
      <c r="AA96" s="21" t="n">
        <f>536155</f>
        <v>536155.0</v>
      </c>
      <c r="AB96" s="4" t="s">
        <v>93</v>
      </c>
      <c r="AC96" s="22" t="n">
        <f>669429</f>
        <v>669429.0</v>
      </c>
      <c r="AD96" s="5" t="s">
        <v>82</v>
      </c>
      <c r="AE96" s="23" t="n">
        <f>380543</f>
        <v>380543.0</v>
      </c>
    </row>
    <row r="97">
      <c r="A97" s="24" t="s">
        <v>242</v>
      </c>
      <c r="B97" s="25" t="s">
        <v>243</v>
      </c>
      <c r="C97" s="26"/>
      <c r="D97" s="27"/>
      <c r="E97" s="28" t="s">
        <v>433</v>
      </c>
      <c r="F97" s="20" t="n">
        <f>125</f>
        <v>125.0</v>
      </c>
      <c r="G97" s="21" t="n">
        <f>12326577</f>
        <v>1.2326577E7</v>
      </c>
      <c r="H97" s="21"/>
      <c r="I97" s="21" t="n">
        <f>2193808</f>
        <v>2193808.0</v>
      </c>
      <c r="J97" s="21" t="n">
        <f>98613</f>
        <v>98613.0</v>
      </c>
      <c r="K97" s="21" t="n">
        <f>17550</f>
        <v>17550.0</v>
      </c>
      <c r="L97" s="4" t="s">
        <v>193</v>
      </c>
      <c r="M97" s="22" t="n">
        <f>747937</f>
        <v>747937.0</v>
      </c>
      <c r="N97" s="5" t="s">
        <v>434</v>
      </c>
      <c r="O97" s="23" t="n">
        <f>29066</f>
        <v>29066.0</v>
      </c>
      <c r="P97" s="3" t="s">
        <v>435</v>
      </c>
      <c r="Q97" s="21"/>
      <c r="R97" s="3" t="s">
        <v>436</v>
      </c>
      <c r="S97" s="21" t="n">
        <f>1129490180096</f>
        <v>1.129490180096E12</v>
      </c>
      <c r="T97" s="21" t="n">
        <f>200351474488</f>
        <v>2.00351474488E11</v>
      </c>
      <c r="U97" s="5" t="s">
        <v>193</v>
      </c>
      <c r="V97" s="23" t="n">
        <f>8302329046000</f>
        <v>8.302329046E12</v>
      </c>
      <c r="W97" s="5" t="s">
        <v>434</v>
      </c>
      <c r="X97" s="23" t="n">
        <f>332400938000</f>
        <v>3.32400938E11</v>
      </c>
      <c r="Y97" s="23"/>
      <c r="Z97" s="21" t="n">
        <f>2191795</f>
        <v>2191795.0</v>
      </c>
      <c r="AA97" s="21" t="n">
        <f>522491</f>
        <v>522491.0</v>
      </c>
      <c r="AB97" s="4" t="s">
        <v>107</v>
      </c>
      <c r="AC97" s="22" t="n">
        <f>705332</f>
        <v>705332.0</v>
      </c>
      <c r="AD97" s="5" t="s">
        <v>166</v>
      </c>
      <c r="AE97" s="23" t="n">
        <f>469574</f>
        <v>469574.0</v>
      </c>
    </row>
    <row r="98">
      <c r="A98" s="24" t="s">
        <v>242</v>
      </c>
      <c r="B98" s="25" t="s">
        <v>243</v>
      </c>
      <c r="C98" s="26"/>
      <c r="D98" s="27"/>
      <c r="E98" s="28" t="s">
        <v>437</v>
      </c>
      <c r="F98" s="20" t="n">
        <f>120</f>
        <v>120.0</v>
      </c>
      <c r="G98" s="21" t="n">
        <f>10776122</f>
        <v>1.0776122E7</v>
      </c>
      <c r="H98" s="21"/>
      <c r="I98" s="21" t="n">
        <f>1939803</f>
        <v>1939803.0</v>
      </c>
      <c r="J98" s="21" t="n">
        <f>89801</f>
        <v>89801.0</v>
      </c>
      <c r="K98" s="21" t="n">
        <f>16165</f>
        <v>16165.0</v>
      </c>
      <c r="L98" s="4" t="s">
        <v>49</v>
      </c>
      <c r="M98" s="22" t="n">
        <f>670427</f>
        <v>670427.0</v>
      </c>
      <c r="N98" s="5" t="s">
        <v>113</v>
      </c>
      <c r="O98" s="23" t="n">
        <f>26978</f>
        <v>26978.0</v>
      </c>
      <c r="P98" s="3" t="s">
        <v>438</v>
      </c>
      <c r="Q98" s="21"/>
      <c r="R98" s="3" t="s">
        <v>439</v>
      </c>
      <c r="S98" s="21" t="n">
        <f>1099979630000</f>
        <v>1.09997963E12</v>
      </c>
      <c r="T98" s="21" t="n">
        <f>198813912067</f>
        <v>1.98813912067E11</v>
      </c>
      <c r="U98" s="5" t="s">
        <v>49</v>
      </c>
      <c r="V98" s="23" t="n">
        <f>8420999669000</f>
        <v>8.420999669E12</v>
      </c>
      <c r="W98" s="5" t="s">
        <v>113</v>
      </c>
      <c r="X98" s="23" t="n">
        <f>339281390000</f>
        <v>3.3928139E11</v>
      </c>
      <c r="Y98" s="23"/>
      <c r="Z98" s="21" t="n">
        <f>2062183</f>
        <v>2062183.0</v>
      </c>
      <c r="AA98" s="21" t="n">
        <f>500651</f>
        <v>500651.0</v>
      </c>
      <c r="AB98" s="4" t="s">
        <v>138</v>
      </c>
      <c r="AC98" s="22" t="n">
        <f>784656</f>
        <v>784656.0</v>
      </c>
      <c r="AD98" s="5" t="s">
        <v>440</v>
      </c>
      <c r="AE98" s="23" t="n">
        <f>470367</f>
        <v>470367.0</v>
      </c>
    </row>
    <row r="99">
      <c r="A99" s="24" t="s">
        <v>242</v>
      </c>
      <c r="B99" s="25" t="s">
        <v>243</v>
      </c>
      <c r="C99" s="26"/>
      <c r="D99" s="27"/>
      <c r="E99" s="28" t="s">
        <v>441</v>
      </c>
      <c r="F99" s="20" t="n">
        <f>125</f>
        <v>125.0</v>
      </c>
      <c r="G99" s="21" t="n">
        <f>9137317</f>
        <v>9137317.0</v>
      </c>
      <c r="H99" s="21"/>
      <c r="I99" s="21" t="n">
        <f>2082700</f>
        <v>2082700.0</v>
      </c>
      <c r="J99" s="21" t="n">
        <f>73099</f>
        <v>73099.0</v>
      </c>
      <c r="K99" s="21" t="n">
        <f>16662</f>
        <v>16662.0</v>
      </c>
      <c r="L99" s="4" t="s">
        <v>75</v>
      </c>
      <c r="M99" s="22" t="n">
        <f>671141</f>
        <v>671141.0</v>
      </c>
      <c r="N99" s="5" t="s">
        <v>442</v>
      </c>
      <c r="O99" s="23" t="n">
        <f>25347</f>
        <v>25347.0</v>
      </c>
      <c r="P99" s="3" t="s">
        <v>443</v>
      </c>
      <c r="Q99" s="21"/>
      <c r="R99" s="3" t="s">
        <v>444</v>
      </c>
      <c r="S99" s="21" t="n">
        <f>913594281480</f>
        <v>9.1359428148E11</v>
      </c>
      <c r="T99" s="21" t="n">
        <f>210168544936</f>
        <v>2.10168544936E11</v>
      </c>
      <c r="U99" s="5" t="s">
        <v>119</v>
      </c>
      <c r="V99" s="23" t="n">
        <f>8495553544000</f>
        <v>8.495553544E12</v>
      </c>
      <c r="W99" s="5" t="s">
        <v>442</v>
      </c>
      <c r="X99" s="23" t="n">
        <f>324594100000</f>
        <v>3.245941E11</v>
      </c>
      <c r="Y99" s="23"/>
      <c r="Z99" s="21" t="n">
        <f>1828101</f>
        <v>1828101.0</v>
      </c>
      <c r="AA99" s="21" t="n">
        <f>544633</f>
        <v>544633.0</v>
      </c>
      <c r="AB99" s="4" t="s">
        <v>193</v>
      </c>
      <c r="AC99" s="22" t="n">
        <f>628101</f>
        <v>628101.0</v>
      </c>
      <c r="AD99" s="5" t="s">
        <v>62</v>
      </c>
      <c r="AE99" s="23" t="n">
        <f>491525</f>
        <v>491525.0</v>
      </c>
    </row>
    <row r="100">
      <c r="A100" s="24" t="s">
        <v>242</v>
      </c>
      <c r="B100" s="25" t="s">
        <v>243</v>
      </c>
      <c r="C100" s="26"/>
      <c r="D100" s="27"/>
      <c r="E100" s="28" t="s">
        <v>48</v>
      </c>
      <c r="F100" s="20" t="n">
        <f>121</f>
        <v>121.0</v>
      </c>
      <c r="G100" s="21" t="n">
        <f>11719780</f>
        <v>1.171978E7</v>
      </c>
      <c r="H100" s="21"/>
      <c r="I100" s="21" t="n">
        <f>2620829</f>
        <v>2620829.0</v>
      </c>
      <c r="J100" s="21" t="n">
        <f>96858</f>
        <v>96858.0</v>
      </c>
      <c r="K100" s="21" t="n">
        <f>21660</f>
        <v>21660.0</v>
      </c>
      <c r="L100" s="4" t="s">
        <v>53</v>
      </c>
      <c r="M100" s="22" t="n">
        <f>689361</f>
        <v>689361.0</v>
      </c>
      <c r="N100" s="5" t="s">
        <v>113</v>
      </c>
      <c r="O100" s="23" t="n">
        <f>20038</f>
        <v>20038.0</v>
      </c>
      <c r="P100" s="3" t="s">
        <v>445</v>
      </c>
      <c r="Q100" s="21"/>
      <c r="R100" s="3" t="s">
        <v>446</v>
      </c>
      <c r="S100" s="21" t="n">
        <f>1378592315810</f>
        <v>1.37859231581E12</v>
      </c>
      <c r="T100" s="21" t="n">
        <f>314442233702</f>
        <v>3.14442233702E11</v>
      </c>
      <c r="U100" s="5" t="s">
        <v>53</v>
      </c>
      <c r="V100" s="23" t="n">
        <f>10547474563000</f>
        <v>1.0547474563E13</v>
      </c>
      <c r="W100" s="5" t="s">
        <v>113</v>
      </c>
      <c r="X100" s="23" t="n">
        <f>284956609000</f>
        <v>2.84956609E11</v>
      </c>
      <c r="Y100" s="23"/>
      <c r="Z100" s="21" t="n">
        <f>2490107</f>
        <v>2490107.0</v>
      </c>
      <c r="AA100" s="21" t="n">
        <f>649001</f>
        <v>649001.0</v>
      </c>
      <c r="AB100" s="4" t="s">
        <v>116</v>
      </c>
      <c r="AC100" s="22" t="n">
        <f>797826</f>
        <v>797826.0</v>
      </c>
      <c r="AD100" s="5" t="s">
        <v>447</v>
      </c>
      <c r="AE100" s="23" t="n">
        <f>488281</f>
        <v>488281.0</v>
      </c>
    </row>
    <row r="101">
      <c r="A101" s="24" t="s">
        <v>242</v>
      </c>
      <c r="B101" s="25" t="s">
        <v>243</v>
      </c>
      <c r="C101" s="26"/>
      <c r="D101" s="27"/>
      <c r="E101" s="28" t="s">
        <v>56</v>
      </c>
      <c r="F101" s="20" t="n">
        <f>123</f>
        <v>123.0</v>
      </c>
      <c r="G101" s="21" t="n">
        <f>11437195</f>
        <v>1.1437195E7</v>
      </c>
      <c r="H101" s="21"/>
      <c r="I101" s="21" t="n">
        <f>2261825</f>
        <v>2261825.0</v>
      </c>
      <c r="J101" s="21" t="n">
        <f>92985</f>
        <v>92985.0</v>
      </c>
      <c r="K101" s="21" t="n">
        <f>18389</f>
        <v>18389.0</v>
      </c>
      <c r="L101" s="4" t="s">
        <v>88</v>
      </c>
      <c r="M101" s="22" t="n">
        <f>721492</f>
        <v>721492.0</v>
      </c>
      <c r="N101" s="5" t="s">
        <v>163</v>
      </c>
      <c r="O101" s="23" t="n">
        <f>30219</f>
        <v>30219.0</v>
      </c>
      <c r="P101" s="3" t="s">
        <v>448</v>
      </c>
      <c r="Q101" s="21"/>
      <c r="R101" s="3" t="s">
        <v>449</v>
      </c>
      <c r="S101" s="21" t="n">
        <f>1462406711154</f>
        <v>1.462406711154E12</v>
      </c>
      <c r="T101" s="21" t="n">
        <f>287874071740</f>
        <v>2.8787407174E11</v>
      </c>
      <c r="U101" s="5" t="s">
        <v>88</v>
      </c>
      <c r="V101" s="23" t="n">
        <f>11903170241000</f>
        <v>1.1903170241E13</v>
      </c>
      <c r="W101" s="5" t="s">
        <v>163</v>
      </c>
      <c r="X101" s="23" t="n">
        <f>501797287000</f>
        <v>5.01797287E11</v>
      </c>
      <c r="Y101" s="23"/>
      <c r="Z101" s="21" t="n">
        <f>2457363</f>
        <v>2457363.0</v>
      </c>
      <c r="AA101" s="21" t="n">
        <f>551130</f>
        <v>551130.0</v>
      </c>
      <c r="AB101" s="4" t="s">
        <v>75</v>
      </c>
      <c r="AC101" s="22" t="n">
        <f>816960</f>
        <v>816960.0</v>
      </c>
      <c r="AD101" s="5" t="s">
        <v>450</v>
      </c>
      <c r="AE101" s="23" t="n">
        <f>534990</f>
        <v>534990.0</v>
      </c>
    </row>
    <row r="102">
      <c r="A102" s="24" t="s">
        <v>242</v>
      </c>
      <c r="B102" s="25" t="s">
        <v>243</v>
      </c>
      <c r="C102" s="26"/>
      <c r="D102" s="27"/>
      <c r="E102" s="28" t="s">
        <v>63</v>
      </c>
      <c r="F102" s="20" t="n">
        <f>122</f>
        <v>122.0</v>
      </c>
      <c r="G102" s="21" t="n">
        <f>11549652</f>
        <v>1.1549652E7</v>
      </c>
      <c r="H102" s="21"/>
      <c r="I102" s="21" t="n">
        <f>2339116</f>
        <v>2339116.0</v>
      </c>
      <c r="J102" s="21" t="n">
        <f>94669</f>
        <v>94669.0</v>
      </c>
      <c r="K102" s="21" t="n">
        <f>19173</f>
        <v>19173.0</v>
      </c>
      <c r="L102" s="4" t="s">
        <v>64</v>
      </c>
      <c r="M102" s="22" t="n">
        <f>718259</f>
        <v>718259.0</v>
      </c>
      <c r="N102" s="5" t="s">
        <v>113</v>
      </c>
      <c r="O102" s="23" t="n">
        <f>23730</f>
        <v>23730.0</v>
      </c>
      <c r="P102" s="3" t="s">
        <v>451</v>
      </c>
      <c r="Q102" s="21"/>
      <c r="R102" s="3" t="s">
        <v>452</v>
      </c>
      <c r="S102" s="21" t="n">
        <f>1371177179074</f>
        <v>1.371177179074E12</v>
      </c>
      <c r="T102" s="21" t="n">
        <f>282006661820</f>
        <v>2.8200666182E11</v>
      </c>
      <c r="U102" s="5" t="s">
        <v>64</v>
      </c>
      <c r="V102" s="23" t="n">
        <f>11335309600000</f>
        <v>1.13353096E13</v>
      </c>
      <c r="W102" s="5" t="s">
        <v>113</v>
      </c>
      <c r="X102" s="23" t="n">
        <f>360022590000</f>
        <v>3.6002259E11</v>
      </c>
      <c r="Y102" s="23"/>
      <c r="Z102" s="21" t="n">
        <f>2897789</f>
        <v>2897789.0</v>
      </c>
      <c r="AA102" s="21" t="n">
        <f>527406</f>
        <v>527406.0</v>
      </c>
      <c r="AB102" s="4" t="s">
        <v>64</v>
      </c>
      <c r="AC102" s="22" t="n">
        <f>744588</f>
        <v>744588.0</v>
      </c>
      <c r="AD102" s="5" t="s">
        <v>440</v>
      </c>
      <c r="AE102" s="23" t="n">
        <f>495677</f>
        <v>495677.0</v>
      </c>
    </row>
    <row r="103">
      <c r="A103" s="24" t="s">
        <v>242</v>
      </c>
      <c r="B103" s="25" t="s">
        <v>243</v>
      </c>
      <c r="C103" s="26"/>
      <c r="D103" s="27"/>
      <c r="E103" s="28" t="s">
        <v>70</v>
      </c>
      <c r="F103" s="20" t="n">
        <f>123</f>
        <v>123.0</v>
      </c>
      <c r="G103" s="21" t="n">
        <f>10398845</f>
        <v>1.0398845E7</v>
      </c>
      <c r="H103" s="21"/>
      <c r="I103" s="21" t="n">
        <f>2162796</f>
        <v>2162796.0</v>
      </c>
      <c r="J103" s="21" t="n">
        <f>84543</f>
        <v>84543.0</v>
      </c>
      <c r="K103" s="21" t="n">
        <f>17584</f>
        <v>17584.0</v>
      </c>
      <c r="L103" s="4" t="s">
        <v>71</v>
      </c>
      <c r="M103" s="22" t="n">
        <f>602065</f>
        <v>602065.0</v>
      </c>
      <c r="N103" s="5" t="s">
        <v>72</v>
      </c>
      <c r="O103" s="23" t="n">
        <f>30349</f>
        <v>30349.0</v>
      </c>
      <c r="P103" s="3" t="s">
        <v>453</v>
      </c>
      <c r="Q103" s="21"/>
      <c r="R103" s="3" t="s">
        <v>454</v>
      </c>
      <c r="S103" s="21" t="n">
        <f>1113055013332</f>
        <v>1.113055013332E12</v>
      </c>
      <c r="T103" s="21" t="n">
        <f>233203558739</f>
        <v>2.33203558739E11</v>
      </c>
      <c r="U103" s="5" t="s">
        <v>71</v>
      </c>
      <c r="V103" s="23" t="n">
        <f>8038132942000</f>
        <v>8.038132942E12</v>
      </c>
      <c r="W103" s="5" t="s">
        <v>72</v>
      </c>
      <c r="X103" s="23" t="n">
        <f>398347754700</f>
        <v>3.983477547E11</v>
      </c>
      <c r="Y103" s="23"/>
      <c r="Z103" s="21" t="n">
        <f>2555874</f>
        <v>2555874.0</v>
      </c>
      <c r="AA103" s="21" t="n">
        <f>444898</f>
        <v>444898.0</v>
      </c>
      <c r="AB103" s="4" t="s">
        <v>143</v>
      </c>
      <c r="AC103" s="22" t="n">
        <f>626328</f>
        <v>626328.0</v>
      </c>
      <c r="AD103" s="5" t="s">
        <v>144</v>
      </c>
      <c r="AE103" s="23" t="n">
        <f>398566</f>
        <v>398566.0</v>
      </c>
    </row>
    <row r="104">
      <c r="A104" s="24" t="s">
        <v>242</v>
      </c>
      <c r="B104" s="25" t="s">
        <v>243</v>
      </c>
      <c r="C104" s="26"/>
      <c r="D104" s="27"/>
      <c r="E104" s="28" t="s">
        <v>77</v>
      </c>
      <c r="F104" s="20" t="n">
        <f>122</f>
        <v>122.0</v>
      </c>
      <c r="G104" s="21" t="n">
        <f>11642707</f>
        <v>1.1642707E7</v>
      </c>
      <c r="H104" s="21"/>
      <c r="I104" s="21" t="n">
        <f>2701637</f>
        <v>2701637.0</v>
      </c>
      <c r="J104" s="21" t="n">
        <f>95432</f>
        <v>95432.0</v>
      </c>
      <c r="K104" s="21" t="n">
        <f>22145</f>
        <v>22145.0</v>
      </c>
      <c r="L104" s="4" t="s">
        <v>78</v>
      </c>
      <c r="M104" s="22" t="n">
        <f>780905</f>
        <v>780905.0</v>
      </c>
      <c r="N104" s="5" t="s">
        <v>455</v>
      </c>
      <c r="O104" s="23" t="n">
        <f>34173</f>
        <v>34173.0</v>
      </c>
      <c r="P104" s="3" t="s">
        <v>456</v>
      </c>
      <c r="Q104" s="21"/>
      <c r="R104" s="3" t="s">
        <v>457</v>
      </c>
      <c r="S104" s="21" t="n">
        <f>1423219155705</f>
        <v>1.423219155705E12</v>
      </c>
      <c r="T104" s="21" t="n">
        <f>333188241968</f>
        <v>3.33188241968E11</v>
      </c>
      <c r="U104" s="5" t="s">
        <v>78</v>
      </c>
      <c r="V104" s="23" t="n">
        <f>11541055510501</f>
        <v>1.1541055510501E13</v>
      </c>
      <c r="W104" s="5" t="s">
        <v>455</v>
      </c>
      <c r="X104" s="23" t="n">
        <f>530408051050</f>
        <v>5.3040805105E11</v>
      </c>
      <c r="Y104" s="23"/>
      <c r="Z104" s="21" t="n">
        <f>2591708</f>
        <v>2591708.0</v>
      </c>
      <c r="AA104" s="21" t="n">
        <f>597767</f>
        <v>597767.0</v>
      </c>
      <c r="AB104" s="4" t="s">
        <v>53</v>
      </c>
      <c r="AC104" s="22" t="n">
        <f>707420</f>
        <v>707420.0</v>
      </c>
      <c r="AD104" s="5" t="s">
        <v>82</v>
      </c>
      <c r="AE104" s="23" t="n">
        <f>449856</f>
        <v>449856.0</v>
      </c>
    </row>
    <row r="105">
      <c r="A105" s="24" t="s">
        <v>242</v>
      </c>
      <c r="B105" s="25" t="s">
        <v>243</v>
      </c>
      <c r="C105" s="26"/>
      <c r="D105" s="27"/>
      <c r="E105" s="28" t="s">
        <v>83</v>
      </c>
      <c r="F105" s="20" t="n">
        <f>124</f>
        <v>124.0</v>
      </c>
      <c r="G105" s="21" t="n">
        <f>11923249</f>
        <v>1.1923249E7</v>
      </c>
      <c r="H105" s="21"/>
      <c r="I105" s="21" t="n">
        <f>2540226</f>
        <v>2540226.0</v>
      </c>
      <c r="J105" s="21" t="n">
        <f>96155</f>
        <v>96155.0</v>
      </c>
      <c r="K105" s="21" t="n">
        <f>20486</f>
        <v>20486.0</v>
      </c>
      <c r="L105" s="4" t="s">
        <v>458</v>
      </c>
      <c r="M105" s="22" t="n">
        <f>901148</f>
        <v>901148.0</v>
      </c>
      <c r="N105" s="5" t="s">
        <v>238</v>
      </c>
      <c r="O105" s="23" t="n">
        <f>36813</f>
        <v>36813.0</v>
      </c>
      <c r="P105" s="3" t="s">
        <v>459</v>
      </c>
      <c r="Q105" s="21"/>
      <c r="R105" s="3" t="s">
        <v>460</v>
      </c>
      <c r="S105" s="21" t="n">
        <f>1530445454049</f>
        <v>1.530445454049E12</v>
      </c>
      <c r="T105" s="21" t="n">
        <f>326854976267</f>
        <v>3.26854976267E11</v>
      </c>
      <c r="U105" s="5" t="s">
        <v>458</v>
      </c>
      <c r="V105" s="23" t="n">
        <f>14339932748666</f>
        <v>1.4339932748666E13</v>
      </c>
      <c r="W105" s="5" t="s">
        <v>461</v>
      </c>
      <c r="X105" s="23" t="n">
        <f>569368986300</f>
        <v>5.693689863E11</v>
      </c>
      <c r="Y105" s="23"/>
      <c r="Z105" s="21" t="n">
        <f>2827940</f>
        <v>2827940.0</v>
      </c>
      <c r="AA105" s="21" t="n">
        <f>647913</f>
        <v>647913.0</v>
      </c>
      <c r="AB105" s="4" t="s">
        <v>96</v>
      </c>
      <c r="AC105" s="22" t="n">
        <f>744218</f>
        <v>744218.0</v>
      </c>
      <c r="AD105" s="5" t="s">
        <v>61</v>
      </c>
      <c r="AE105" s="23" t="n">
        <f>571706</f>
        <v>571706.0</v>
      </c>
    </row>
    <row r="106">
      <c r="A106" s="24" t="s">
        <v>242</v>
      </c>
      <c r="B106" s="25" t="s">
        <v>243</v>
      </c>
      <c r="C106" s="26"/>
      <c r="D106" s="27"/>
      <c r="E106" s="28" t="s">
        <v>89</v>
      </c>
      <c r="F106" s="20" t="n">
        <f>121</f>
        <v>121.0</v>
      </c>
      <c r="G106" s="21" t="n">
        <f>13871965</f>
        <v>1.3871965E7</v>
      </c>
      <c r="H106" s="21"/>
      <c r="I106" s="21" t="n">
        <f>3041016</f>
        <v>3041016.0</v>
      </c>
      <c r="J106" s="21" t="n">
        <f>114644</f>
        <v>114644.0</v>
      </c>
      <c r="K106" s="21" t="n">
        <f>25132</f>
        <v>25132.0</v>
      </c>
      <c r="L106" s="4" t="s">
        <v>298</v>
      </c>
      <c r="M106" s="22" t="n">
        <f>942810</f>
        <v>942810.0</v>
      </c>
      <c r="N106" s="5" t="s">
        <v>134</v>
      </c>
      <c r="O106" s="23" t="n">
        <f>26573</f>
        <v>26573.0</v>
      </c>
      <c r="P106" s="3" t="s">
        <v>462</v>
      </c>
      <c r="Q106" s="21"/>
      <c r="R106" s="3" t="s">
        <v>463</v>
      </c>
      <c r="S106" s="21" t="n">
        <f>2022175382735</f>
        <v>2.022175382735E12</v>
      </c>
      <c r="T106" s="21" t="n">
        <f>442025956049</f>
        <v>4.42025956049E11</v>
      </c>
      <c r="U106" s="5" t="s">
        <v>298</v>
      </c>
      <c r="V106" s="23" t="n">
        <f>16819997300883</f>
        <v>1.6819997300883E13</v>
      </c>
      <c r="W106" s="5" t="s">
        <v>134</v>
      </c>
      <c r="X106" s="23" t="n">
        <f>486112405900</f>
        <v>4.861124059E11</v>
      </c>
      <c r="Y106" s="23"/>
      <c r="Z106" s="21" t="n">
        <f>3138065</f>
        <v>3138065.0</v>
      </c>
      <c r="AA106" s="21" t="n">
        <f>563163</f>
        <v>563163.0</v>
      </c>
      <c r="AB106" s="4" t="s">
        <v>78</v>
      </c>
      <c r="AC106" s="22" t="n">
        <f>798553</f>
        <v>798553.0</v>
      </c>
      <c r="AD106" s="5" t="s">
        <v>94</v>
      </c>
      <c r="AE106" s="23" t="n">
        <f>508747</f>
        <v>508747.0</v>
      </c>
    </row>
    <row r="107">
      <c r="A107" s="24" t="s">
        <v>242</v>
      </c>
      <c r="B107" s="25" t="s">
        <v>243</v>
      </c>
      <c r="C107" s="26"/>
      <c r="D107" s="27"/>
      <c r="E107" s="28" t="s">
        <v>95</v>
      </c>
      <c r="F107" s="20" t="n">
        <f>124</f>
        <v>124.0</v>
      </c>
      <c r="G107" s="21" t="n">
        <f>11797912</f>
        <v>1.1797912E7</v>
      </c>
      <c r="H107" s="21"/>
      <c r="I107" s="21" t="n">
        <f>2817811</f>
        <v>2817811.0</v>
      </c>
      <c r="J107" s="21" t="n">
        <f>95144</f>
        <v>95144.0</v>
      </c>
      <c r="K107" s="21" t="n">
        <f>22724</f>
        <v>22724.0</v>
      </c>
      <c r="L107" s="4" t="s">
        <v>272</v>
      </c>
      <c r="M107" s="22" t="n">
        <f>919259</f>
        <v>919259.0</v>
      </c>
      <c r="N107" s="5" t="s">
        <v>97</v>
      </c>
      <c r="O107" s="23" t="n">
        <f>36420</f>
        <v>36420.0</v>
      </c>
      <c r="P107" s="3" t="s">
        <v>464</v>
      </c>
      <c r="Q107" s="21"/>
      <c r="R107" s="3" t="s">
        <v>465</v>
      </c>
      <c r="S107" s="21" t="n">
        <f>1655895853420</f>
        <v>1.65589585342E12</v>
      </c>
      <c r="T107" s="21" t="n">
        <f>395228193243</f>
        <v>3.95228193243E11</v>
      </c>
      <c r="U107" s="5" t="s">
        <v>272</v>
      </c>
      <c r="V107" s="23" t="n">
        <f>16310744694244</f>
        <v>1.6310744694244E13</v>
      </c>
      <c r="W107" s="5" t="s">
        <v>97</v>
      </c>
      <c r="X107" s="23" t="n">
        <f>633301182640</f>
        <v>6.3330118264E11</v>
      </c>
      <c r="Y107" s="23"/>
      <c r="Z107" s="21" t="n">
        <f>2808082</f>
        <v>2808082.0</v>
      </c>
      <c r="AA107" s="21" t="n">
        <f>619617</f>
        <v>619617.0</v>
      </c>
      <c r="AB107" s="4" t="s">
        <v>61</v>
      </c>
      <c r="AC107" s="22" t="n">
        <f>739301</f>
        <v>739301.0</v>
      </c>
      <c r="AD107" s="5" t="s">
        <v>100</v>
      </c>
      <c r="AE107" s="23" t="n">
        <f>507669</f>
        <v>507669.0</v>
      </c>
    </row>
    <row r="108">
      <c r="A108" s="24" t="s">
        <v>242</v>
      </c>
      <c r="B108" s="25" t="s">
        <v>243</v>
      </c>
      <c r="C108" s="26"/>
      <c r="D108" s="27"/>
      <c r="E108" s="28" t="s">
        <v>101</v>
      </c>
      <c r="F108" s="20" t="n">
        <f>120</f>
        <v>120.0</v>
      </c>
      <c r="G108" s="21" t="n">
        <f>13552606</f>
        <v>1.3552606E7</v>
      </c>
      <c r="H108" s="21"/>
      <c r="I108" s="21" t="n">
        <f>2980604</f>
        <v>2980604.0</v>
      </c>
      <c r="J108" s="21" t="n">
        <f>112938</f>
        <v>112938.0</v>
      </c>
      <c r="K108" s="21" t="n">
        <f>24838</f>
        <v>24838.0</v>
      </c>
      <c r="L108" s="4" t="s">
        <v>155</v>
      </c>
      <c r="M108" s="22" t="n">
        <f>904513</f>
        <v>904513.0</v>
      </c>
      <c r="N108" s="5" t="s">
        <v>466</v>
      </c>
      <c r="O108" s="23" t="n">
        <f>44810</f>
        <v>44810.0</v>
      </c>
      <c r="P108" s="3" t="s">
        <v>467</v>
      </c>
      <c r="Q108" s="21"/>
      <c r="R108" s="3" t="s">
        <v>468</v>
      </c>
      <c r="S108" s="21" t="n">
        <f>1815045272104</f>
        <v>1.815045272104E12</v>
      </c>
      <c r="T108" s="21" t="n">
        <f>398574440121</f>
        <v>3.98574440121E11</v>
      </c>
      <c r="U108" s="5" t="s">
        <v>155</v>
      </c>
      <c r="V108" s="23" t="n">
        <f>14566313761314</f>
        <v>1.4566313761314E13</v>
      </c>
      <c r="W108" s="5" t="s">
        <v>466</v>
      </c>
      <c r="X108" s="23" t="n">
        <f>731247679180</f>
        <v>7.3124767918E11</v>
      </c>
      <c r="Y108" s="23"/>
      <c r="Z108" s="21" t="n">
        <f>2808351</f>
        <v>2808351.0</v>
      </c>
      <c r="AA108" s="21" t="n">
        <f>517113</f>
        <v>517113.0</v>
      </c>
      <c r="AB108" s="4" t="s">
        <v>54</v>
      </c>
      <c r="AC108" s="22" t="n">
        <f>670065</f>
        <v>670065.0</v>
      </c>
      <c r="AD108" s="5" t="s">
        <v>105</v>
      </c>
      <c r="AE108" s="23" t="n">
        <f>461228</f>
        <v>461228.0</v>
      </c>
    </row>
    <row r="109">
      <c r="A109" s="24" t="s">
        <v>242</v>
      </c>
      <c r="B109" s="25" t="s">
        <v>243</v>
      </c>
      <c r="C109" s="26"/>
      <c r="D109" s="27"/>
      <c r="E109" s="28" t="s">
        <v>106</v>
      </c>
      <c r="F109" s="20" t="n">
        <f>121</f>
        <v>121.0</v>
      </c>
      <c r="G109" s="21" t="n">
        <f>13270997</f>
        <v>1.3270997E7</v>
      </c>
      <c r="H109" s="21"/>
      <c r="I109" s="21" t="n">
        <f>3093268</f>
        <v>3093268.0</v>
      </c>
      <c r="J109" s="21" t="n">
        <f>109678</f>
        <v>109678.0</v>
      </c>
      <c r="K109" s="21" t="n">
        <f>25564</f>
        <v>25564.0</v>
      </c>
      <c r="L109" s="4" t="s">
        <v>193</v>
      </c>
      <c r="M109" s="22" t="n">
        <f>935005</f>
        <v>935005.0</v>
      </c>
      <c r="N109" s="5" t="s">
        <v>469</v>
      </c>
      <c r="O109" s="23" t="n">
        <f>39138</f>
        <v>39138.0</v>
      </c>
      <c r="P109" s="3" t="s">
        <v>470</v>
      </c>
      <c r="Q109" s="21"/>
      <c r="R109" s="3" t="s">
        <v>471</v>
      </c>
      <c r="S109" s="21" t="n">
        <f>1704239707595</f>
        <v>1.704239707595E12</v>
      </c>
      <c r="T109" s="21" t="n">
        <f>397088040917</f>
        <v>3.97088040917E11</v>
      </c>
      <c r="U109" s="5" t="s">
        <v>193</v>
      </c>
      <c r="V109" s="23" t="n">
        <f>14545803038009</f>
        <v>1.4545803038009E13</v>
      </c>
      <c r="W109" s="5" t="s">
        <v>325</v>
      </c>
      <c r="X109" s="23" t="n">
        <f>590460296400</f>
        <v>5.904602964E11</v>
      </c>
      <c r="Y109" s="23"/>
      <c r="Z109" s="21" t="n">
        <f>2594570</f>
        <v>2594570.0</v>
      </c>
      <c r="AA109" s="21" t="n">
        <f>528447</f>
        <v>528447.0</v>
      </c>
      <c r="AB109" s="4" t="s">
        <v>193</v>
      </c>
      <c r="AC109" s="22" t="n">
        <f>699461</f>
        <v>699461.0</v>
      </c>
      <c r="AD109" s="5" t="s">
        <v>100</v>
      </c>
      <c r="AE109" s="23" t="n">
        <f>476469</f>
        <v>476469.0</v>
      </c>
    </row>
    <row r="110">
      <c r="A110" s="24" t="s">
        <v>242</v>
      </c>
      <c r="B110" s="25" t="s">
        <v>243</v>
      </c>
      <c r="C110" s="26"/>
      <c r="D110" s="27"/>
      <c r="E110" s="28" t="s">
        <v>112</v>
      </c>
      <c r="F110" s="20" t="n">
        <f>120</f>
        <v>120.0</v>
      </c>
      <c r="G110" s="21" t="n">
        <f>15898207</f>
        <v>1.5898207E7</v>
      </c>
      <c r="H110" s="21"/>
      <c r="I110" s="21" t="n">
        <f>3251920</f>
        <v>3251920.0</v>
      </c>
      <c r="J110" s="21" t="n">
        <f>132485</f>
        <v>132485.0</v>
      </c>
      <c r="K110" s="21" t="n">
        <f>27099</f>
        <v>27099.0</v>
      </c>
      <c r="L110" s="4" t="s">
        <v>53</v>
      </c>
      <c r="M110" s="22" t="n">
        <f>1146277</f>
        <v>1146277.0</v>
      </c>
      <c r="N110" s="5" t="s">
        <v>113</v>
      </c>
      <c r="O110" s="23" t="n">
        <f>21365</f>
        <v>21365.0</v>
      </c>
      <c r="P110" s="3" t="s">
        <v>472</v>
      </c>
      <c r="Q110" s="21"/>
      <c r="R110" s="3" t="s">
        <v>473</v>
      </c>
      <c r="S110" s="21" t="n">
        <f>2083881601722</f>
        <v>2.083881601722E12</v>
      </c>
      <c r="T110" s="21" t="n">
        <f>425958567697</f>
        <v>4.25958567697E11</v>
      </c>
      <c r="U110" s="5" t="s">
        <v>49</v>
      </c>
      <c r="V110" s="23" t="n">
        <f>16225964746681</f>
        <v>1.6225964746681E13</v>
      </c>
      <c r="W110" s="5" t="s">
        <v>113</v>
      </c>
      <c r="X110" s="23" t="n">
        <f>367544868300</f>
        <v>3.675448683E11</v>
      </c>
      <c r="Y110" s="23"/>
      <c r="Z110" s="21" t="n">
        <f>3242655</f>
        <v>3242655.0</v>
      </c>
      <c r="AA110" s="21" t="n">
        <f>610147</f>
        <v>610147.0</v>
      </c>
      <c r="AB110" s="4" t="s">
        <v>197</v>
      </c>
      <c r="AC110" s="22" t="n">
        <f>872574</f>
        <v>872574.0</v>
      </c>
      <c r="AD110" s="5" t="s">
        <v>194</v>
      </c>
      <c r="AE110" s="23" t="n">
        <f>515907</f>
        <v>515907.0</v>
      </c>
    </row>
    <row r="111">
      <c r="A111" s="24" t="s">
        <v>242</v>
      </c>
      <c r="B111" s="25" t="s">
        <v>243</v>
      </c>
      <c r="C111" s="26"/>
      <c r="D111" s="27"/>
      <c r="E111" s="28" t="s">
        <v>118</v>
      </c>
      <c r="F111" s="20" t="n">
        <f>122</f>
        <v>122.0</v>
      </c>
      <c r="G111" s="21" t="n">
        <f>12387388</f>
        <v>1.2387388E7</v>
      </c>
      <c r="H111" s="21"/>
      <c r="I111" s="21" t="n">
        <f>2925034</f>
        <v>2925034.0</v>
      </c>
      <c r="J111" s="21" t="n">
        <f>101536</f>
        <v>101536.0</v>
      </c>
      <c r="K111" s="21" t="n">
        <f>23976</f>
        <v>23976.0</v>
      </c>
      <c r="L111" s="4" t="s">
        <v>88</v>
      </c>
      <c r="M111" s="22" t="n">
        <f>980657</f>
        <v>980657.0</v>
      </c>
      <c r="N111" s="5" t="s">
        <v>123</v>
      </c>
      <c r="O111" s="23" t="n">
        <f>28433</f>
        <v>28433.0</v>
      </c>
      <c r="P111" s="3" t="s">
        <v>474</v>
      </c>
      <c r="Q111" s="21"/>
      <c r="R111" s="3" t="s">
        <v>475</v>
      </c>
      <c r="S111" s="21" t="n">
        <f>1589024972423</f>
        <v>1.589024972423E12</v>
      </c>
      <c r="T111" s="21" t="n">
        <f>381618963792</f>
        <v>3.81618963792E11</v>
      </c>
      <c r="U111" s="5" t="s">
        <v>88</v>
      </c>
      <c r="V111" s="23" t="n">
        <f>15945164168921</f>
        <v>1.5945164168921E13</v>
      </c>
      <c r="W111" s="5" t="s">
        <v>123</v>
      </c>
      <c r="X111" s="23" t="n">
        <f>401643771460</f>
        <v>4.0164377146E11</v>
      </c>
      <c r="Y111" s="23"/>
      <c r="Z111" s="21" t="n">
        <f>2574168</f>
        <v>2574168.0</v>
      </c>
      <c r="AA111" s="21" t="n">
        <f>577085</f>
        <v>577085.0</v>
      </c>
      <c r="AB111" s="4" t="s">
        <v>88</v>
      </c>
      <c r="AC111" s="22" t="n">
        <f>808602</f>
        <v>808602.0</v>
      </c>
      <c r="AD111" s="5" t="s">
        <v>205</v>
      </c>
      <c r="AE111" s="23" t="n">
        <f>524919</f>
        <v>524919.0</v>
      </c>
    </row>
    <row r="112">
      <c r="A112" s="24" t="s">
        <v>242</v>
      </c>
      <c r="B112" s="25" t="s">
        <v>243</v>
      </c>
      <c r="C112" s="26"/>
      <c r="D112" s="27"/>
      <c r="E112" s="28" t="s">
        <v>124</v>
      </c>
      <c r="F112" s="20" t="n">
        <f>123</f>
        <v>123.0</v>
      </c>
      <c r="G112" s="21" t="n">
        <f>12582196</f>
        <v>1.2582196E7</v>
      </c>
      <c r="H112" s="21"/>
      <c r="I112" s="21" t="n">
        <f>2865567</f>
        <v>2865567.0</v>
      </c>
      <c r="J112" s="21" t="n">
        <f>102294</f>
        <v>102294.0</v>
      </c>
      <c r="K112" s="21" t="n">
        <f>23297</f>
        <v>23297.0</v>
      </c>
      <c r="L112" s="4" t="s">
        <v>68</v>
      </c>
      <c r="M112" s="22" t="n">
        <f>968917</f>
        <v>968917.0</v>
      </c>
      <c r="N112" s="5" t="s">
        <v>113</v>
      </c>
      <c r="O112" s="23" t="n">
        <f>16321</f>
        <v>16321.0</v>
      </c>
      <c r="P112" s="3" t="s">
        <v>476</v>
      </c>
      <c r="Q112" s="21"/>
      <c r="R112" s="3" t="s">
        <v>477</v>
      </c>
      <c r="S112" s="21" t="n">
        <f>1856241686914</f>
        <v>1.856241686914E12</v>
      </c>
      <c r="T112" s="21" t="n">
        <f>426972154995</f>
        <v>4.26972154995E11</v>
      </c>
      <c r="U112" s="5" t="s">
        <v>68</v>
      </c>
      <c r="V112" s="23" t="n">
        <f>18418036560239</f>
        <v>1.8418036560239E13</v>
      </c>
      <c r="W112" s="5" t="s">
        <v>113</v>
      </c>
      <c r="X112" s="23" t="n">
        <f>289622828692</f>
        <v>2.89622828692E11</v>
      </c>
      <c r="Y112" s="23"/>
      <c r="Z112" s="21" t="n">
        <f>2549922</f>
        <v>2549922.0</v>
      </c>
      <c r="AA112" s="21" t="n">
        <f>537946</f>
        <v>537946.0</v>
      </c>
      <c r="AB112" s="4" t="s">
        <v>64</v>
      </c>
      <c r="AC112" s="22" t="n">
        <f>627178</f>
        <v>627178.0</v>
      </c>
      <c r="AD112" s="5" t="s">
        <v>94</v>
      </c>
      <c r="AE112" s="23" t="n">
        <f>480677</f>
        <v>480677.0</v>
      </c>
    </row>
    <row r="113">
      <c r="A113" s="24" t="s">
        <v>242</v>
      </c>
      <c r="B113" s="25" t="s">
        <v>243</v>
      </c>
      <c r="C113" s="26"/>
      <c r="D113" s="27"/>
      <c r="E113" s="28" t="s">
        <v>127</v>
      </c>
      <c r="F113" s="20" t="n">
        <f>122</f>
        <v>122.0</v>
      </c>
      <c r="G113" s="21" t="n">
        <f>11345451</f>
        <v>1.1345451E7</v>
      </c>
      <c r="H113" s="21"/>
      <c r="I113" s="21" t="n">
        <f>2766611</f>
        <v>2766611.0</v>
      </c>
      <c r="J113" s="21" t="n">
        <f>92996</f>
        <v>92996.0</v>
      </c>
      <c r="K113" s="21" t="n">
        <f>22677</f>
        <v>22677.0</v>
      </c>
      <c r="L113" s="4" t="s">
        <v>143</v>
      </c>
      <c r="M113" s="22" t="n">
        <f>936369</f>
        <v>936369.0</v>
      </c>
      <c r="N113" s="5" t="s">
        <v>478</v>
      </c>
      <c r="O113" s="23" t="n">
        <f>30189</f>
        <v>30189.0</v>
      </c>
      <c r="P113" s="3" t="s">
        <v>479</v>
      </c>
      <c r="Q113" s="21"/>
      <c r="R113" s="3" t="s">
        <v>480</v>
      </c>
      <c r="S113" s="21" t="n">
        <f>1833309586904</f>
        <v>1.833309586904E12</v>
      </c>
      <c r="T113" s="21" t="n">
        <f>450966529666</f>
        <v>4.50966529666E11</v>
      </c>
      <c r="U113" s="5" t="s">
        <v>143</v>
      </c>
      <c r="V113" s="23" t="n">
        <f>18396789640220</f>
        <v>1.839678964022E13</v>
      </c>
      <c r="W113" s="5" t="s">
        <v>478</v>
      </c>
      <c r="X113" s="23" t="n">
        <f>589505992360</f>
        <v>5.8950599236E11</v>
      </c>
      <c r="Y113" s="23"/>
      <c r="Z113" s="21" t="n">
        <f>2503475</f>
        <v>2503475.0</v>
      </c>
      <c r="AA113" s="21" t="n">
        <f>475080</f>
        <v>475080.0</v>
      </c>
      <c r="AB113" s="4" t="s">
        <v>143</v>
      </c>
      <c r="AC113" s="22" t="n">
        <f>593537</f>
        <v>593537.0</v>
      </c>
      <c r="AD113" s="5" t="s">
        <v>481</v>
      </c>
      <c r="AE113" s="23" t="n">
        <f>443377</f>
        <v>443377.0</v>
      </c>
    </row>
    <row r="114">
      <c r="A114" s="24" t="s">
        <v>242</v>
      </c>
      <c r="B114" s="25" t="s">
        <v>243</v>
      </c>
      <c r="C114" s="26"/>
      <c r="D114" s="27"/>
      <c r="E114" s="28" t="s">
        <v>133</v>
      </c>
      <c r="F114" s="20" t="n">
        <f>122</f>
        <v>122.0</v>
      </c>
      <c r="G114" s="21" t="n">
        <f>12150020</f>
        <v>1.215002E7</v>
      </c>
      <c r="H114" s="21"/>
      <c r="I114" s="21" t="n">
        <f>2891950</f>
        <v>2891950.0</v>
      </c>
      <c r="J114" s="21" t="n">
        <f>99590</f>
        <v>99590.0</v>
      </c>
      <c r="K114" s="21" t="n">
        <f>23705</f>
        <v>23705.0</v>
      </c>
      <c r="L114" s="4" t="s">
        <v>93</v>
      </c>
      <c r="M114" s="22" t="n">
        <f>933534</f>
        <v>933534.0</v>
      </c>
      <c r="N114" s="5" t="s">
        <v>134</v>
      </c>
      <c r="O114" s="23" t="n">
        <f>23067</f>
        <v>23067.0</v>
      </c>
      <c r="P114" s="3" t="s">
        <v>482</v>
      </c>
      <c r="Q114" s="21"/>
      <c r="R114" s="3" t="s">
        <v>483</v>
      </c>
      <c r="S114" s="21" t="n">
        <f>1914855320027</f>
        <v>1.914855320027E12</v>
      </c>
      <c r="T114" s="21" t="n">
        <f>449860892314</f>
        <v>4.49860892314E11</v>
      </c>
      <c r="U114" s="5" t="s">
        <v>137</v>
      </c>
      <c r="V114" s="23" t="n">
        <f>17352352350085</f>
        <v>1.7352352350085E13</v>
      </c>
      <c r="W114" s="5" t="s">
        <v>134</v>
      </c>
      <c r="X114" s="23" t="n">
        <f>456012868250</f>
        <v>4.5601286825E11</v>
      </c>
      <c r="Y114" s="23"/>
      <c r="Z114" s="21" t="n">
        <f>2919561</f>
        <v>2919561.0</v>
      </c>
      <c r="AA114" s="21" t="n">
        <f>522772</f>
        <v>522772.0</v>
      </c>
      <c r="AB114" s="4" t="s">
        <v>93</v>
      </c>
      <c r="AC114" s="22" t="n">
        <f>719822</f>
        <v>719822.0</v>
      </c>
      <c r="AD114" s="5" t="s">
        <v>484</v>
      </c>
      <c r="AE114" s="23" t="n">
        <f>413896</f>
        <v>413896.0</v>
      </c>
    </row>
    <row r="115">
      <c r="A115" s="24" t="s">
        <v>242</v>
      </c>
      <c r="B115" s="25" t="s">
        <v>243</v>
      </c>
      <c r="C115" s="26"/>
      <c r="D115" s="27"/>
      <c r="E115" s="28" t="s">
        <v>139</v>
      </c>
      <c r="F115" s="20" t="n">
        <f>123</f>
        <v>123.0</v>
      </c>
      <c r="G115" s="21" t="n">
        <f>13081564</f>
        <v>1.3081564E7</v>
      </c>
      <c r="H115" s="21"/>
      <c r="I115" s="21" t="n">
        <f>3321633</f>
        <v>3321633.0</v>
      </c>
      <c r="J115" s="21" t="n">
        <f>106354</f>
        <v>106354.0</v>
      </c>
      <c r="K115" s="21" t="n">
        <f>27005</f>
        <v>27005.0</v>
      </c>
      <c r="L115" s="4" t="s">
        <v>71</v>
      </c>
      <c r="M115" s="22" t="n">
        <f>1003575</f>
        <v>1003575.0</v>
      </c>
      <c r="N115" s="5" t="s">
        <v>140</v>
      </c>
      <c r="O115" s="23" t="n">
        <f>33597</f>
        <v>33597.0</v>
      </c>
      <c r="P115" s="3" t="s">
        <v>485</v>
      </c>
      <c r="Q115" s="21"/>
      <c r="R115" s="3" t="s">
        <v>486</v>
      </c>
      <c r="S115" s="21" t="n">
        <f>2033733182746</f>
        <v>2.033733182746E12</v>
      </c>
      <c r="T115" s="21" t="n">
        <f>518672028348</f>
        <v>5.18672028348E11</v>
      </c>
      <c r="U115" s="5" t="s">
        <v>71</v>
      </c>
      <c r="V115" s="23" t="n">
        <f>19529238665394</f>
        <v>1.9529238665394E13</v>
      </c>
      <c r="W115" s="5" t="s">
        <v>140</v>
      </c>
      <c r="X115" s="23" t="n">
        <f>629949067300</f>
        <v>6.299490673E11</v>
      </c>
      <c r="Y115" s="23"/>
      <c r="Z115" s="21" t="n">
        <f>2930306</f>
        <v>2930306.0</v>
      </c>
      <c r="AA115" s="21" t="n">
        <f>542132</f>
        <v>542132.0</v>
      </c>
      <c r="AB115" s="4" t="s">
        <v>84</v>
      </c>
      <c r="AC115" s="22" t="n">
        <f>693507</f>
        <v>693507.0</v>
      </c>
      <c r="AD115" s="5" t="s">
        <v>57</v>
      </c>
      <c r="AE115" s="23" t="n">
        <f>470548</f>
        <v>470548.0</v>
      </c>
    </row>
    <row r="116">
      <c r="A116" s="24" t="s">
        <v>242</v>
      </c>
      <c r="B116" s="25" t="s">
        <v>243</v>
      </c>
      <c r="C116" s="26"/>
      <c r="D116" s="27"/>
      <c r="E116" s="28" t="s">
        <v>145</v>
      </c>
      <c r="F116" s="20" t="n">
        <f>122</f>
        <v>122.0</v>
      </c>
      <c r="G116" s="21" t="n">
        <f>12500183</f>
        <v>1.2500183E7</v>
      </c>
      <c r="H116" s="21"/>
      <c r="I116" s="21" t="n">
        <f>3357629</f>
        <v>3357629.0</v>
      </c>
      <c r="J116" s="21" t="n">
        <f>102461</f>
        <v>102461.0</v>
      </c>
      <c r="K116" s="21" t="n">
        <f>27522</f>
        <v>27522.0</v>
      </c>
      <c r="L116" s="4" t="s">
        <v>78</v>
      </c>
      <c r="M116" s="22" t="n">
        <f>931897</f>
        <v>931897.0</v>
      </c>
      <c r="N116" s="5" t="s">
        <v>134</v>
      </c>
      <c r="O116" s="23" t="n">
        <f>23755</f>
        <v>23755.0</v>
      </c>
      <c r="P116" s="3" t="s">
        <v>487</v>
      </c>
      <c r="Q116" s="21"/>
      <c r="R116" s="3" t="s">
        <v>488</v>
      </c>
      <c r="S116" s="21" t="n">
        <f>2005512795965</f>
        <v>2.005512795965E12</v>
      </c>
      <c r="T116" s="21" t="n">
        <f>543389944292</f>
        <v>5.43389944292E11</v>
      </c>
      <c r="U116" s="5" t="s">
        <v>78</v>
      </c>
      <c r="V116" s="23" t="n">
        <f>18137582628931</f>
        <v>1.8137582628931E13</v>
      </c>
      <c r="W116" s="5" t="s">
        <v>134</v>
      </c>
      <c r="X116" s="23" t="n">
        <f>453149306800</f>
        <v>4.531493068E11</v>
      </c>
      <c r="Y116" s="23"/>
      <c r="Z116" s="21" t="n">
        <f>2877792</f>
        <v>2877792.0</v>
      </c>
      <c r="AA116" s="21" t="n">
        <f>558507</f>
        <v>558507.0</v>
      </c>
      <c r="AB116" s="4" t="s">
        <v>146</v>
      </c>
      <c r="AC116" s="22" t="n">
        <f>647893</f>
        <v>647893.0</v>
      </c>
      <c r="AD116" s="5" t="s">
        <v>134</v>
      </c>
      <c r="AE116" s="23" t="n">
        <f>416364</f>
        <v>416364.0</v>
      </c>
    </row>
    <row r="117">
      <c r="A117" s="24" t="s">
        <v>242</v>
      </c>
      <c r="B117" s="25" t="s">
        <v>243</v>
      </c>
      <c r="C117" s="26"/>
      <c r="D117" s="27"/>
      <c r="E117" s="28" t="s">
        <v>150</v>
      </c>
      <c r="F117" s="20" t="n">
        <f>124</f>
        <v>124.0</v>
      </c>
      <c r="G117" s="21" t="n">
        <f>13757124</f>
        <v>1.3757124E7</v>
      </c>
      <c r="H117" s="21"/>
      <c r="I117" s="21" t="n">
        <f>3578833</f>
        <v>3578833.0</v>
      </c>
      <c r="J117" s="21" t="n">
        <f>110945</f>
        <v>110945.0</v>
      </c>
      <c r="K117" s="21" t="n">
        <f>28862</f>
        <v>28862.0</v>
      </c>
      <c r="L117" s="4" t="s">
        <v>96</v>
      </c>
      <c r="M117" s="22" t="n">
        <f>1091377</f>
        <v>1091377.0</v>
      </c>
      <c r="N117" s="5" t="s">
        <v>151</v>
      </c>
      <c r="O117" s="23" t="n">
        <f>38617</f>
        <v>38617.0</v>
      </c>
      <c r="P117" s="3" t="s">
        <v>489</v>
      </c>
      <c r="Q117" s="21"/>
      <c r="R117" s="3" t="s">
        <v>490</v>
      </c>
      <c r="S117" s="21" t="n">
        <f>2487995453792</f>
        <v>2.487995453792E12</v>
      </c>
      <c r="T117" s="21" t="n">
        <f>652337812953</f>
        <v>6.52337812953E11</v>
      </c>
      <c r="U117" s="5" t="s">
        <v>458</v>
      </c>
      <c r="V117" s="23" t="n">
        <f>24217824695834</f>
        <v>2.4217824695834E13</v>
      </c>
      <c r="W117" s="5" t="s">
        <v>151</v>
      </c>
      <c r="X117" s="23" t="n">
        <f>762999373800</f>
        <v>7.629993738E11</v>
      </c>
      <c r="Y117" s="23"/>
      <c r="Z117" s="21" t="n">
        <f>3060192</f>
        <v>3060192.0</v>
      </c>
      <c r="AA117" s="21" t="n">
        <f>589450</f>
        <v>589450.0</v>
      </c>
      <c r="AB117" s="4" t="s">
        <v>96</v>
      </c>
      <c r="AC117" s="22" t="n">
        <f>861586</f>
        <v>861586.0</v>
      </c>
      <c r="AD117" s="5" t="s">
        <v>491</v>
      </c>
      <c r="AE117" s="23" t="n">
        <f>488653</f>
        <v>488653.0</v>
      </c>
    </row>
    <row r="118">
      <c r="A118" s="24" t="s">
        <v>242</v>
      </c>
      <c r="B118" s="25" t="s">
        <v>243</v>
      </c>
      <c r="C118" s="26"/>
      <c r="D118" s="27"/>
      <c r="E118" s="28" t="s">
        <v>154</v>
      </c>
      <c r="F118" s="20" t="n">
        <f>120</f>
        <v>120.0</v>
      </c>
      <c r="G118" s="21" t="n">
        <f>13339282</f>
        <v>1.3339282E7</v>
      </c>
      <c r="H118" s="21"/>
      <c r="I118" s="21" t="n">
        <f>3398616</f>
        <v>3398616.0</v>
      </c>
      <c r="J118" s="21" t="n">
        <f>111161</f>
        <v>111161.0</v>
      </c>
      <c r="K118" s="21" t="n">
        <f>28322</f>
        <v>28322.0</v>
      </c>
      <c r="L118" s="4" t="s">
        <v>155</v>
      </c>
      <c r="M118" s="22" t="n">
        <f>1133355</f>
        <v>1133355.0</v>
      </c>
      <c r="N118" s="5" t="s">
        <v>113</v>
      </c>
      <c r="O118" s="23" t="n">
        <f>26566</f>
        <v>26566.0</v>
      </c>
      <c r="P118" s="3" t="s">
        <v>492</v>
      </c>
      <c r="Q118" s="21"/>
      <c r="R118" s="3" t="s">
        <v>493</v>
      </c>
      <c r="S118" s="21" t="n">
        <f>2764963598744</f>
        <v>2.764963598744E12</v>
      </c>
      <c r="T118" s="21" t="n">
        <f>714909483344</f>
        <v>7.14909483344E11</v>
      </c>
      <c r="U118" s="5" t="s">
        <v>155</v>
      </c>
      <c r="V118" s="23" t="n">
        <f>30617340975339</f>
        <v>3.0617340975339E13</v>
      </c>
      <c r="W118" s="5" t="s">
        <v>113</v>
      </c>
      <c r="X118" s="23" t="n">
        <f>621876683400</f>
        <v>6.218766834E11</v>
      </c>
      <c r="Y118" s="23"/>
      <c r="Z118" s="21" t="n">
        <f>3138543</f>
        <v>3138543.0</v>
      </c>
      <c r="AA118" s="21" t="n">
        <f>590448</f>
        <v>590448.0</v>
      </c>
      <c r="AB118" s="4" t="s">
        <v>155</v>
      </c>
      <c r="AC118" s="22" t="n">
        <f>808869</f>
        <v>808869.0</v>
      </c>
      <c r="AD118" s="5" t="s">
        <v>404</v>
      </c>
      <c r="AE118" s="23" t="n">
        <f>492179</f>
        <v>492179.0</v>
      </c>
    </row>
    <row r="119">
      <c r="A119" s="24" t="s">
        <v>494</v>
      </c>
      <c r="B119" s="25" t="s">
        <v>495</v>
      </c>
      <c r="C119" s="26"/>
      <c r="D119" s="27"/>
      <c r="E119" s="28" t="s">
        <v>397</v>
      </c>
      <c r="F119" s="20" t="n">
        <f>74</f>
        <v>74.0</v>
      </c>
      <c r="G119" s="21" t="n">
        <f>544144</f>
        <v>544144.0</v>
      </c>
      <c r="H119" s="21"/>
      <c r="I119" s="21" t="n">
        <f>209</f>
        <v>209.0</v>
      </c>
      <c r="J119" s="21" t="n">
        <f>7353</f>
        <v>7353.0</v>
      </c>
      <c r="K119" s="21" t="n">
        <f>3</f>
        <v>3.0</v>
      </c>
      <c r="L119" s="4" t="s">
        <v>496</v>
      </c>
      <c r="M119" s="22" t="n">
        <f>17261</f>
        <v>17261.0</v>
      </c>
      <c r="N119" s="5" t="s">
        <v>248</v>
      </c>
      <c r="O119" s="23" t="n">
        <f>1839</f>
        <v>1839.0</v>
      </c>
      <c r="P119" s="3" t="s">
        <v>497</v>
      </c>
      <c r="Q119" s="21"/>
      <c r="R119" s="3" t="s">
        <v>498</v>
      </c>
      <c r="S119" s="21" t="n">
        <f>9294022226</f>
        <v>9.294022226E9</v>
      </c>
      <c r="T119" s="21" t="n">
        <f>3407372</f>
        <v>3407372.0</v>
      </c>
      <c r="U119" s="5" t="s">
        <v>496</v>
      </c>
      <c r="V119" s="23" t="n">
        <f>21817333250</f>
        <v>2.181733325E10</v>
      </c>
      <c r="W119" s="5" t="s">
        <v>248</v>
      </c>
      <c r="X119" s="23" t="n">
        <f>2004161500</f>
        <v>2.0041615E9</v>
      </c>
      <c r="Y119" s="23"/>
      <c r="Z119" s="21" t="n">
        <f>18</f>
        <v>18.0</v>
      </c>
      <c r="AA119" s="21" t="n">
        <f>3193</f>
        <v>3193.0</v>
      </c>
      <c r="AB119" s="4" t="s">
        <v>144</v>
      </c>
      <c r="AC119" s="22" t="n">
        <f>16607</f>
        <v>16607.0</v>
      </c>
      <c r="AD119" s="5" t="s">
        <v>62</v>
      </c>
      <c r="AE119" s="23" t="n">
        <f>1432</f>
        <v>1432.0</v>
      </c>
    </row>
    <row r="120">
      <c r="A120" s="24" t="s">
        <v>494</v>
      </c>
      <c r="B120" s="25" t="s">
        <v>495</v>
      </c>
      <c r="C120" s="26"/>
      <c r="D120" s="27"/>
      <c r="E120" s="28" t="s">
        <v>401</v>
      </c>
      <c r="F120" s="20" t="n">
        <f>120</f>
        <v>120.0</v>
      </c>
      <c r="G120" s="21" t="n">
        <f>99218</f>
        <v>99218.0</v>
      </c>
      <c r="H120" s="21"/>
      <c r="I120" s="21" t="n">
        <f>635</f>
        <v>635.0</v>
      </c>
      <c r="J120" s="21" t="n">
        <f>827</f>
        <v>827.0</v>
      </c>
      <c r="K120" s="21" t="n">
        <f>5</f>
        <v>5.0</v>
      </c>
      <c r="L120" s="4" t="s">
        <v>82</v>
      </c>
      <c r="M120" s="22" t="n">
        <f>4147</f>
        <v>4147.0</v>
      </c>
      <c r="N120" s="5" t="s">
        <v>241</v>
      </c>
      <c r="O120" s="23" t="n">
        <f>107</f>
        <v>107.0</v>
      </c>
      <c r="P120" s="3" t="s">
        <v>499</v>
      </c>
      <c r="Q120" s="21"/>
      <c r="R120" s="3" t="s">
        <v>500</v>
      </c>
      <c r="S120" s="21" t="n">
        <f>713875325</f>
        <v>7.13875325E8</v>
      </c>
      <c r="T120" s="21" t="n">
        <f>4082439</f>
        <v>4082439.0</v>
      </c>
      <c r="U120" s="5" t="s">
        <v>82</v>
      </c>
      <c r="V120" s="23" t="n">
        <f>4403736250</f>
        <v>4.40373625E9</v>
      </c>
      <c r="W120" s="5" t="s">
        <v>241</v>
      </c>
      <c r="X120" s="23" t="n">
        <f>89657000</f>
        <v>8.9657E7</v>
      </c>
      <c r="Y120" s="23"/>
      <c r="Z120" s="21" t="n">
        <f>548</f>
        <v>548.0</v>
      </c>
      <c r="AA120" s="21" t="n">
        <f>1028</f>
        <v>1028.0</v>
      </c>
      <c r="AB120" s="4" t="s">
        <v>116</v>
      </c>
      <c r="AC120" s="22" t="n">
        <f>6159</f>
        <v>6159.0</v>
      </c>
      <c r="AD120" s="5" t="s">
        <v>404</v>
      </c>
      <c r="AE120" s="23" t="n">
        <f>330</f>
        <v>330.0</v>
      </c>
    </row>
    <row r="121">
      <c r="A121" s="24" t="s">
        <v>494</v>
      </c>
      <c r="B121" s="25" t="s">
        <v>495</v>
      </c>
      <c r="C121" s="26"/>
      <c r="D121" s="27"/>
      <c r="E121" s="28" t="s">
        <v>405</v>
      </c>
      <c r="F121" s="20" t="n">
        <f>123</f>
        <v>123.0</v>
      </c>
      <c r="G121" s="21" t="n">
        <f>288137</f>
        <v>288137.0</v>
      </c>
      <c r="H121" s="21"/>
      <c r="I121" s="21" t="n">
        <f>489</f>
        <v>489.0</v>
      </c>
      <c r="J121" s="21" t="n">
        <f>2343</f>
        <v>2343.0</v>
      </c>
      <c r="K121" s="21" t="n">
        <f>4</f>
        <v>4.0</v>
      </c>
      <c r="L121" s="4" t="s">
        <v>501</v>
      </c>
      <c r="M121" s="22" t="n">
        <f>11064</f>
        <v>11064.0</v>
      </c>
      <c r="N121" s="5" t="s">
        <v>469</v>
      </c>
      <c r="O121" s="23" t="n">
        <f>60</f>
        <v>60.0</v>
      </c>
      <c r="P121" s="3" t="s">
        <v>502</v>
      </c>
      <c r="Q121" s="21"/>
      <c r="R121" s="3" t="s">
        <v>503</v>
      </c>
      <c r="S121" s="21" t="n">
        <f>2163028240</f>
        <v>2.16302824E9</v>
      </c>
      <c r="T121" s="21" t="n">
        <f>3691187</f>
        <v>3691187.0</v>
      </c>
      <c r="U121" s="5" t="s">
        <v>501</v>
      </c>
      <c r="V121" s="23" t="n">
        <f>10161101500</f>
        <v>1.01611015E10</v>
      </c>
      <c r="W121" s="5" t="s">
        <v>469</v>
      </c>
      <c r="X121" s="23" t="n">
        <f>49974500</f>
        <v>4.99745E7</v>
      </c>
      <c r="Y121" s="23"/>
      <c r="Z121" s="21" t="n">
        <f>483</f>
        <v>483.0</v>
      </c>
      <c r="AA121" s="21" t="n">
        <f>7651</f>
        <v>7651.0</v>
      </c>
      <c r="AB121" s="4" t="s">
        <v>61</v>
      </c>
      <c r="AC121" s="22" t="n">
        <f>15226</f>
        <v>15226.0</v>
      </c>
      <c r="AD121" s="5" t="s">
        <v>335</v>
      </c>
      <c r="AE121" s="23" t="n">
        <f>1001</f>
        <v>1001.0</v>
      </c>
    </row>
    <row r="122">
      <c r="A122" s="24" t="s">
        <v>494</v>
      </c>
      <c r="B122" s="25" t="s">
        <v>495</v>
      </c>
      <c r="C122" s="26"/>
      <c r="D122" s="27"/>
      <c r="E122" s="28" t="s">
        <v>409</v>
      </c>
      <c r="F122" s="20" t="n">
        <f>121</f>
        <v>121.0</v>
      </c>
      <c r="G122" s="21" t="n">
        <f>711178</f>
        <v>711178.0</v>
      </c>
      <c r="H122" s="21"/>
      <c r="I122" s="21" t="n">
        <f>3055</f>
        <v>3055.0</v>
      </c>
      <c r="J122" s="21" t="n">
        <f>5878</f>
        <v>5878.0</v>
      </c>
      <c r="K122" s="21" t="n">
        <f>25</f>
        <v>25.0</v>
      </c>
      <c r="L122" s="4" t="s">
        <v>504</v>
      </c>
      <c r="M122" s="22" t="n">
        <f>15398</f>
        <v>15398.0</v>
      </c>
      <c r="N122" s="5" t="s">
        <v>113</v>
      </c>
      <c r="O122" s="23" t="n">
        <f>1450</f>
        <v>1450.0</v>
      </c>
      <c r="P122" s="3" t="s">
        <v>505</v>
      </c>
      <c r="Q122" s="21"/>
      <c r="R122" s="3" t="s">
        <v>506</v>
      </c>
      <c r="S122" s="21" t="n">
        <f>5321034840</f>
        <v>5.32103484E9</v>
      </c>
      <c r="T122" s="21" t="n">
        <f>23340152</f>
        <v>2.3340152E7</v>
      </c>
      <c r="U122" s="5" t="s">
        <v>504</v>
      </c>
      <c r="V122" s="23" t="n">
        <f>13810814500</f>
        <v>1.38108145E10</v>
      </c>
      <c r="W122" s="5" t="s">
        <v>113</v>
      </c>
      <c r="X122" s="23" t="n">
        <f>1319863000</f>
        <v>1.319863E9</v>
      </c>
      <c r="Y122" s="23"/>
      <c r="Z122" s="21" t="n">
        <f>7693</f>
        <v>7693.0</v>
      </c>
      <c r="AA122" s="21" t="n">
        <f>23115</f>
        <v>23115.0</v>
      </c>
      <c r="AB122" s="4" t="s">
        <v>507</v>
      </c>
      <c r="AC122" s="22" t="n">
        <f>28995</f>
        <v>28995.0</v>
      </c>
      <c r="AD122" s="5" t="s">
        <v>94</v>
      </c>
      <c r="AE122" s="23" t="n">
        <f>3980</f>
        <v>3980.0</v>
      </c>
    </row>
    <row r="123">
      <c r="A123" s="24" t="s">
        <v>494</v>
      </c>
      <c r="B123" s="25" t="s">
        <v>495</v>
      </c>
      <c r="C123" s="26"/>
      <c r="D123" s="27"/>
      <c r="E123" s="28" t="s">
        <v>412</v>
      </c>
      <c r="F123" s="20" t="n">
        <f>124</f>
        <v>124.0</v>
      </c>
      <c r="G123" s="21" t="n">
        <f>542778</f>
        <v>542778.0</v>
      </c>
      <c r="H123" s="21"/>
      <c r="I123" s="21" t="n">
        <f>1048</f>
        <v>1048.0</v>
      </c>
      <c r="J123" s="21" t="n">
        <f>4377</f>
        <v>4377.0</v>
      </c>
      <c r="K123" s="21" t="n">
        <f>8</f>
        <v>8.0</v>
      </c>
      <c r="L123" s="4" t="s">
        <v>469</v>
      </c>
      <c r="M123" s="22" t="n">
        <f>9640</f>
        <v>9640.0</v>
      </c>
      <c r="N123" s="5" t="s">
        <v>108</v>
      </c>
      <c r="O123" s="23" t="n">
        <f>1278</f>
        <v>1278.0</v>
      </c>
      <c r="P123" s="3" t="s">
        <v>508</v>
      </c>
      <c r="Q123" s="21"/>
      <c r="R123" s="3" t="s">
        <v>509</v>
      </c>
      <c r="S123" s="21" t="n">
        <f>3886838825</f>
        <v>3.886838825E9</v>
      </c>
      <c r="T123" s="21" t="n">
        <f>7113516</f>
        <v>7113516.0</v>
      </c>
      <c r="U123" s="5" t="s">
        <v>469</v>
      </c>
      <c r="V123" s="23" t="n">
        <f>9398520000</f>
        <v>9.39852E9</v>
      </c>
      <c r="W123" s="5" t="s">
        <v>108</v>
      </c>
      <c r="X123" s="23" t="n">
        <f>1068326750</f>
        <v>1.06832675E9</v>
      </c>
      <c r="Y123" s="23"/>
      <c r="Z123" s="21" t="n">
        <f>16702</f>
        <v>16702.0</v>
      </c>
      <c r="AA123" s="21" t="n">
        <f>6014</f>
        <v>6014.0</v>
      </c>
      <c r="AB123" s="4" t="s">
        <v>510</v>
      </c>
      <c r="AC123" s="22" t="n">
        <f>23510</f>
        <v>23510.0</v>
      </c>
      <c r="AD123" s="5" t="s">
        <v>205</v>
      </c>
      <c r="AE123" s="23" t="n">
        <f>2049</f>
        <v>2049.0</v>
      </c>
    </row>
    <row r="124">
      <c r="A124" s="24" t="s">
        <v>494</v>
      </c>
      <c r="B124" s="25" t="s">
        <v>495</v>
      </c>
      <c r="C124" s="26"/>
      <c r="D124" s="27"/>
      <c r="E124" s="28" t="s">
        <v>415</v>
      </c>
      <c r="F124" s="20" t="n">
        <f>121</f>
        <v>121.0</v>
      </c>
      <c r="G124" s="21" t="n">
        <f>316604</f>
        <v>316604.0</v>
      </c>
      <c r="H124" s="21"/>
      <c r="I124" s="21" t="n">
        <f>4349</f>
        <v>4349.0</v>
      </c>
      <c r="J124" s="21" t="n">
        <f>2617</f>
        <v>2617.0</v>
      </c>
      <c r="K124" s="21" t="n">
        <f>36</f>
        <v>36.0</v>
      </c>
      <c r="L124" s="4" t="s">
        <v>94</v>
      </c>
      <c r="M124" s="22" t="n">
        <f>16015</f>
        <v>16015.0</v>
      </c>
      <c r="N124" s="5" t="s">
        <v>511</v>
      </c>
      <c r="O124" s="23" t="n">
        <f>612</f>
        <v>612.0</v>
      </c>
      <c r="P124" s="3" t="s">
        <v>512</v>
      </c>
      <c r="Q124" s="21"/>
      <c r="R124" s="3" t="s">
        <v>513</v>
      </c>
      <c r="S124" s="21" t="n">
        <f>2320027180</f>
        <v>2.32002718E9</v>
      </c>
      <c r="T124" s="21" t="n">
        <f>34123163</f>
        <v>3.4123163E7</v>
      </c>
      <c r="U124" s="5" t="s">
        <v>94</v>
      </c>
      <c r="V124" s="23" t="n">
        <f>12444051000</f>
        <v>1.2444051E10</v>
      </c>
      <c r="W124" s="5" t="s">
        <v>511</v>
      </c>
      <c r="X124" s="23" t="n">
        <f>520006500</f>
        <v>5.200065E8</v>
      </c>
      <c r="Y124" s="23"/>
      <c r="Z124" s="21" t="n">
        <f>80210</f>
        <v>80210.0</v>
      </c>
      <c r="AA124" s="21" t="n">
        <f>9381</f>
        <v>9381.0</v>
      </c>
      <c r="AB124" s="4" t="s">
        <v>197</v>
      </c>
      <c r="AC124" s="22" t="n">
        <f>13153</f>
        <v>13153.0</v>
      </c>
      <c r="AD124" s="5" t="s">
        <v>138</v>
      </c>
      <c r="AE124" s="23" t="n">
        <f>3180</f>
        <v>3180.0</v>
      </c>
    </row>
    <row r="125">
      <c r="A125" s="24" t="s">
        <v>494</v>
      </c>
      <c r="B125" s="25" t="s">
        <v>495</v>
      </c>
      <c r="C125" s="26"/>
      <c r="D125" s="27"/>
      <c r="E125" s="28" t="s">
        <v>418</v>
      </c>
      <c r="F125" s="20" t="n">
        <f>124</f>
        <v>124.0</v>
      </c>
      <c r="G125" s="21" t="n">
        <f>243555</f>
        <v>243555.0</v>
      </c>
      <c r="H125" s="21"/>
      <c r="I125" s="21" t="n">
        <f>1078</f>
        <v>1078.0</v>
      </c>
      <c r="J125" s="21" t="n">
        <f>1964</f>
        <v>1964.0</v>
      </c>
      <c r="K125" s="21" t="n">
        <f>9</f>
        <v>9.0</v>
      </c>
      <c r="L125" s="4" t="s">
        <v>97</v>
      </c>
      <c r="M125" s="22" t="n">
        <f>10309</f>
        <v>10309.0</v>
      </c>
      <c r="N125" s="5" t="s">
        <v>76</v>
      </c>
      <c r="O125" s="23" t="n">
        <f>302</f>
        <v>302.0</v>
      </c>
      <c r="P125" s="3" t="s">
        <v>514</v>
      </c>
      <c r="Q125" s="21"/>
      <c r="R125" s="3" t="s">
        <v>515</v>
      </c>
      <c r="S125" s="21" t="n">
        <f>1602905567</f>
        <v>1.602905567E9</v>
      </c>
      <c r="T125" s="21" t="n">
        <f>6939010</f>
        <v>6939010.0</v>
      </c>
      <c r="U125" s="5" t="s">
        <v>97</v>
      </c>
      <c r="V125" s="23" t="n">
        <f>7799449250</f>
        <v>7.79944925E9</v>
      </c>
      <c r="W125" s="5" t="s">
        <v>76</v>
      </c>
      <c r="X125" s="23" t="n">
        <f>223264250</f>
        <v>2.2326425E8</v>
      </c>
      <c r="Y125" s="23"/>
      <c r="Z125" s="21" t="n">
        <f>66768</f>
        <v>66768.0</v>
      </c>
      <c r="AA125" s="21" t="n">
        <f>2577</f>
        <v>2577.0</v>
      </c>
      <c r="AB125" s="4" t="s">
        <v>510</v>
      </c>
      <c r="AC125" s="22" t="n">
        <f>11912</f>
        <v>11912.0</v>
      </c>
      <c r="AD125" s="5" t="s">
        <v>76</v>
      </c>
      <c r="AE125" s="23" t="n">
        <f>1129</f>
        <v>1129.0</v>
      </c>
    </row>
    <row r="126">
      <c r="A126" s="24" t="s">
        <v>494</v>
      </c>
      <c r="B126" s="25" t="s">
        <v>495</v>
      </c>
      <c r="C126" s="26"/>
      <c r="D126" s="27"/>
      <c r="E126" s="28" t="s">
        <v>422</v>
      </c>
      <c r="F126" s="20" t="n">
        <f>122</f>
        <v>122.0</v>
      </c>
      <c r="G126" s="21" t="n">
        <f>714888</f>
        <v>714888.0</v>
      </c>
      <c r="H126" s="21"/>
      <c r="I126" s="21" t="n">
        <f>1181</f>
        <v>1181.0</v>
      </c>
      <c r="J126" s="21" t="n">
        <f>5860</f>
        <v>5860.0</v>
      </c>
      <c r="K126" s="21" t="n">
        <f>10</f>
        <v>10.0</v>
      </c>
      <c r="L126" s="4" t="s">
        <v>516</v>
      </c>
      <c r="M126" s="22" t="n">
        <f>16645</f>
        <v>16645.0</v>
      </c>
      <c r="N126" s="5" t="s">
        <v>432</v>
      </c>
      <c r="O126" s="23" t="n">
        <f>446</f>
        <v>446.0</v>
      </c>
      <c r="P126" s="3" t="s">
        <v>517</v>
      </c>
      <c r="Q126" s="21"/>
      <c r="R126" s="3" t="s">
        <v>518</v>
      </c>
      <c r="S126" s="21" t="n">
        <f>4569366968</f>
        <v>4.569366968E9</v>
      </c>
      <c r="T126" s="21" t="n">
        <f>7428259</f>
        <v>7428259.0</v>
      </c>
      <c r="U126" s="5" t="s">
        <v>252</v>
      </c>
      <c r="V126" s="23" t="n">
        <f>14193591000</f>
        <v>1.4193591E10</v>
      </c>
      <c r="W126" s="5" t="s">
        <v>432</v>
      </c>
      <c r="X126" s="23" t="n">
        <f>329120250</f>
        <v>3.2912025E8</v>
      </c>
      <c r="Y126" s="23"/>
      <c r="Z126" s="21" t="n">
        <f>41561</f>
        <v>41561.0</v>
      </c>
      <c r="AA126" s="21" t="n">
        <f>22164</f>
        <v>22164.0</v>
      </c>
      <c r="AB126" s="4" t="s">
        <v>68</v>
      </c>
      <c r="AC126" s="22" t="n">
        <f>30387</f>
        <v>30387.0</v>
      </c>
      <c r="AD126" s="5" t="s">
        <v>519</v>
      </c>
      <c r="AE126" s="23" t="n">
        <f>2429</f>
        <v>2429.0</v>
      </c>
    </row>
    <row r="127">
      <c r="A127" s="24" t="s">
        <v>494</v>
      </c>
      <c r="B127" s="25" t="s">
        <v>495</v>
      </c>
      <c r="C127" s="26"/>
      <c r="D127" s="27"/>
      <c r="E127" s="28" t="s">
        <v>425</v>
      </c>
      <c r="F127" s="20" t="n">
        <f>125</f>
        <v>125.0</v>
      </c>
      <c r="G127" s="21" t="n">
        <f>1014375</f>
        <v>1014375.0</v>
      </c>
      <c r="H127" s="21"/>
      <c r="I127" s="21" t="n">
        <f>1840</f>
        <v>1840.0</v>
      </c>
      <c r="J127" s="21" t="n">
        <f>8115</f>
        <v>8115.0</v>
      </c>
      <c r="K127" s="21" t="n">
        <f>15</f>
        <v>15.0</v>
      </c>
      <c r="L127" s="4" t="s">
        <v>520</v>
      </c>
      <c r="M127" s="22" t="n">
        <f>36350</f>
        <v>36350.0</v>
      </c>
      <c r="N127" s="5" t="s">
        <v>406</v>
      </c>
      <c r="O127" s="23" t="n">
        <f>1876</f>
        <v>1876.0</v>
      </c>
      <c r="P127" s="3" t="s">
        <v>521</v>
      </c>
      <c r="Q127" s="21"/>
      <c r="R127" s="3" t="s">
        <v>522</v>
      </c>
      <c r="S127" s="21" t="n">
        <f>6123548253</f>
        <v>6.123548253E9</v>
      </c>
      <c r="T127" s="21" t="n">
        <f>10655920</f>
        <v>1.065592E7</v>
      </c>
      <c r="U127" s="5" t="s">
        <v>520</v>
      </c>
      <c r="V127" s="23" t="n">
        <f>26870456250</f>
        <v>2.687045625E10</v>
      </c>
      <c r="W127" s="5" t="s">
        <v>406</v>
      </c>
      <c r="X127" s="23" t="n">
        <f>1400251250</f>
        <v>1.40025125E9</v>
      </c>
      <c r="Y127" s="23"/>
      <c r="Z127" s="21" t="n">
        <f>97382</f>
        <v>97382.0</v>
      </c>
      <c r="AA127" s="21" t="n">
        <f>14435</f>
        <v>14435.0</v>
      </c>
      <c r="AB127" s="4" t="s">
        <v>143</v>
      </c>
      <c r="AC127" s="22" t="n">
        <f>33938</f>
        <v>33938.0</v>
      </c>
      <c r="AD127" s="5" t="s">
        <v>193</v>
      </c>
      <c r="AE127" s="23" t="n">
        <f>5422</f>
        <v>5422.0</v>
      </c>
    </row>
    <row r="128">
      <c r="A128" s="24" t="s">
        <v>494</v>
      </c>
      <c r="B128" s="25" t="s">
        <v>495</v>
      </c>
      <c r="C128" s="26"/>
      <c r="D128" s="27"/>
      <c r="E128" s="28" t="s">
        <v>428</v>
      </c>
      <c r="F128" s="20" t="n">
        <f>120</f>
        <v>120.0</v>
      </c>
      <c r="G128" s="21" t="n">
        <f>1571359</f>
        <v>1571359.0</v>
      </c>
      <c r="H128" s="21"/>
      <c r="I128" s="21" t="n">
        <f>4489</f>
        <v>4489.0</v>
      </c>
      <c r="J128" s="21" t="n">
        <f>13095</f>
        <v>13095.0</v>
      </c>
      <c r="K128" s="21" t="n">
        <f>37</f>
        <v>37.0</v>
      </c>
      <c r="L128" s="4" t="s">
        <v>167</v>
      </c>
      <c r="M128" s="22" t="n">
        <f>32542</f>
        <v>32542.0</v>
      </c>
      <c r="N128" s="5" t="s">
        <v>432</v>
      </c>
      <c r="O128" s="23" t="n">
        <f>4872</f>
        <v>4872.0</v>
      </c>
      <c r="P128" s="3" t="s">
        <v>523</v>
      </c>
      <c r="Q128" s="21"/>
      <c r="R128" s="3" t="s">
        <v>524</v>
      </c>
      <c r="S128" s="21" t="n">
        <f>11598167030</f>
        <v>1.159816703E10</v>
      </c>
      <c r="T128" s="21" t="n">
        <f>34881120</f>
        <v>3.488112E7</v>
      </c>
      <c r="U128" s="5" t="s">
        <v>167</v>
      </c>
      <c r="V128" s="23" t="n">
        <f>29398496500</f>
        <v>2.93984965E10</v>
      </c>
      <c r="W128" s="5" t="s">
        <v>432</v>
      </c>
      <c r="X128" s="23" t="n">
        <f>3516000750</f>
        <v>3.51600075E9</v>
      </c>
      <c r="Y128" s="23"/>
      <c r="Z128" s="21" t="n">
        <f>111016</f>
        <v>111016.0</v>
      </c>
      <c r="AA128" s="21" t="n">
        <f>20057</f>
        <v>20057.0</v>
      </c>
      <c r="AB128" s="4" t="s">
        <v>93</v>
      </c>
      <c r="AC128" s="22" t="n">
        <f>56942</f>
        <v>56942.0</v>
      </c>
      <c r="AD128" s="5" t="s">
        <v>105</v>
      </c>
      <c r="AE128" s="23" t="n">
        <f>7875</f>
        <v>7875.0</v>
      </c>
    </row>
    <row r="129">
      <c r="A129" s="24" t="s">
        <v>494</v>
      </c>
      <c r="B129" s="25" t="s">
        <v>495</v>
      </c>
      <c r="C129" s="26"/>
      <c r="D129" s="27"/>
      <c r="E129" s="28" t="s">
        <v>433</v>
      </c>
      <c r="F129" s="20" t="n">
        <f>125</f>
        <v>125.0</v>
      </c>
      <c r="G129" s="21" t="n">
        <f>1696910</f>
        <v>1696910.0</v>
      </c>
      <c r="H129" s="21"/>
      <c r="I129" s="21" t="n">
        <f>20817</f>
        <v>20817.0</v>
      </c>
      <c r="J129" s="21" t="n">
        <f>13575</f>
        <v>13575.0</v>
      </c>
      <c r="K129" s="21" t="n">
        <f>167</f>
        <v>167.0</v>
      </c>
      <c r="L129" s="4" t="s">
        <v>525</v>
      </c>
      <c r="M129" s="22" t="n">
        <f>56721</f>
        <v>56721.0</v>
      </c>
      <c r="N129" s="5" t="s">
        <v>398</v>
      </c>
      <c r="O129" s="23" t="n">
        <f>2104</f>
        <v>2104.0</v>
      </c>
      <c r="P129" s="3" t="s">
        <v>526</v>
      </c>
      <c r="Q129" s="21"/>
      <c r="R129" s="3" t="s">
        <v>527</v>
      </c>
      <c r="S129" s="21" t="n">
        <f>15592694918</f>
        <v>1.5592694918E10</v>
      </c>
      <c r="T129" s="21" t="n">
        <f>179178026</f>
        <v>1.79178026E8</v>
      </c>
      <c r="U129" s="5" t="s">
        <v>525</v>
      </c>
      <c r="V129" s="23" t="n">
        <f>67719417250</f>
        <v>6.771941725E10</v>
      </c>
      <c r="W129" s="5" t="s">
        <v>398</v>
      </c>
      <c r="X129" s="23" t="n">
        <f>2391935000</f>
        <v>2.391935E9</v>
      </c>
      <c r="Y129" s="23"/>
      <c r="Z129" s="21" t="n">
        <f>165837</f>
        <v>165837.0</v>
      </c>
      <c r="AA129" s="21" t="n">
        <f>11722</f>
        <v>11722.0</v>
      </c>
      <c r="AB129" s="4" t="s">
        <v>132</v>
      </c>
      <c r="AC129" s="22" t="n">
        <f>64837</f>
        <v>64837.0</v>
      </c>
      <c r="AD129" s="5" t="s">
        <v>166</v>
      </c>
      <c r="AE129" s="23" t="n">
        <f>9057</f>
        <v>9057.0</v>
      </c>
    </row>
    <row r="130">
      <c r="A130" s="24" t="s">
        <v>494</v>
      </c>
      <c r="B130" s="25" t="s">
        <v>495</v>
      </c>
      <c r="C130" s="26"/>
      <c r="D130" s="27"/>
      <c r="E130" s="28" t="s">
        <v>437</v>
      </c>
      <c r="F130" s="20" t="n">
        <f>120</f>
        <v>120.0</v>
      </c>
      <c r="G130" s="21" t="n">
        <f>1278448</f>
        <v>1278448.0</v>
      </c>
      <c r="H130" s="21"/>
      <c r="I130" s="21" t="n">
        <f>10836</f>
        <v>10836.0</v>
      </c>
      <c r="J130" s="21" t="n">
        <f>10654</f>
        <v>10654.0</v>
      </c>
      <c r="K130" s="21" t="n">
        <f>90</f>
        <v>90.0</v>
      </c>
      <c r="L130" s="4" t="s">
        <v>187</v>
      </c>
      <c r="M130" s="22" t="n">
        <f>28320</f>
        <v>28320.0</v>
      </c>
      <c r="N130" s="5" t="s">
        <v>528</v>
      </c>
      <c r="O130" s="23" t="n">
        <f>1650</f>
        <v>1650.0</v>
      </c>
      <c r="P130" s="3" t="s">
        <v>529</v>
      </c>
      <c r="Q130" s="21"/>
      <c r="R130" s="3" t="s">
        <v>530</v>
      </c>
      <c r="S130" s="21" t="n">
        <f>13034309689</f>
        <v>1.3034309689E10</v>
      </c>
      <c r="T130" s="21" t="n">
        <f>109638046</f>
        <v>1.09638046E8</v>
      </c>
      <c r="U130" s="5" t="s">
        <v>187</v>
      </c>
      <c r="V130" s="23" t="n">
        <f>34253282600</f>
        <v>3.42532826E10</v>
      </c>
      <c r="W130" s="5" t="s">
        <v>528</v>
      </c>
      <c r="X130" s="23" t="n">
        <f>1976785750</f>
        <v>1.97678575E9</v>
      </c>
      <c r="Y130" s="23"/>
      <c r="Z130" s="21" t="n">
        <f>37145</f>
        <v>37145.0</v>
      </c>
      <c r="AA130" s="21" t="n">
        <f>21071</f>
        <v>21071.0</v>
      </c>
      <c r="AB130" s="4" t="s">
        <v>171</v>
      </c>
      <c r="AC130" s="22" t="n">
        <f>102972</f>
        <v>102972.0</v>
      </c>
      <c r="AD130" s="5" t="s">
        <v>82</v>
      </c>
      <c r="AE130" s="23" t="n">
        <f>10500</f>
        <v>10500.0</v>
      </c>
    </row>
    <row r="131">
      <c r="A131" s="24" t="s">
        <v>494</v>
      </c>
      <c r="B131" s="25" t="s">
        <v>495</v>
      </c>
      <c r="C131" s="26"/>
      <c r="D131" s="27"/>
      <c r="E131" s="28" t="s">
        <v>441</v>
      </c>
      <c r="F131" s="20" t="n">
        <f>125</f>
        <v>125.0</v>
      </c>
      <c r="G131" s="21" t="n">
        <f>2235839</f>
        <v>2235839.0</v>
      </c>
      <c r="H131" s="21"/>
      <c r="I131" s="21" t="n">
        <f>13080</f>
        <v>13080.0</v>
      </c>
      <c r="J131" s="21" t="n">
        <f>17887</f>
        <v>17887.0</v>
      </c>
      <c r="K131" s="21" t="n">
        <f>105</f>
        <v>105.0</v>
      </c>
      <c r="L131" s="4" t="s">
        <v>180</v>
      </c>
      <c r="M131" s="22" t="n">
        <f>40648</f>
        <v>40648.0</v>
      </c>
      <c r="N131" s="5" t="s">
        <v>442</v>
      </c>
      <c r="O131" s="23" t="n">
        <f>7378</f>
        <v>7378.0</v>
      </c>
      <c r="P131" s="3" t="s">
        <v>531</v>
      </c>
      <c r="Q131" s="21"/>
      <c r="R131" s="3" t="s">
        <v>532</v>
      </c>
      <c r="S131" s="21" t="n">
        <f>22211685152</f>
        <v>2.2211685152E10</v>
      </c>
      <c r="T131" s="21" t="n">
        <f>132538729</f>
        <v>1.32538729E8</v>
      </c>
      <c r="U131" s="5" t="s">
        <v>266</v>
      </c>
      <c r="V131" s="23" t="n">
        <f>51301819250</f>
        <v>5.130181925E10</v>
      </c>
      <c r="W131" s="5" t="s">
        <v>442</v>
      </c>
      <c r="X131" s="23" t="n">
        <f>9451749250</f>
        <v>9.45174925E9</v>
      </c>
      <c r="Y131" s="23"/>
      <c r="Z131" s="21" t="n">
        <f>31556</f>
        <v>31556.0</v>
      </c>
      <c r="AA131" s="21" t="n">
        <f>47081</f>
        <v>47081.0</v>
      </c>
      <c r="AB131" s="4" t="s">
        <v>144</v>
      </c>
      <c r="AC131" s="22" t="n">
        <f>86499</f>
        <v>86499.0</v>
      </c>
      <c r="AD131" s="5" t="s">
        <v>62</v>
      </c>
      <c r="AE131" s="23" t="n">
        <f>13072</f>
        <v>13072.0</v>
      </c>
    </row>
    <row r="132">
      <c r="A132" s="24" t="s">
        <v>494</v>
      </c>
      <c r="B132" s="25" t="s">
        <v>495</v>
      </c>
      <c r="C132" s="26"/>
      <c r="D132" s="27"/>
      <c r="E132" s="28" t="s">
        <v>48</v>
      </c>
      <c r="F132" s="20" t="n">
        <f>121</f>
        <v>121.0</v>
      </c>
      <c r="G132" s="21" t="n">
        <f>2969396</f>
        <v>2969396.0</v>
      </c>
      <c r="H132" s="21"/>
      <c r="I132" s="21" t="n">
        <f>20846</f>
        <v>20846.0</v>
      </c>
      <c r="J132" s="21" t="n">
        <f>24540</f>
        <v>24540.0</v>
      </c>
      <c r="K132" s="21" t="n">
        <f>172</f>
        <v>172.0</v>
      </c>
      <c r="L132" s="4" t="s">
        <v>533</v>
      </c>
      <c r="M132" s="22" t="n">
        <f>71449</f>
        <v>71449.0</v>
      </c>
      <c r="N132" s="5" t="s">
        <v>113</v>
      </c>
      <c r="O132" s="23" t="n">
        <f>5678</f>
        <v>5678.0</v>
      </c>
      <c r="P132" s="3" t="s">
        <v>534</v>
      </c>
      <c r="Q132" s="21"/>
      <c r="R132" s="3" t="s">
        <v>535</v>
      </c>
      <c r="S132" s="21" t="n">
        <f>34133101577</f>
        <v>3.4133101577E10</v>
      </c>
      <c r="T132" s="21" t="n">
        <f>252909873</f>
        <v>2.52909873E8</v>
      </c>
      <c r="U132" s="5" t="s">
        <v>533</v>
      </c>
      <c r="V132" s="23" t="n">
        <f>93777892250</f>
        <v>9.377789225E10</v>
      </c>
      <c r="W132" s="5" t="s">
        <v>113</v>
      </c>
      <c r="X132" s="23" t="n">
        <f>8078032750</f>
        <v>8.07803275E9</v>
      </c>
      <c r="Y132" s="23"/>
      <c r="Z132" s="21" t="n">
        <f>41045</f>
        <v>41045.0</v>
      </c>
      <c r="AA132" s="21" t="n">
        <f>41808</f>
        <v>41808.0</v>
      </c>
      <c r="AB132" s="4" t="s">
        <v>116</v>
      </c>
      <c r="AC132" s="22" t="n">
        <f>109517</f>
        <v>109517.0</v>
      </c>
      <c r="AD132" s="5" t="s">
        <v>536</v>
      </c>
      <c r="AE132" s="23" t="n">
        <f>17518</f>
        <v>17518.0</v>
      </c>
    </row>
    <row r="133">
      <c r="A133" s="24" t="s">
        <v>494</v>
      </c>
      <c r="B133" s="25" t="s">
        <v>495</v>
      </c>
      <c r="C133" s="26"/>
      <c r="D133" s="27"/>
      <c r="E133" s="28" t="s">
        <v>56</v>
      </c>
      <c r="F133" s="20" t="n">
        <f>123</f>
        <v>123.0</v>
      </c>
      <c r="G133" s="21" t="n">
        <f>2404093</f>
        <v>2404093.0</v>
      </c>
      <c r="H133" s="21"/>
      <c r="I133" s="21" t="n">
        <f>35476</f>
        <v>35476.0</v>
      </c>
      <c r="J133" s="21" t="n">
        <f>19545</f>
        <v>19545.0</v>
      </c>
      <c r="K133" s="21" t="n">
        <f>288</f>
        <v>288.0</v>
      </c>
      <c r="L133" s="4" t="s">
        <v>57</v>
      </c>
      <c r="M133" s="22" t="n">
        <f>148980</f>
        <v>148980.0</v>
      </c>
      <c r="N133" s="5" t="s">
        <v>537</v>
      </c>
      <c r="O133" s="23" t="n">
        <f>6272</f>
        <v>6272.0</v>
      </c>
      <c r="P133" s="3" t="s">
        <v>538</v>
      </c>
      <c r="Q133" s="21"/>
      <c r="R133" s="3" t="s">
        <v>539</v>
      </c>
      <c r="S133" s="21" t="n">
        <f>30819997327</f>
        <v>3.0819997327E10</v>
      </c>
      <c r="T133" s="21" t="n">
        <f>456972614</f>
        <v>4.56972614E8</v>
      </c>
      <c r="U133" s="5" t="s">
        <v>57</v>
      </c>
      <c r="V133" s="23" t="n">
        <f>217276847100</f>
        <v>2.172768471E11</v>
      </c>
      <c r="W133" s="5" t="s">
        <v>537</v>
      </c>
      <c r="X133" s="23" t="n">
        <f>10402103750</f>
        <v>1.040210375E10</v>
      </c>
      <c r="Y133" s="23"/>
      <c r="Z133" s="21" t="n">
        <f>55668</f>
        <v>55668.0</v>
      </c>
      <c r="AA133" s="21" t="n">
        <f>31313</f>
        <v>31313.0</v>
      </c>
      <c r="AB133" s="4" t="s">
        <v>61</v>
      </c>
      <c r="AC133" s="22" t="n">
        <f>243382</f>
        <v>243382.0</v>
      </c>
      <c r="AD133" s="5" t="s">
        <v>192</v>
      </c>
      <c r="AE133" s="23" t="n">
        <f>12349</f>
        <v>12349.0</v>
      </c>
    </row>
    <row r="134">
      <c r="A134" s="24" t="s">
        <v>494</v>
      </c>
      <c r="B134" s="25" t="s">
        <v>495</v>
      </c>
      <c r="C134" s="26"/>
      <c r="D134" s="27"/>
      <c r="E134" s="28" t="s">
        <v>63</v>
      </c>
      <c r="F134" s="20" t="n">
        <f>122</f>
        <v>122.0</v>
      </c>
      <c r="G134" s="21" t="n">
        <f>1771770</f>
        <v>1771770.0</v>
      </c>
      <c r="H134" s="21"/>
      <c r="I134" s="21" t="n">
        <f>42196</f>
        <v>42196.0</v>
      </c>
      <c r="J134" s="21" t="n">
        <f>14523</f>
        <v>14523.0</v>
      </c>
      <c r="K134" s="21" t="n">
        <f>346</f>
        <v>346.0</v>
      </c>
      <c r="L134" s="4" t="s">
        <v>540</v>
      </c>
      <c r="M134" s="22" t="n">
        <f>50935</f>
        <v>50935.0</v>
      </c>
      <c r="N134" s="5" t="s">
        <v>541</v>
      </c>
      <c r="O134" s="23" t="n">
        <f>4026</f>
        <v>4026.0</v>
      </c>
      <c r="P134" s="3" t="s">
        <v>542</v>
      </c>
      <c r="Q134" s="21"/>
      <c r="R134" s="3" t="s">
        <v>543</v>
      </c>
      <c r="S134" s="21" t="n">
        <f>20873218912</f>
        <v>2.0873218912E10</v>
      </c>
      <c r="T134" s="21" t="n">
        <f>494556613</f>
        <v>4.94556613E8</v>
      </c>
      <c r="U134" s="5" t="s">
        <v>540</v>
      </c>
      <c r="V134" s="23" t="n">
        <f>74068269900</f>
        <v>7.40682699E10</v>
      </c>
      <c r="W134" s="5" t="s">
        <v>541</v>
      </c>
      <c r="X134" s="23" t="n">
        <f>6455554600</f>
        <v>6.4555546E9</v>
      </c>
      <c r="Y134" s="23"/>
      <c r="Z134" s="21" t="n">
        <f>384120</f>
        <v>384120.0</v>
      </c>
      <c r="AA134" s="21" t="n">
        <f>27055</f>
        <v>27055.0</v>
      </c>
      <c r="AB134" s="4" t="s">
        <v>197</v>
      </c>
      <c r="AC134" s="22" t="n">
        <f>152216</f>
        <v>152216.0</v>
      </c>
      <c r="AD134" s="5" t="s">
        <v>105</v>
      </c>
      <c r="AE134" s="23" t="n">
        <f>16839</f>
        <v>16839.0</v>
      </c>
    </row>
    <row r="135">
      <c r="A135" s="24" t="s">
        <v>494</v>
      </c>
      <c r="B135" s="25" t="s">
        <v>495</v>
      </c>
      <c r="C135" s="26"/>
      <c r="D135" s="27"/>
      <c r="E135" s="28" t="s">
        <v>70</v>
      </c>
      <c r="F135" s="20" t="n">
        <f>123</f>
        <v>123.0</v>
      </c>
      <c r="G135" s="21" t="n">
        <f>1245643</f>
        <v>1245643.0</v>
      </c>
      <c r="H135" s="21"/>
      <c r="I135" s="21" t="n">
        <f>55858</f>
        <v>55858.0</v>
      </c>
      <c r="J135" s="21" t="n">
        <f>10127</f>
        <v>10127.0</v>
      </c>
      <c r="K135" s="21" t="n">
        <f>454</f>
        <v>454.0</v>
      </c>
      <c r="L135" s="4" t="s">
        <v>111</v>
      </c>
      <c r="M135" s="22" t="n">
        <f>31167</f>
        <v>31167.0</v>
      </c>
      <c r="N135" s="5" t="s">
        <v>544</v>
      </c>
      <c r="O135" s="23" t="n">
        <f>4121</f>
        <v>4121.0</v>
      </c>
      <c r="P135" s="3" t="s">
        <v>545</v>
      </c>
      <c r="Q135" s="21"/>
      <c r="R135" s="3" t="s">
        <v>546</v>
      </c>
      <c r="S135" s="21" t="n">
        <f>13280398839</f>
        <v>1.3280398839E10</v>
      </c>
      <c r="T135" s="21" t="n">
        <f>602738802</f>
        <v>6.02738802E8</v>
      </c>
      <c r="U135" s="5" t="s">
        <v>335</v>
      </c>
      <c r="V135" s="23" t="n">
        <f>40505485300</f>
        <v>4.05054853E10</v>
      </c>
      <c r="W135" s="5" t="s">
        <v>544</v>
      </c>
      <c r="X135" s="23" t="n">
        <f>5427675300</f>
        <v>5.4276753E9</v>
      </c>
      <c r="Y135" s="23"/>
      <c r="Z135" s="21" t="n">
        <f>243847</f>
        <v>243847.0</v>
      </c>
      <c r="AA135" s="21" t="n">
        <f>23798</f>
        <v>23798.0</v>
      </c>
      <c r="AB135" s="4" t="s">
        <v>129</v>
      </c>
      <c r="AC135" s="22" t="n">
        <f>44841</f>
        <v>44841.0</v>
      </c>
      <c r="AD135" s="5" t="s">
        <v>76</v>
      </c>
      <c r="AE135" s="23" t="n">
        <f>12220</f>
        <v>12220.0</v>
      </c>
    </row>
    <row r="136">
      <c r="A136" s="24" t="s">
        <v>494</v>
      </c>
      <c r="B136" s="25" t="s">
        <v>495</v>
      </c>
      <c r="C136" s="26"/>
      <c r="D136" s="27"/>
      <c r="E136" s="28" t="s">
        <v>77</v>
      </c>
      <c r="F136" s="20" t="n">
        <f>122</f>
        <v>122.0</v>
      </c>
      <c r="G136" s="21" t="n">
        <f>1166215</f>
        <v>1166215.0</v>
      </c>
      <c r="H136" s="21"/>
      <c r="I136" s="21" t="n">
        <f>79608</f>
        <v>79608.0</v>
      </c>
      <c r="J136" s="21" t="n">
        <f>9559</f>
        <v>9559.0</v>
      </c>
      <c r="K136" s="21" t="n">
        <f>653</f>
        <v>653.0</v>
      </c>
      <c r="L136" s="4" t="s">
        <v>175</v>
      </c>
      <c r="M136" s="22" t="n">
        <f>28032</f>
        <v>28032.0</v>
      </c>
      <c r="N136" s="5" t="s">
        <v>171</v>
      </c>
      <c r="O136" s="23" t="n">
        <f>4278</f>
        <v>4278.0</v>
      </c>
      <c r="P136" s="3" t="s">
        <v>547</v>
      </c>
      <c r="Q136" s="21"/>
      <c r="R136" s="3" t="s">
        <v>548</v>
      </c>
      <c r="S136" s="21" t="n">
        <f>14181483074</f>
        <v>1.4181483074E10</v>
      </c>
      <c r="T136" s="21" t="n">
        <f>986303828</f>
        <v>9.86303828E8</v>
      </c>
      <c r="U136" s="5" t="s">
        <v>64</v>
      </c>
      <c r="V136" s="23" t="n">
        <f>40600211220</f>
        <v>4.060021122E10</v>
      </c>
      <c r="W136" s="5" t="s">
        <v>50</v>
      </c>
      <c r="X136" s="23" t="n">
        <f>6668596640</f>
        <v>6.66859664E9</v>
      </c>
      <c r="Y136" s="23"/>
      <c r="Z136" s="21" t="n">
        <f>66761</f>
        <v>66761.0</v>
      </c>
      <c r="AA136" s="21" t="n">
        <f>19288</f>
        <v>19288.0</v>
      </c>
      <c r="AB136" s="4" t="s">
        <v>81</v>
      </c>
      <c r="AC136" s="22" t="n">
        <f>79874</f>
        <v>79874.0</v>
      </c>
      <c r="AD136" s="5" t="s">
        <v>116</v>
      </c>
      <c r="AE136" s="23" t="n">
        <f>14644</f>
        <v>14644.0</v>
      </c>
    </row>
    <row r="137">
      <c r="A137" s="24" t="s">
        <v>494</v>
      </c>
      <c r="B137" s="25" t="s">
        <v>495</v>
      </c>
      <c r="C137" s="26"/>
      <c r="D137" s="27"/>
      <c r="E137" s="28" t="s">
        <v>83</v>
      </c>
      <c r="F137" s="20" t="n">
        <f>124</f>
        <v>124.0</v>
      </c>
      <c r="G137" s="21" t="n">
        <f>1772463</f>
        <v>1772463.0</v>
      </c>
      <c r="H137" s="21"/>
      <c r="I137" s="21" t="n">
        <f>59603</f>
        <v>59603.0</v>
      </c>
      <c r="J137" s="21" t="n">
        <f>14294</f>
        <v>14294.0</v>
      </c>
      <c r="K137" s="21" t="n">
        <f>481</f>
        <v>481.0</v>
      </c>
      <c r="L137" s="4" t="s">
        <v>84</v>
      </c>
      <c r="M137" s="22" t="n">
        <f>37943</f>
        <v>37943.0</v>
      </c>
      <c r="N137" s="5" t="s">
        <v>549</v>
      </c>
      <c r="O137" s="23" t="n">
        <f>5368</f>
        <v>5368.0</v>
      </c>
      <c r="P137" s="3" t="s">
        <v>550</v>
      </c>
      <c r="Q137" s="21"/>
      <c r="R137" s="3" t="s">
        <v>551</v>
      </c>
      <c r="S137" s="21" t="n">
        <f>22806176868</f>
        <v>2.2806176868E10</v>
      </c>
      <c r="T137" s="21" t="n">
        <f>765783779</f>
        <v>7.65783779E8</v>
      </c>
      <c r="U137" s="5" t="s">
        <v>84</v>
      </c>
      <c r="V137" s="23" t="n">
        <f>60121255600</f>
        <v>6.01212556E10</v>
      </c>
      <c r="W137" s="5" t="s">
        <v>549</v>
      </c>
      <c r="X137" s="23" t="n">
        <f>8239443000</f>
        <v>8.239443E9</v>
      </c>
      <c r="Y137" s="23"/>
      <c r="Z137" s="21" t="n">
        <f>61562</f>
        <v>61562.0</v>
      </c>
      <c r="AA137" s="21" t="n">
        <f>51807</f>
        <v>51807.0</v>
      </c>
      <c r="AB137" s="4" t="s">
        <v>88</v>
      </c>
      <c r="AC137" s="22" t="n">
        <f>68687</f>
        <v>68687.0</v>
      </c>
      <c r="AD137" s="5" t="s">
        <v>61</v>
      </c>
      <c r="AE137" s="23" t="n">
        <f>15007</f>
        <v>15007.0</v>
      </c>
    </row>
    <row r="138">
      <c r="A138" s="24" t="s">
        <v>494</v>
      </c>
      <c r="B138" s="25" t="s">
        <v>495</v>
      </c>
      <c r="C138" s="26"/>
      <c r="D138" s="27"/>
      <c r="E138" s="28" t="s">
        <v>89</v>
      </c>
      <c r="F138" s="20" t="n">
        <f>121</f>
        <v>121.0</v>
      </c>
      <c r="G138" s="21" t="n">
        <f>2518015</f>
        <v>2518015.0</v>
      </c>
      <c r="H138" s="21"/>
      <c r="I138" s="21" t="n">
        <f>44474</f>
        <v>44474.0</v>
      </c>
      <c r="J138" s="21" t="n">
        <f>20810</f>
        <v>20810.0</v>
      </c>
      <c r="K138" s="21" t="n">
        <f>368</f>
        <v>368.0</v>
      </c>
      <c r="L138" s="4" t="s">
        <v>552</v>
      </c>
      <c r="M138" s="22" t="n">
        <f>60174</f>
        <v>60174.0</v>
      </c>
      <c r="N138" s="5" t="s">
        <v>113</v>
      </c>
      <c r="O138" s="23" t="n">
        <f>7267</f>
        <v>7267.0</v>
      </c>
      <c r="P138" s="3" t="s">
        <v>553</v>
      </c>
      <c r="Q138" s="21"/>
      <c r="R138" s="3" t="s">
        <v>554</v>
      </c>
      <c r="S138" s="21" t="n">
        <f>36795721891</f>
        <v>3.6795721891E10</v>
      </c>
      <c r="T138" s="21" t="n">
        <f>639755756</f>
        <v>6.39755756E8</v>
      </c>
      <c r="U138" s="5" t="s">
        <v>552</v>
      </c>
      <c r="V138" s="23" t="n">
        <f>105175024000</f>
        <v>1.05175024E11</v>
      </c>
      <c r="W138" s="5" t="s">
        <v>113</v>
      </c>
      <c r="X138" s="23" t="n">
        <f>13290044250</f>
        <v>1.329004425E10</v>
      </c>
      <c r="Y138" s="23"/>
      <c r="Z138" s="21" t="n">
        <f>38761</f>
        <v>38761.0</v>
      </c>
      <c r="AA138" s="21" t="n">
        <f>28900</f>
        <v>28900.0</v>
      </c>
      <c r="AB138" s="4" t="s">
        <v>64</v>
      </c>
      <c r="AC138" s="22" t="n">
        <f>120792</f>
        <v>120792.0</v>
      </c>
      <c r="AD138" s="5" t="s">
        <v>241</v>
      </c>
      <c r="AE138" s="23" t="n">
        <f>16007</f>
        <v>16007.0</v>
      </c>
    </row>
    <row r="139">
      <c r="A139" s="24" t="s">
        <v>494</v>
      </c>
      <c r="B139" s="25" t="s">
        <v>495</v>
      </c>
      <c r="C139" s="26"/>
      <c r="D139" s="27"/>
      <c r="E139" s="28" t="s">
        <v>95</v>
      </c>
      <c r="F139" s="20" t="n">
        <f>124</f>
        <v>124.0</v>
      </c>
      <c r="G139" s="21" t="n">
        <f>2031139</f>
        <v>2031139.0</v>
      </c>
      <c r="H139" s="21"/>
      <c r="I139" s="21" t="n">
        <f>46184</f>
        <v>46184.0</v>
      </c>
      <c r="J139" s="21" t="n">
        <f>16380</f>
        <v>16380.0</v>
      </c>
      <c r="K139" s="21" t="n">
        <f>372</f>
        <v>372.0</v>
      </c>
      <c r="L139" s="4" t="s">
        <v>96</v>
      </c>
      <c r="M139" s="22" t="n">
        <f>35872</f>
        <v>35872.0</v>
      </c>
      <c r="N139" s="5" t="s">
        <v>97</v>
      </c>
      <c r="O139" s="23" t="n">
        <f>8512</f>
        <v>8512.0</v>
      </c>
      <c r="P139" s="3" t="s">
        <v>555</v>
      </c>
      <c r="Q139" s="21"/>
      <c r="R139" s="3" t="s">
        <v>556</v>
      </c>
      <c r="S139" s="21" t="n">
        <f>28572205043</f>
        <v>2.8572205043E10</v>
      </c>
      <c r="T139" s="21" t="n">
        <f>649404400</f>
        <v>6.494044E8</v>
      </c>
      <c r="U139" s="5" t="s">
        <v>96</v>
      </c>
      <c r="V139" s="23" t="n">
        <f>63689455100</f>
        <v>6.36894551E10</v>
      </c>
      <c r="W139" s="5" t="s">
        <v>97</v>
      </c>
      <c r="X139" s="23" t="n">
        <f>14802486500</f>
        <v>1.48024865E10</v>
      </c>
      <c r="Y139" s="23"/>
      <c r="Z139" s="21" t="n">
        <f>43245</f>
        <v>43245.0</v>
      </c>
      <c r="AA139" s="21" t="n">
        <f>60411</f>
        <v>60411.0</v>
      </c>
      <c r="AB139" s="4" t="s">
        <v>96</v>
      </c>
      <c r="AC139" s="22" t="n">
        <f>102927</f>
        <v>102927.0</v>
      </c>
      <c r="AD139" s="5" t="s">
        <v>100</v>
      </c>
      <c r="AE139" s="23" t="n">
        <f>22135</f>
        <v>22135.0</v>
      </c>
    </row>
    <row r="140">
      <c r="A140" s="24" t="s">
        <v>494</v>
      </c>
      <c r="B140" s="25" t="s">
        <v>495</v>
      </c>
      <c r="C140" s="26"/>
      <c r="D140" s="27"/>
      <c r="E140" s="28" t="s">
        <v>101</v>
      </c>
      <c r="F140" s="20" t="n">
        <f>120</f>
        <v>120.0</v>
      </c>
      <c r="G140" s="21" t="n">
        <f>2249857</f>
        <v>2249857.0</v>
      </c>
      <c r="H140" s="21"/>
      <c r="I140" s="21" t="n">
        <f>73629</f>
        <v>73629.0</v>
      </c>
      <c r="J140" s="21" t="n">
        <f>18749</f>
        <v>18749.0</v>
      </c>
      <c r="K140" s="21" t="n">
        <f>614</f>
        <v>614.0</v>
      </c>
      <c r="L140" s="4" t="s">
        <v>155</v>
      </c>
      <c r="M140" s="22" t="n">
        <f>39843</f>
        <v>39843.0</v>
      </c>
      <c r="N140" s="5" t="s">
        <v>352</v>
      </c>
      <c r="O140" s="23" t="n">
        <f>8690</f>
        <v>8690.0</v>
      </c>
      <c r="P140" s="3" t="s">
        <v>557</v>
      </c>
      <c r="Q140" s="21"/>
      <c r="R140" s="3" t="s">
        <v>558</v>
      </c>
      <c r="S140" s="21" t="n">
        <f>30157715288</f>
        <v>3.0157715288E10</v>
      </c>
      <c r="T140" s="21" t="n">
        <f>979429546</f>
        <v>9.79429546E8</v>
      </c>
      <c r="U140" s="5" t="s">
        <v>194</v>
      </c>
      <c r="V140" s="23" t="n">
        <f>64312643650</f>
        <v>6.431264365E10</v>
      </c>
      <c r="W140" s="5" t="s">
        <v>352</v>
      </c>
      <c r="X140" s="23" t="n">
        <f>14355734600</f>
        <v>1.43557346E10</v>
      </c>
      <c r="Y140" s="23"/>
      <c r="Z140" s="21" t="n">
        <f>40996</f>
        <v>40996.0</v>
      </c>
      <c r="AA140" s="21" t="n">
        <f>39442</f>
        <v>39442.0</v>
      </c>
      <c r="AB140" s="4" t="s">
        <v>519</v>
      </c>
      <c r="AC140" s="22" t="n">
        <f>63760</f>
        <v>63760.0</v>
      </c>
      <c r="AD140" s="5" t="s">
        <v>197</v>
      </c>
      <c r="AE140" s="23" t="n">
        <f>16036</f>
        <v>16036.0</v>
      </c>
    </row>
    <row r="141">
      <c r="A141" s="24" t="s">
        <v>494</v>
      </c>
      <c r="B141" s="25" t="s">
        <v>495</v>
      </c>
      <c r="C141" s="26"/>
      <c r="D141" s="27"/>
      <c r="E141" s="28" t="s">
        <v>106</v>
      </c>
      <c r="F141" s="20" t="n">
        <f>121</f>
        <v>121.0</v>
      </c>
      <c r="G141" s="21" t="n">
        <f>2369414</f>
        <v>2369414.0</v>
      </c>
      <c r="H141" s="21"/>
      <c r="I141" s="21" t="n">
        <f>90200</f>
        <v>90200.0</v>
      </c>
      <c r="J141" s="21" t="n">
        <f>19582</f>
        <v>19582.0</v>
      </c>
      <c r="K141" s="21" t="n">
        <f>745</f>
        <v>745.0</v>
      </c>
      <c r="L141" s="4" t="s">
        <v>281</v>
      </c>
      <c r="M141" s="22" t="n">
        <f>46954</f>
        <v>46954.0</v>
      </c>
      <c r="N141" s="5" t="s">
        <v>469</v>
      </c>
      <c r="O141" s="23" t="n">
        <f>8054</f>
        <v>8054.0</v>
      </c>
      <c r="P141" s="3" t="s">
        <v>559</v>
      </c>
      <c r="Q141" s="21"/>
      <c r="R141" s="3" t="s">
        <v>560</v>
      </c>
      <c r="S141" s="21" t="n">
        <f>30416771592</f>
        <v>3.0416771592E10</v>
      </c>
      <c r="T141" s="21" t="n">
        <f>1159935361</f>
        <v>1.159935361E9</v>
      </c>
      <c r="U141" s="5" t="s">
        <v>281</v>
      </c>
      <c r="V141" s="23" t="n">
        <f>72839902449</f>
        <v>7.2839902449E10</v>
      </c>
      <c r="W141" s="5" t="s">
        <v>469</v>
      </c>
      <c r="X141" s="23" t="n">
        <f>13013301250</f>
        <v>1.301330125E10</v>
      </c>
      <c r="Y141" s="23"/>
      <c r="Z141" s="21" t="n">
        <f>52087</f>
        <v>52087.0</v>
      </c>
      <c r="AA141" s="21" t="n">
        <f>54061</f>
        <v>54061.0</v>
      </c>
      <c r="AB141" s="4" t="s">
        <v>132</v>
      </c>
      <c r="AC141" s="22" t="n">
        <f>74891</f>
        <v>74891.0</v>
      </c>
      <c r="AD141" s="5" t="s">
        <v>201</v>
      </c>
      <c r="AE141" s="23" t="n">
        <f>23466</f>
        <v>23466.0</v>
      </c>
    </row>
    <row r="142">
      <c r="A142" s="24" t="s">
        <v>494</v>
      </c>
      <c r="B142" s="25" t="s">
        <v>495</v>
      </c>
      <c r="C142" s="26"/>
      <c r="D142" s="27"/>
      <c r="E142" s="28" t="s">
        <v>112</v>
      </c>
      <c r="F142" s="20" t="n">
        <f>120</f>
        <v>120.0</v>
      </c>
      <c r="G142" s="21" t="n">
        <f>3577186</f>
        <v>3577186.0</v>
      </c>
      <c r="H142" s="21"/>
      <c r="I142" s="21" t="n">
        <f>166308</f>
        <v>166308.0</v>
      </c>
      <c r="J142" s="21" t="n">
        <f>29810</f>
        <v>29810.0</v>
      </c>
      <c r="K142" s="21" t="n">
        <f>1386</f>
        <v>1386.0</v>
      </c>
      <c r="L142" s="4" t="s">
        <v>116</v>
      </c>
      <c r="M142" s="22" t="n">
        <f>124710</f>
        <v>124710.0</v>
      </c>
      <c r="N142" s="5" t="s">
        <v>113</v>
      </c>
      <c r="O142" s="23" t="n">
        <f>7373</f>
        <v>7373.0</v>
      </c>
      <c r="P142" s="3" t="s">
        <v>561</v>
      </c>
      <c r="Q142" s="21"/>
      <c r="R142" s="3" t="s">
        <v>562</v>
      </c>
      <c r="S142" s="21" t="n">
        <f>46807191104</f>
        <v>4.6807191104E10</v>
      </c>
      <c r="T142" s="21" t="n">
        <f>2160787375</f>
        <v>2.160787375E9</v>
      </c>
      <c r="U142" s="5" t="s">
        <v>53</v>
      </c>
      <c r="V142" s="23" t="n">
        <f>161927679470</f>
        <v>1.6192767947E11</v>
      </c>
      <c r="W142" s="5" t="s">
        <v>113</v>
      </c>
      <c r="X142" s="23" t="n">
        <f>12689503850</f>
        <v>1.268950385E10</v>
      </c>
      <c r="Y142" s="23"/>
      <c r="Z142" s="21" t="n">
        <f>159476</f>
        <v>159476.0</v>
      </c>
      <c r="AA142" s="21" t="n">
        <f>39601</f>
        <v>39601.0</v>
      </c>
      <c r="AB142" s="4" t="s">
        <v>116</v>
      </c>
      <c r="AC142" s="22" t="n">
        <f>144791</f>
        <v>144791.0</v>
      </c>
      <c r="AD142" s="5" t="s">
        <v>396</v>
      </c>
      <c r="AE142" s="23" t="n">
        <f>28684</f>
        <v>28684.0</v>
      </c>
    </row>
    <row r="143">
      <c r="A143" s="24" t="s">
        <v>494</v>
      </c>
      <c r="B143" s="25" t="s">
        <v>495</v>
      </c>
      <c r="C143" s="26"/>
      <c r="D143" s="27"/>
      <c r="E143" s="28" t="s">
        <v>118</v>
      </c>
      <c r="F143" s="20" t="n">
        <f>122</f>
        <v>122.0</v>
      </c>
      <c r="G143" s="21" t="n">
        <f>4071958</f>
        <v>4071958.0</v>
      </c>
      <c r="H143" s="21"/>
      <c r="I143" s="21" t="n">
        <f>203106</f>
        <v>203106.0</v>
      </c>
      <c r="J143" s="21" t="n">
        <f>33377</f>
        <v>33377.0</v>
      </c>
      <c r="K143" s="21" t="n">
        <f>1665</f>
        <v>1665.0</v>
      </c>
      <c r="L143" s="4" t="s">
        <v>563</v>
      </c>
      <c r="M143" s="22" t="n">
        <f>86308</f>
        <v>86308.0</v>
      </c>
      <c r="N143" s="5" t="s">
        <v>123</v>
      </c>
      <c r="O143" s="23" t="n">
        <f>11043</f>
        <v>11043.0</v>
      </c>
      <c r="P143" s="3" t="s">
        <v>564</v>
      </c>
      <c r="Q143" s="21"/>
      <c r="R143" s="3" t="s">
        <v>565</v>
      </c>
      <c r="S143" s="21" t="n">
        <f>52004346232</f>
        <v>5.2004346232E10</v>
      </c>
      <c r="T143" s="21" t="n">
        <f>2614207695</f>
        <v>2.614207695E9</v>
      </c>
      <c r="U143" s="5" t="s">
        <v>563</v>
      </c>
      <c r="V143" s="23" t="n">
        <f>139232180210</f>
        <v>1.3923218021E11</v>
      </c>
      <c r="W143" s="5" t="s">
        <v>123</v>
      </c>
      <c r="X143" s="23" t="n">
        <f>15606708050</f>
        <v>1.560670805E10</v>
      </c>
      <c r="Y143" s="23"/>
      <c r="Z143" s="21" t="n">
        <f>164942</f>
        <v>164942.0</v>
      </c>
      <c r="AA143" s="21" t="n">
        <f>45464</f>
        <v>45464.0</v>
      </c>
      <c r="AB143" s="4" t="s">
        <v>107</v>
      </c>
      <c r="AC143" s="22" t="n">
        <f>171383</f>
        <v>171383.0</v>
      </c>
      <c r="AD143" s="5" t="s">
        <v>205</v>
      </c>
      <c r="AE143" s="23" t="n">
        <f>26981</f>
        <v>26981.0</v>
      </c>
    </row>
    <row r="144">
      <c r="A144" s="24" t="s">
        <v>494</v>
      </c>
      <c r="B144" s="25" t="s">
        <v>495</v>
      </c>
      <c r="C144" s="26"/>
      <c r="D144" s="27"/>
      <c r="E144" s="28" t="s">
        <v>124</v>
      </c>
      <c r="F144" s="20" t="n">
        <f>123</f>
        <v>123.0</v>
      </c>
      <c r="G144" s="21" t="n">
        <f>4192448</f>
        <v>4192448.0</v>
      </c>
      <c r="H144" s="21"/>
      <c r="I144" s="21" t="n">
        <f>118217</f>
        <v>118217.0</v>
      </c>
      <c r="J144" s="21" t="n">
        <f>34085</f>
        <v>34085.0</v>
      </c>
      <c r="K144" s="21" t="n">
        <f>961</f>
        <v>961.0</v>
      </c>
      <c r="L144" s="4" t="s">
        <v>208</v>
      </c>
      <c r="M144" s="22" t="n">
        <f>76736</f>
        <v>76736.0</v>
      </c>
      <c r="N144" s="5" t="s">
        <v>113</v>
      </c>
      <c r="O144" s="23" t="n">
        <f>8209</f>
        <v>8209.0</v>
      </c>
      <c r="P144" s="3" t="s">
        <v>566</v>
      </c>
      <c r="Q144" s="21"/>
      <c r="R144" s="3" t="s">
        <v>567</v>
      </c>
      <c r="S144" s="21" t="n">
        <f>61859599296</f>
        <v>6.1859599296E10</v>
      </c>
      <c r="T144" s="21" t="n">
        <f>1731290935</f>
        <v>1.731290935E9</v>
      </c>
      <c r="U144" s="5" t="s">
        <v>568</v>
      </c>
      <c r="V144" s="23" t="n">
        <f>137056872320</f>
        <v>1.3705687232E11</v>
      </c>
      <c r="W144" s="5" t="s">
        <v>113</v>
      </c>
      <c r="X144" s="23" t="n">
        <f>14568036500</f>
        <v>1.45680365E10</v>
      </c>
      <c r="Y144" s="23"/>
      <c r="Z144" s="21" t="n">
        <f>334522</f>
        <v>334522.0</v>
      </c>
      <c r="AA144" s="21" t="n">
        <f>64778</f>
        <v>64778.0</v>
      </c>
      <c r="AB144" s="4" t="s">
        <v>81</v>
      </c>
      <c r="AC144" s="22" t="n">
        <f>123276</f>
        <v>123276.0</v>
      </c>
      <c r="AD144" s="5" t="s">
        <v>212</v>
      </c>
      <c r="AE144" s="23" t="n">
        <f>27477</f>
        <v>27477.0</v>
      </c>
    </row>
    <row r="145">
      <c r="A145" s="24" t="s">
        <v>494</v>
      </c>
      <c r="B145" s="25" t="s">
        <v>495</v>
      </c>
      <c r="C145" s="26"/>
      <c r="D145" s="27"/>
      <c r="E145" s="28" t="s">
        <v>127</v>
      </c>
      <c r="F145" s="20" t="n">
        <f>122</f>
        <v>122.0</v>
      </c>
      <c r="G145" s="21" t="n">
        <f>4414369</f>
        <v>4414369.0</v>
      </c>
      <c r="H145" s="21"/>
      <c r="I145" s="21" t="n">
        <f>132421</f>
        <v>132421.0</v>
      </c>
      <c r="J145" s="21" t="n">
        <f>36183</f>
        <v>36183.0</v>
      </c>
      <c r="K145" s="21" t="n">
        <f>1085</f>
        <v>1085.0</v>
      </c>
      <c r="L145" s="4" t="s">
        <v>213</v>
      </c>
      <c r="M145" s="22" t="n">
        <f>78262</f>
        <v>78262.0</v>
      </c>
      <c r="N145" s="5" t="s">
        <v>254</v>
      </c>
      <c r="O145" s="23" t="n">
        <f>18587</f>
        <v>18587.0</v>
      </c>
      <c r="P145" s="3" t="s">
        <v>569</v>
      </c>
      <c r="Q145" s="21"/>
      <c r="R145" s="3" t="s">
        <v>570</v>
      </c>
      <c r="S145" s="21" t="n">
        <f>70722432328</f>
        <v>7.0722432328E10</v>
      </c>
      <c r="T145" s="21" t="n">
        <f>2142504124</f>
        <v>2.142504124E9</v>
      </c>
      <c r="U145" s="5" t="s">
        <v>128</v>
      </c>
      <c r="V145" s="23" t="n">
        <f>157018449761</f>
        <v>1.57018449761E11</v>
      </c>
      <c r="W145" s="5" t="s">
        <v>132</v>
      </c>
      <c r="X145" s="23" t="n">
        <f>37625900200</f>
        <v>3.76259002E10</v>
      </c>
      <c r="Y145" s="23"/>
      <c r="Z145" s="21" t="n">
        <f>514896</f>
        <v>514896.0</v>
      </c>
      <c r="AA145" s="21" t="n">
        <f>56693</f>
        <v>56693.0</v>
      </c>
      <c r="AB145" s="4" t="s">
        <v>88</v>
      </c>
      <c r="AC145" s="22" t="n">
        <f>78913</f>
        <v>78913.0</v>
      </c>
      <c r="AD145" s="5" t="s">
        <v>205</v>
      </c>
      <c r="AE145" s="23" t="n">
        <f>33606</f>
        <v>33606.0</v>
      </c>
    </row>
    <row r="146">
      <c r="A146" s="24" t="s">
        <v>494</v>
      </c>
      <c r="B146" s="25" t="s">
        <v>495</v>
      </c>
      <c r="C146" s="26"/>
      <c r="D146" s="27"/>
      <c r="E146" s="28" t="s">
        <v>133</v>
      </c>
      <c r="F146" s="20" t="n">
        <f>122</f>
        <v>122.0</v>
      </c>
      <c r="G146" s="21" t="n">
        <f>4649951</f>
        <v>4649951.0</v>
      </c>
      <c r="H146" s="21"/>
      <c r="I146" s="21" t="n">
        <f>153979</f>
        <v>153979.0</v>
      </c>
      <c r="J146" s="21" t="n">
        <f>38114</f>
        <v>38114.0</v>
      </c>
      <c r="K146" s="21" t="n">
        <f>1262</f>
        <v>1262.0</v>
      </c>
      <c r="L146" s="4" t="s">
        <v>93</v>
      </c>
      <c r="M146" s="22" t="n">
        <f>88427</f>
        <v>88427.0</v>
      </c>
      <c r="N146" s="5" t="s">
        <v>134</v>
      </c>
      <c r="O146" s="23" t="n">
        <f>12102</f>
        <v>12102.0</v>
      </c>
      <c r="P146" s="3" t="s">
        <v>571</v>
      </c>
      <c r="Q146" s="21"/>
      <c r="R146" s="3" t="s">
        <v>572</v>
      </c>
      <c r="S146" s="21" t="n">
        <f>73964059708</f>
        <v>7.3964059708E10</v>
      </c>
      <c r="T146" s="21" t="n">
        <f>2419033346</f>
        <v>2.419033346E9</v>
      </c>
      <c r="U146" s="5" t="s">
        <v>93</v>
      </c>
      <c r="V146" s="23" t="n">
        <f>156634838540</f>
        <v>1.5663483854E11</v>
      </c>
      <c r="W146" s="5" t="s">
        <v>134</v>
      </c>
      <c r="X146" s="23" t="n">
        <f>23936727750</f>
        <v>2.393672775E10</v>
      </c>
      <c r="Y146" s="23"/>
      <c r="Z146" s="21" t="n">
        <f>613574</f>
        <v>613574.0</v>
      </c>
      <c r="AA146" s="21" t="n">
        <f>51618</f>
        <v>51618.0</v>
      </c>
      <c r="AB146" s="4" t="s">
        <v>64</v>
      </c>
      <c r="AC146" s="22" t="n">
        <f>70561</f>
        <v>70561.0</v>
      </c>
      <c r="AD146" s="5" t="s">
        <v>138</v>
      </c>
      <c r="AE146" s="23" t="n">
        <f>23221</f>
        <v>23221.0</v>
      </c>
    </row>
    <row r="147">
      <c r="A147" s="24" t="s">
        <v>494</v>
      </c>
      <c r="B147" s="25" t="s">
        <v>495</v>
      </c>
      <c r="C147" s="26"/>
      <c r="D147" s="27"/>
      <c r="E147" s="28" t="s">
        <v>139</v>
      </c>
      <c r="F147" s="20" t="n">
        <f>123</f>
        <v>123.0</v>
      </c>
      <c r="G147" s="21" t="n">
        <f>3320205</f>
        <v>3320205.0</v>
      </c>
      <c r="H147" s="21"/>
      <c r="I147" s="21" t="n">
        <f>163197</f>
        <v>163197.0</v>
      </c>
      <c r="J147" s="21" t="n">
        <f>26994</f>
        <v>26994.0</v>
      </c>
      <c r="K147" s="21" t="n">
        <f>1327</f>
        <v>1327.0</v>
      </c>
      <c r="L147" s="4" t="s">
        <v>71</v>
      </c>
      <c r="M147" s="22" t="n">
        <f>81133</f>
        <v>81133.0</v>
      </c>
      <c r="N147" s="5" t="s">
        <v>573</v>
      </c>
      <c r="O147" s="23" t="n">
        <f>14719</f>
        <v>14719.0</v>
      </c>
      <c r="P147" s="3" t="s">
        <v>574</v>
      </c>
      <c r="Q147" s="21"/>
      <c r="R147" s="3" t="s">
        <v>575</v>
      </c>
      <c r="S147" s="21" t="n">
        <f>51376209083</f>
        <v>5.1376209083E10</v>
      </c>
      <c r="T147" s="21" t="n">
        <f>2544416407</f>
        <v>2.544416407E9</v>
      </c>
      <c r="U147" s="5" t="s">
        <v>71</v>
      </c>
      <c r="V147" s="23" t="n">
        <f>158025263987</f>
        <v>1.58025263987E11</v>
      </c>
      <c r="W147" s="5" t="s">
        <v>573</v>
      </c>
      <c r="X147" s="23" t="n">
        <f>29236678550</f>
        <v>2.923667855E10</v>
      </c>
      <c r="Y147" s="23"/>
      <c r="Z147" s="21" t="n">
        <f>229726</f>
        <v>229726.0</v>
      </c>
      <c r="AA147" s="21" t="n">
        <f>43264</f>
        <v>43264.0</v>
      </c>
      <c r="AB147" s="4" t="s">
        <v>75</v>
      </c>
      <c r="AC147" s="22" t="n">
        <f>85497</f>
        <v>85497.0</v>
      </c>
      <c r="AD147" s="5" t="s">
        <v>76</v>
      </c>
      <c r="AE147" s="23" t="n">
        <f>27807</f>
        <v>27807.0</v>
      </c>
    </row>
    <row r="148">
      <c r="A148" s="24" t="s">
        <v>494</v>
      </c>
      <c r="B148" s="25" t="s">
        <v>495</v>
      </c>
      <c r="C148" s="26"/>
      <c r="D148" s="27"/>
      <c r="E148" s="28" t="s">
        <v>145</v>
      </c>
      <c r="F148" s="20" t="n">
        <f>122</f>
        <v>122.0</v>
      </c>
      <c r="G148" s="21" t="n">
        <f>3103931</f>
        <v>3103931.0</v>
      </c>
      <c r="H148" s="21"/>
      <c r="I148" s="21" t="n">
        <f>139580</f>
        <v>139580.0</v>
      </c>
      <c r="J148" s="21" t="n">
        <f>25442</f>
        <v>25442.0</v>
      </c>
      <c r="K148" s="21" t="n">
        <f>1144</f>
        <v>1144.0</v>
      </c>
      <c r="L148" s="4" t="s">
        <v>78</v>
      </c>
      <c r="M148" s="22" t="n">
        <f>64824</f>
        <v>64824.0</v>
      </c>
      <c r="N148" s="5" t="s">
        <v>134</v>
      </c>
      <c r="O148" s="23" t="n">
        <f>10613</f>
        <v>10613.0</v>
      </c>
      <c r="P148" s="3" t="s">
        <v>576</v>
      </c>
      <c r="Q148" s="21"/>
      <c r="R148" s="3" t="s">
        <v>577</v>
      </c>
      <c r="S148" s="21" t="n">
        <f>49457533905</f>
        <v>4.9457533905E10</v>
      </c>
      <c r="T148" s="21" t="n">
        <f>2243379631</f>
        <v>2.243379631E9</v>
      </c>
      <c r="U148" s="5" t="s">
        <v>78</v>
      </c>
      <c r="V148" s="23" t="n">
        <f>126172111956</f>
        <v>1.26172111956E11</v>
      </c>
      <c r="W148" s="5" t="s">
        <v>134</v>
      </c>
      <c r="X148" s="23" t="n">
        <f>20245551450</f>
        <v>2.024555145E10</v>
      </c>
      <c r="Y148" s="23"/>
      <c r="Z148" s="21" t="n">
        <f>170673</f>
        <v>170673.0</v>
      </c>
      <c r="AA148" s="21" t="n">
        <f>42482</f>
        <v>42482.0</v>
      </c>
      <c r="AB148" s="4" t="s">
        <v>149</v>
      </c>
      <c r="AC148" s="22" t="n">
        <f>72305</f>
        <v>72305.0</v>
      </c>
      <c r="AD148" s="5" t="s">
        <v>116</v>
      </c>
      <c r="AE148" s="23" t="n">
        <f>28325</f>
        <v>28325.0</v>
      </c>
    </row>
    <row r="149">
      <c r="A149" s="24" t="s">
        <v>494</v>
      </c>
      <c r="B149" s="25" t="s">
        <v>495</v>
      </c>
      <c r="C149" s="26"/>
      <c r="D149" s="27"/>
      <c r="E149" s="28" t="s">
        <v>150</v>
      </c>
      <c r="F149" s="20" t="n">
        <f>124</f>
        <v>124.0</v>
      </c>
      <c r="G149" s="21" t="n">
        <f>3515284</f>
        <v>3515284.0</v>
      </c>
      <c r="H149" s="21"/>
      <c r="I149" s="21" t="n">
        <f>131382</f>
        <v>131382.0</v>
      </c>
      <c r="J149" s="21" t="n">
        <f>28349</f>
        <v>28349.0</v>
      </c>
      <c r="K149" s="21" t="n">
        <f>1060</f>
        <v>1060.0</v>
      </c>
      <c r="L149" s="4" t="s">
        <v>71</v>
      </c>
      <c r="M149" s="22" t="n">
        <f>68329</f>
        <v>68329.0</v>
      </c>
      <c r="N149" s="5" t="s">
        <v>151</v>
      </c>
      <c r="O149" s="23" t="n">
        <f>13540</f>
        <v>13540.0</v>
      </c>
      <c r="P149" s="3" t="s">
        <v>578</v>
      </c>
      <c r="Q149" s="21"/>
      <c r="R149" s="3" t="s">
        <v>579</v>
      </c>
      <c r="S149" s="21" t="n">
        <f>63135387280</f>
        <v>6.313538728E10</v>
      </c>
      <c r="T149" s="21" t="n">
        <f>2382580512</f>
        <v>2.382580512E9</v>
      </c>
      <c r="U149" s="5" t="s">
        <v>71</v>
      </c>
      <c r="V149" s="23" t="n">
        <f>151944916540</f>
        <v>1.5194491654E11</v>
      </c>
      <c r="W149" s="5" t="s">
        <v>151</v>
      </c>
      <c r="X149" s="23" t="n">
        <f>26743786250</f>
        <v>2.674378625E10</v>
      </c>
      <c r="Y149" s="23"/>
      <c r="Z149" s="21" t="n">
        <f>141268</f>
        <v>141268.0</v>
      </c>
      <c r="AA149" s="21" t="n">
        <f>36340</f>
        <v>36340.0</v>
      </c>
      <c r="AB149" s="4" t="s">
        <v>96</v>
      </c>
      <c r="AC149" s="22" t="n">
        <f>84035</f>
        <v>84035.0</v>
      </c>
      <c r="AD149" s="5" t="s">
        <v>76</v>
      </c>
      <c r="AE149" s="23" t="n">
        <f>26456</f>
        <v>26456.0</v>
      </c>
    </row>
    <row r="150">
      <c r="A150" s="24" t="s">
        <v>494</v>
      </c>
      <c r="B150" s="25" t="s">
        <v>495</v>
      </c>
      <c r="C150" s="26"/>
      <c r="D150" s="27"/>
      <c r="E150" s="28" t="s">
        <v>154</v>
      </c>
      <c r="F150" s="20" t="n">
        <f>120</f>
        <v>120.0</v>
      </c>
      <c r="G150" s="21" t="n">
        <f>3463766</f>
        <v>3463766.0</v>
      </c>
      <c r="H150" s="21"/>
      <c r="I150" s="21" t="n">
        <f>132060</f>
        <v>132060.0</v>
      </c>
      <c r="J150" s="21" t="n">
        <f>28865</f>
        <v>28865.0</v>
      </c>
      <c r="K150" s="21" t="n">
        <f>1101</f>
        <v>1101.0</v>
      </c>
      <c r="L150" s="4" t="s">
        <v>197</v>
      </c>
      <c r="M150" s="22" t="n">
        <f>56135</f>
        <v>56135.0</v>
      </c>
      <c r="N150" s="5" t="s">
        <v>50</v>
      </c>
      <c r="O150" s="23" t="n">
        <f>11371</f>
        <v>11371.0</v>
      </c>
      <c r="P150" s="3" t="s">
        <v>580</v>
      </c>
      <c r="Q150" s="21"/>
      <c r="R150" s="3" t="s">
        <v>581</v>
      </c>
      <c r="S150" s="21" t="n">
        <f>71135762233</f>
        <v>7.1135762233E10</v>
      </c>
      <c r="T150" s="21" t="n">
        <f>2736885447</f>
        <v>2.736885447E9</v>
      </c>
      <c r="U150" s="5" t="s">
        <v>234</v>
      </c>
      <c r="V150" s="23" t="n">
        <f>154451989840</f>
        <v>1.5445198984E11</v>
      </c>
      <c r="W150" s="5" t="s">
        <v>50</v>
      </c>
      <c r="X150" s="23" t="n">
        <f>26529796375</f>
        <v>2.6529796375E10</v>
      </c>
      <c r="Y150" s="23"/>
      <c r="Z150" s="21" t="n">
        <f>173508</f>
        <v>173508.0</v>
      </c>
      <c r="AA150" s="21" t="n">
        <f>53470</f>
        <v>53470.0</v>
      </c>
      <c r="AB150" s="4" t="s">
        <v>93</v>
      </c>
      <c r="AC150" s="22" t="n">
        <f>64387</f>
        <v>64387.0</v>
      </c>
      <c r="AD150" s="5" t="s">
        <v>582</v>
      </c>
      <c r="AE150" s="23" t="n">
        <f>28912</f>
        <v>28912.0</v>
      </c>
    </row>
    <row r="151">
      <c r="A151" s="24" t="s">
        <v>583</v>
      </c>
      <c r="B151" s="25" t="s">
        <v>584</v>
      </c>
      <c r="C151" s="26"/>
      <c r="D151" s="27"/>
      <c r="E151" s="28" t="s">
        <v>154</v>
      </c>
      <c r="F151" s="20" t="n">
        <f>9</f>
        <v>9.0</v>
      </c>
      <c r="G151" s="21" t="n">
        <f>25</f>
        <v>25.0</v>
      </c>
      <c r="H151" s="21"/>
      <c r="I151" s="21" t="n">
        <f>22</f>
        <v>22.0</v>
      </c>
      <c r="J151" s="21" t="n">
        <f>3</f>
        <v>3.0</v>
      </c>
      <c r="K151" s="21" t="n">
        <f>2</f>
        <v>2.0</v>
      </c>
      <c r="L151" s="4" t="s">
        <v>585</v>
      </c>
      <c r="M151" s="22" t="n">
        <f>22</f>
        <v>22.0</v>
      </c>
      <c r="N151" s="5" t="s">
        <v>586</v>
      </c>
      <c r="O151" s="23" t="str">
        <f>"－"</f>
        <v>－</v>
      </c>
      <c r="P151" s="3" t="s">
        <v>587</v>
      </c>
      <c r="Q151" s="21"/>
      <c r="R151" s="3" t="s">
        <v>588</v>
      </c>
      <c r="S151" s="21" t="n">
        <f>3334664</f>
        <v>3334664.0</v>
      </c>
      <c r="T151" s="21" t="n">
        <f>2941498</f>
        <v>2941498.0</v>
      </c>
      <c r="U151" s="5" t="s">
        <v>585</v>
      </c>
      <c r="V151" s="23" t="n">
        <f>26473480</f>
        <v>2.647348E7</v>
      </c>
      <c r="W151" s="5" t="s">
        <v>586</v>
      </c>
      <c r="X151" s="23" t="str">
        <f>"－"</f>
        <v>－</v>
      </c>
      <c r="Y151" s="23"/>
      <c r="Z151" s="21" t="n">
        <f>6</f>
        <v>6.0</v>
      </c>
      <c r="AA151" s="21" t="n">
        <f>23</f>
        <v>23.0</v>
      </c>
      <c r="AB151" s="4" t="s">
        <v>585</v>
      </c>
      <c r="AC151" s="22" t="n">
        <f>23</f>
        <v>23.0</v>
      </c>
      <c r="AD151" s="5" t="s">
        <v>586</v>
      </c>
      <c r="AE151" s="23" t="n">
        <f>1</f>
        <v>1.0</v>
      </c>
    </row>
    <row r="152">
      <c r="A152" s="24" t="s">
        <v>589</v>
      </c>
      <c r="B152" s="25" t="s">
        <v>590</v>
      </c>
      <c r="C152" s="26"/>
      <c r="D152" s="27"/>
      <c r="E152" s="28" t="s">
        <v>48</v>
      </c>
      <c r="F152" s="20" t="n">
        <f>85</f>
        <v>85.0</v>
      </c>
      <c r="G152" s="21" t="n">
        <f>4133300</f>
        <v>4133300.0</v>
      </c>
      <c r="H152" s="21"/>
      <c r="I152" s="21" t="n">
        <f>976172</f>
        <v>976172.0</v>
      </c>
      <c r="J152" s="21" t="n">
        <f>48627</f>
        <v>48627.0</v>
      </c>
      <c r="K152" s="21" t="n">
        <f>11484</f>
        <v>11484.0</v>
      </c>
      <c r="L152" s="4" t="s">
        <v>53</v>
      </c>
      <c r="M152" s="22" t="n">
        <f>320880</f>
        <v>320880.0</v>
      </c>
      <c r="N152" s="5" t="s">
        <v>113</v>
      </c>
      <c r="O152" s="23" t="n">
        <f>6724</f>
        <v>6724.0</v>
      </c>
      <c r="P152" s="3" t="s">
        <v>591</v>
      </c>
      <c r="Q152" s="21"/>
      <c r="R152" s="3" t="s">
        <v>592</v>
      </c>
      <c r="S152" s="21" t="n">
        <f>64366845751</f>
        <v>6.4366845751E10</v>
      </c>
      <c r="T152" s="21" t="n">
        <f>15432500371</f>
        <v>1.5432500371E10</v>
      </c>
      <c r="U152" s="5" t="s">
        <v>53</v>
      </c>
      <c r="V152" s="23" t="n">
        <f>446159225200</f>
        <v>4.461592252E11</v>
      </c>
      <c r="W152" s="5" t="s">
        <v>113</v>
      </c>
      <c r="X152" s="23" t="n">
        <f>8688686500</f>
        <v>8.6886865E9</v>
      </c>
      <c r="Y152" s="23"/>
      <c r="Z152" s="21" t="n">
        <f>668875</f>
        <v>668875.0</v>
      </c>
      <c r="AA152" s="21" t="n">
        <f>288288</f>
        <v>288288.0</v>
      </c>
      <c r="AB152" s="4" t="s">
        <v>116</v>
      </c>
      <c r="AC152" s="22" t="n">
        <f>478225</f>
        <v>478225.0</v>
      </c>
      <c r="AD152" s="5" t="s">
        <v>593</v>
      </c>
      <c r="AE152" s="23" t="n">
        <f>58661</f>
        <v>58661.0</v>
      </c>
    </row>
    <row r="153">
      <c r="A153" s="24" t="s">
        <v>589</v>
      </c>
      <c r="B153" s="25" t="s">
        <v>590</v>
      </c>
      <c r="C153" s="26"/>
      <c r="D153" s="27"/>
      <c r="E153" s="28" t="s">
        <v>56</v>
      </c>
      <c r="F153" s="20" t="n">
        <f>123</f>
        <v>123.0</v>
      </c>
      <c r="G153" s="21" t="n">
        <f>5786060</f>
        <v>5786060.0</v>
      </c>
      <c r="H153" s="21"/>
      <c r="I153" s="21" t="n">
        <f>1120975</f>
        <v>1120975.0</v>
      </c>
      <c r="J153" s="21" t="n">
        <f>47041</f>
        <v>47041.0</v>
      </c>
      <c r="K153" s="21" t="n">
        <f>9114</f>
        <v>9114.0</v>
      </c>
      <c r="L153" s="4" t="s">
        <v>88</v>
      </c>
      <c r="M153" s="22" t="n">
        <f>298863</f>
        <v>298863.0</v>
      </c>
      <c r="N153" s="5" t="s">
        <v>594</v>
      </c>
      <c r="O153" s="23" t="n">
        <f>12028</f>
        <v>12028.0</v>
      </c>
      <c r="P153" s="3" t="s">
        <v>595</v>
      </c>
      <c r="Q153" s="21"/>
      <c r="R153" s="3" t="s">
        <v>596</v>
      </c>
      <c r="S153" s="21" t="n">
        <f>66760823648</f>
        <v>6.6760823648E10</v>
      </c>
      <c r="T153" s="21" t="n">
        <f>12936526115</f>
        <v>1.2936526115E10</v>
      </c>
      <c r="U153" s="5" t="s">
        <v>88</v>
      </c>
      <c r="V153" s="23" t="n">
        <f>445036783500</f>
        <v>4.450367835E11</v>
      </c>
      <c r="W153" s="5" t="s">
        <v>594</v>
      </c>
      <c r="X153" s="23" t="n">
        <f>17924091100</f>
        <v>1.79240911E10</v>
      </c>
      <c r="Y153" s="23"/>
      <c r="Z153" s="21" t="n">
        <f>501556</f>
        <v>501556.0</v>
      </c>
      <c r="AA153" s="21" t="n">
        <f>238756</f>
        <v>238756.0</v>
      </c>
      <c r="AB153" s="4" t="s">
        <v>107</v>
      </c>
      <c r="AC153" s="22" t="n">
        <f>385534</f>
        <v>385534.0</v>
      </c>
      <c r="AD153" s="5" t="s">
        <v>192</v>
      </c>
      <c r="AE153" s="23" t="n">
        <f>204052</f>
        <v>204052.0</v>
      </c>
    </row>
    <row r="154">
      <c r="A154" s="24" t="s">
        <v>589</v>
      </c>
      <c r="B154" s="25" t="s">
        <v>590</v>
      </c>
      <c r="C154" s="26"/>
      <c r="D154" s="27"/>
      <c r="E154" s="28" t="s">
        <v>63</v>
      </c>
      <c r="F154" s="20" t="n">
        <f>122</f>
        <v>122.0</v>
      </c>
      <c r="G154" s="21" t="n">
        <f>4132443</f>
        <v>4132443.0</v>
      </c>
      <c r="H154" s="21"/>
      <c r="I154" s="21" t="n">
        <f>985350</f>
        <v>985350.0</v>
      </c>
      <c r="J154" s="21" t="n">
        <f>33872</f>
        <v>33872.0</v>
      </c>
      <c r="K154" s="21" t="n">
        <f>8077</f>
        <v>8077.0</v>
      </c>
      <c r="L154" s="4" t="s">
        <v>81</v>
      </c>
      <c r="M154" s="22" t="n">
        <f>237896</f>
        <v>237896.0</v>
      </c>
      <c r="N154" s="5" t="s">
        <v>113</v>
      </c>
      <c r="O154" s="23" t="n">
        <f>7474</f>
        <v>7474.0</v>
      </c>
      <c r="P154" s="3" t="s">
        <v>597</v>
      </c>
      <c r="Q154" s="21"/>
      <c r="R154" s="3" t="s">
        <v>598</v>
      </c>
      <c r="S154" s="21" t="n">
        <f>44530958291</f>
        <v>4.4530958291E10</v>
      </c>
      <c r="T154" s="21" t="n">
        <f>10719323297</f>
        <v>1.0719323297E10</v>
      </c>
      <c r="U154" s="5" t="s">
        <v>81</v>
      </c>
      <c r="V154" s="23" t="n">
        <f>333822164100</f>
        <v>3.338221641E11</v>
      </c>
      <c r="W154" s="5" t="s">
        <v>113</v>
      </c>
      <c r="X154" s="23" t="n">
        <f>10235678900</f>
        <v>1.02356789E10</v>
      </c>
      <c r="Y154" s="23"/>
      <c r="Z154" s="21" t="n">
        <f>271818</f>
        <v>271818.0</v>
      </c>
      <c r="AA154" s="21" t="n">
        <f>202450</f>
        <v>202450.0</v>
      </c>
      <c r="AB154" s="4" t="s">
        <v>93</v>
      </c>
      <c r="AC154" s="22" t="n">
        <f>329858</f>
        <v>329858.0</v>
      </c>
      <c r="AD154" s="5" t="s">
        <v>171</v>
      </c>
      <c r="AE154" s="23" t="n">
        <f>164875</f>
        <v>164875.0</v>
      </c>
    </row>
    <row r="155">
      <c r="A155" s="24" t="s">
        <v>589</v>
      </c>
      <c r="B155" s="25" t="s">
        <v>590</v>
      </c>
      <c r="C155" s="26"/>
      <c r="D155" s="27"/>
      <c r="E155" s="28" t="s">
        <v>70</v>
      </c>
      <c r="F155" s="20" t="n">
        <f>123</f>
        <v>123.0</v>
      </c>
      <c r="G155" s="21" t="n">
        <f>3677034</f>
        <v>3677034.0</v>
      </c>
      <c r="H155" s="21"/>
      <c r="I155" s="21" t="n">
        <f>945569</f>
        <v>945569.0</v>
      </c>
      <c r="J155" s="21" t="n">
        <f>29895</f>
        <v>29895.0</v>
      </c>
      <c r="K155" s="21" t="n">
        <f>7688</f>
        <v>7688.0</v>
      </c>
      <c r="L155" s="4" t="s">
        <v>143</v>
      </c>
      <c r="M155" s="22" t="n">
        <f>245268</f>
        <v>245268.0</v>
      </c>
      <c r="N155" s="5" t="s">
        <v>179</v>
      </c>
      <c r="O155" s="23" t="n">
        <f>8102</f>
        <v>8102.0</v>
      </c>
      <c r="P155" s="3" t="s">
        <v>599</v>
      </c>
      <c r="Q155" s="21"/>
      <c r="R155" s="3" t="s">
        <v>600</v>
      </c>
      <c r="S155" s="21" t="n">
        <f>35482739434</f>
        <v>3.5482739434E10</v>
      </c>
      <c r="T155" s="21" t="n">
        <f>9172492166</f>
        <v>9.172492166E9</v>
      </c>
      <c r="U155" s="5" t="s">
        <v>143</v>
      </c>
      <c r="V155" s="23" t="n">
        <f>296546348000</f>
        <v>2.96546348E11</v>
      </c>
      <c r="W155" s="5" t="s">
        <v>179</v>
      </c>
      <c r="X155" s="23" t="n">
        <f>9810286800</f>
        <v>9.8102868E9</v>
      </c>
      <c r="Y155" s="23"/>
      <c r="Z155" s="21" t="n">
        <f>233080</f>
        <v>233080.0</v>
      </c>
      <c r="AA155" s="21" t="n">
        <f>156447</f>
        <v>156447.0</v>
      </c>
      <c r="AB155" s="4" t="s">
        <v>75</v>
      </c>
      <c r="AC155" s="22" t="n">
        <f>323304</f>
        <v>323304.0</v>
      </c>
      <c r="AD155" s="5" t="s">
        <v>144</v>
      </c>
      <c r="AE155" s="23" t="n">
        <f>134641</f>
        <v>134641.0</v>
      </c>
    </row>
    <row r="156">
      <c r="A156" s="24" t="s">
        <v>589</v>
      </c>
      <c r="B156" s="25" t="s">
        <v>590</v>
      </c>
      <c r="C156" s="26"/>
      <c r="D156" s="27"/>
      <c r="E156" s="28" t="s">
        <v>77</v>
      </c>
      <c r="F156" s="20" t="n">
        <f>122</f>
        <v>122.0</v>
      </c>
      <c r="G156" s="21" t="n">
        <f>3344054</f>
        <v>3344054.0</v>
      </c>
      <c r="H156" s="21"/>
      <c r="I156" s="21" t="n">
        <f>841658</f>
        <v>841658.0</v>
      </c>
      <c r="J156" s="21" t="n">
        <f>27410</f>
        <v>27410.0</v>
      </c>
      <c r="K156" s="21" t="n">
        <f>6899</f>
        <v>6899.0</v>
      </c>
      <c r="L156" s="4" t="s">
        <v>78</v>
      </c>
      <c r="M156" s="22" t="n">
        <f>162880</f>
        <v>162880.0</v>
      </c>
      <c r="N156" s="5" t="s">
        <v>50</v>
      </c>
      <c r="O156" s="23" t="n">
        <f>9247</f>
        <v>9247.0</v>
      </c>
      <c r="P156" s="3" t="s">
        <v>601</v>
      </c>
      <c r="Q156" s="21"/>
      <c r="R156" s="3" t="s">
        <v>602</v>
      </c>
      <c r="S156" s="21" t="n">
        <f>36567159324</f>
        <v>3.6567159324E10</v>
      </c>
      <c r="T156" s="21" t="n">
        <f>9225627823</f>
        <v>9.225627823E9</v>
      </c>
      <c r="U156" s="5" t="s">
        <v>146</v>
      </c>
      <c r="V156" s="23" t="n">
        <f>224779435442</f>
        <v>2.24779435442E11</v>
      </c>
      <c r="W156" s="5" t="s">
        <v>603</v>
      </c>
      <c r="X156" s="23" t="n">
        <f>11306335500</f>
        <v>1.13063355E10</v>
      </c>
      <c r="Y156" s="23"/>
      <c r="Z156" s="21" t="n">
        <f>223661</f>
        <v>223661.0</v>
      </c>
      <c r="AA156" s="21" t="n">
        <f>168407</f>
        <v>168407.0</v>
      </c>
      <c r="AB156" s="4" t="s">
        <v>53</v>
      </c>
      <c r="AC156" s="22" t="n">
        <f>222164</f>
        <v>222164.0</v>
      </c>
      <c r="AD156" s="5" t="s">
        <v>54</v>
      </c>
      <c r="AE156" s="23" t="n">
        <f>139793</f>
        <v>139793.0</v>
      </c>
    </row>
    <row r="157">
      <c r="A157" s="24" t="s">
        <v>589</v>
      </c>
      <c r="B157" s="25" t="s">
        <v>590</v>
      </c>
      <c r="C157" s="26"/>
      <c r="D157" s="27"/>
      <c r="E157" s="28" t="s">
        <v>83</v>
      </c>
      <c r="F157" s="20" t="n">
        <f>124</f>
        <v>124.0</v>
      </c>
      <c r="G157" s="21" t="n">
        <f>3634523</f>
        <v>3634523.0</v>
      </c>
      <c r="H157" s="21"/>
      <c r="I157" s="21" t="n">
        <f>771620</f>
        <v>771620.0</v>
      </c>
      <c r="J157" s="21" t="n">
        <f>29311</f>
        <v>29311.0</v>
      </c>
      <c r="K157" s="21" t="n">
        <f>6223</f>
        <v>6223.0</v>
      </c>
      <c r="L157" s="4" t="s">
        <v>458</v>
      </c>
      <c r="M157" s="22" t="n">
        <f>215653</f>
        <v>215653.0</v>
      </c>
      <c r="N157" s="5" t="s">
        <v>238</v>
      </c>
      <c r="O157" s="23" t="n">
        <f>7066</f>
        <v>7066.0</v>
      </c>
      <c r="P157" s="3" t="s">
        <v>604</v>
      </c>
      <c r="Q157" s="21"/>
      <c r="R157" s="3" t="s">
        <v>605</v>
      </c>
      <c r="S157" s="21" t="n">
        <f>41460513787</f>
        <v>4.1460513787E10</v>
      </c>
      <c r="T157" s="21" t="n">
        <f>8799081647</f>
        <v>8.799081647E9</v>
      </c>
      <c r="U157" s="5" t="s">
        <v>458</v>
      </c>
      <c r="V157" s="23" t="n">
        <f>303940321238</f>
        <v>3.03940321238E11</v>
      </c>
      <c r="W157" s="5" t="s">
        <v>238</v>
      </c>
      <c r="X157" s="23" t="n">
        <f>9894501936</f>
        <v>9.894501936E9</v>
      </c>
      <c r="Y157" s="23"/>
      <c r="Z157" s="21" t="n">
        <f>252124</f>
        <v>252124.0</v>
      </c>
      <c r="AA157" s="21" t="n">
        <f>147881</f>
        <v>147881.0</v>
      </c>
      <c r="AB157" s="4" t="s">
        <v>88</v>
      </c>
      <c r="AC157" s="22" t="n">
        <f>247389</f>
        <v>247389.0</v>
      </c>
      <c r="AD157" s="5" t="s">
        <v>61</v>
      </c>
      <c r="AE157" s="23" t="n">
        <f>110215</f>
        <v>110215.0</v>
      </c>
    </row>
    <row r="158">
      <c r="A158" s="24" t="s">
        <v>589</v>
      </c>
      <c r="B158" s="25" t="s">
        <v>590</v>
      </c>
      <c r="C158" s="26"/>
      <c r="D158" s="27"/>
      <c r="E158" s="28" t="s">
        <v>89</v>
      </c>
      <c r="F158" s="20" t="n">
        <f>121</f>
        <v>121.0</v>
      </c>
      <c r="G158" s="21" t="n">
        <f>4914586</f>
        <v>4914586.0</v>
      </c>
      <c r="H158" s="21"/>
      <c r="I158" s="21" t="n">
        <f>674277</f>
        <v>674277.0</v>
      </c>
      <c r="J158" s="21" t="n">
        <f>40616</f>
        <v>40616.0</v>
      </c>
      <c r="K158" s="21" t="n">
        <f>5573</f>
        <v>5573.0</v>
      </c>
      <c r="L158" s="4" t="s">
        <v>78</v>
      </c>
      <c r="M158" s="22" t="n">
        <f>180236</f>
        <v>180236.0</v>
      </c>
      <c r="N158" s="5" t="s">
        <v>50</v>
      </c>
      <c r="O158" s="23" t="n">
        <f>10989</f>
        <v>10989.0</v>
      </c>
      <c r="P158" s="3" t="s">
        <v>606</v>
      </c>
      <c r="Q158" s="21"/>
      <c r="R158" s="3" t="s">
        <v>607</v>
      </c>
      <c r="S158" s="21" t="n">
        <f>63607154187</f>
        <v>6.3607154187E10</v>
      </c>
      <c r="T158" s="21" t="n">
        <f>8645869254</f>
        <v>8.645869254E9</v>
      </c>
      <c r="U158" s="5" t="s">
        <v>78</v>
      </c>
      <c r="V158" s="23" t="n">
        <f>283843749584</f>
        <v>2.83843749584E11</v>
      </c>
      <c r="W158" s="5" t="s">
        <v>50</v>
      </c>
      <c r="X158" s="23" t="n">
        <f>17773557500</f>
        <v>1.77735575E10</v>
      </c>
      <c r="Y158" s="23"/>
      <c r="Z158" s="21" t="n">
        <f>304564</f>
        <v>304564.0</v>
      </c>
      <c r="AA158" s="21" t="n">
        <f>125759</f>
        <v>125759.0</v>
      </c>
      <c r="AB158" s="4" t="s">
        <v>64</v>
      </c>
      <c r="AC158" s="22" t="n">
        <f>216965</f>
        <v>216965.0</v>
      </c>
      <c r="AD158" s="5" t="s">
        <v>586</v>
      </c>
      <c r="AE158" s="23" t="n">
        <f>102882</f>
        <v>102882.0</v>
      </c>
    </row>
    <row r="159">
      <c r="A159" s="24" t="s">
        <v>589</v>
      </c>
      <c r="B159" s="25" t="s">
        <v>590</v>
      </c>
      <c r="C159" s="26"/>
      <c r="D159" s="27"/>
      <c r="E159" s="28" t="s">
        <v>95</v>
      </c>
      <c r="F159" s="20" t="n">
        <f>124</f>
        <v>124.0</v>
      </c>
      <c r="G159" s="21" t="n">
        <f>3523326</f>
        <v>3523326.0</v>
      </c>
      <c r="H159" s="21"/>
      <c r="I159" s="21" t="n">
        <f>645688</f>
        <v>645688.0</v>
      </c>
      <c r="J159" s="21" t="n">
        <f>28414</f>
        <v>28414.0</v>
      </c>
      <c r="K159" s="21" t="n">
        <f>5207</f>
        <v>5207.0</v>
      </c>
      <c r="L159" s="4" t="s">
        <v>61</v>
      </c>
      <c r="M159" s="22" t="n">
        <f>167712</f>
        <v>167712.0</v>
      </c>
      <c r="N159" s="5" t="s">
        <v>97</v>
      </c>
      <c r="O159" s="23" t="n">
        <f>11192</f>
        <v>11192.0</v>
      </c>
      <c r="P159" s="3" t="s">
        <v>608</v>
      </c>
      <c r="Q159" s="21"/>
      <c r="R159" s="3" t="s">
        <v>609</v>
      </c>
      <c r="S159" s="21" t="n">
        <f>43784308453</f>
        <v>4.3784308453E10</v>
      </c>
      <c r="T159" s="21" t="n">
        <f>7993927553</f>
        <v>7.993927553E9</v>
      </c>
      <c r="U159" s="5" t="s">
        <v>61</v>
      </c>
      <c r="V159" s="23" t="n">
        <f>250570073485</f>
        <v>2.50570073485E11</v>
      </c>
      <c r="W159" s="5" t="s">
        <v>573</v>
      </c>
      <c r="X159" s="23" t="n">
        <f>16916364500</f>
        <v>1.69163645E10</v>
      </c>
      <c r="Y159" s="23"/>
      <c r="Z159" s="21" t="n">
        <f>284929</f>
        <v>284929.0</v>
      </c>
      <c r="AA159" s="21" t="n">
        <f>178828</f>
        <v>178828.0</v>
      </c>
      <c r="AB159" s="4" t="s">
        <v>144</v>
      </c>
      <c r="AC159" s="22" t="n">
        <f>248312</f>
        <v>248312.0</v>
      </c>
      <c r="AD159" s="5" t="s">
        <v>193</v>
      </c>
      <c r="AE159" s="23" t="n">
        <f>123265</f>
        <v>123265.0</v>
      </c>
    </row>
    <row r="160">
      <c r="A160" s="24" t="s">
        <v>589</v>
      </c>
      <c r="B160" s="25" t="s">
        <v>590</v>
      </c>
      <c r="C160" s="26"/>
      <c r="D160" s="27"/>
      <c r="E160" s="28" t="s">
        <v>101</v>
      </c>
      <c r="F160" s="20" t="n">
        <f>120</f>
        <v>120.0</v>
      </c>
      <c r="G160" s="21" t="n">
        <f>3848943</f>
        <v>3848943.0</v>
      </c>
      <c r="H160" s="21"/>
      <c r="I160" s="21" t="n">
        <f>735682</f>
        <v>735682.0</v>
      </c>
      <c r="J160" s="21" t="n">
        <f>32075</f>
        <v>32075.0</v>
      </c>
      <c r="K160" s="21" t="n">
        <f>6131</f>
        <v>6131.0</v>
      </c>
      <c r="L160" s="4" t="s">
        <v>90</v>
      </c>
      <c r="M160" s="22" t="n">
        <f>187154</f>
        <v>187154.0</v>
      </c>
      <c r="N160" s="5" t="s">
        <v>466</v>
      </c>
      <c r="O160" s="23" t="n">
        <f>12559</f>
        <v>12559.0</v>
      </c>
      <c r="P160" s="3" t="s">
        <v>610</v>
      </c>
      <c r="Q160" s="21"/>
      <c r="R160" s="3" t="s">
        <v>611</v>
      </c>
      <c r="S160" s="21" t="n">
        <f>45742806737</f>
        <v>4.5742806737E10</v>
      </c>
      <c r="T160" s="21" t="n">
        <f>8693830439</f>
        <v>8.693830439E9</v>
      </c>
      <c r="U160" s="5" t="s">
        <v>90</v>
      </c>
      <c r="V160" s="23" t="n">
        <f>267403295524</f>
        <v>2.67403295524E11</v>
      </c>
      <c r="W160" s="5" t="s">
        <v>612</v>
      </c>
      <c r="X160" s="23" t="n">
        <f>18005928359</f>
        <v>1.8005928359E10</v>
      </c>
      <c r="Y160" s="23"/>
      <c r="Z160" s="21" t="n">
        <f>244256</f>
        <v>244256.0</v>
      </c>
      <c r="AA160" s="21" t="n">
        <f>182179</f>
        <v>182179.0</v>
      </c>
      <c r="AB160" s="4" t="s">
        <v>90</v>
      </c>
      <c r="AC160" s="22" t="n">
        <f>212252</f>
        <v>212252.0</v>
      </c>
      <c r="AD160" s="5" t="s">
        <v>197</v>
      </c>
      <c r="AE160" s="23" t="n">
        <f>126624</f>
        <v>126624.0</v>
      </c>
    </row>
    <row r="161">
      <c r="A161" s="24" t="s">
        <v>589</v>
      </c>
      <c r="B161" s="25" t="s">
        <v>590</v>
      </c>
      <c r="C161" s="26"/>
      <c r="D161" s="27"/>
      <c r="E161" s="28" t="s">
        <v>106</v>
      </c>
      <c r="F161" s="20" t="n">
        <f>121</f>
        <v>121.0</v>
      </c>
      <c r="G161" s="21" t="n">
        <f>3571989</f>
        <v>3571989.0</v>
      </c>
      <c r="H161" s="21"/>
      <c r="I161" s="21" t="n">
        <f>898206</f>
        <v>898206.0</v>
      </c>
      <c r="J161" s="21" t="n">
        <f>29521</f>
        <v>29521.0</v>
      </c>
      <c r="K161" s="21" t="n">
        <f>7423</f>
        <v>7423.0</v>
      </c>
      <c r="L161" s="4" t="s">
        <v>193</v>
      </c>
      <c r="M161" s="22" t="n">
        <f>171910</f>
        <v>171910.0</v>
      </c>
      <c r="N161" s="5" t="s">
        <v>262</v>
      </c>
      <c r="O161" s="23" t="n">
        <f>11024</f>
        <v>11024.0</v>
      </c>
      <c r="P161" s="3" t="s">
        <v>613</v>
      </c>
      <c r="Q161" s="21"/>
      <c r="R161" s="3" t="s">
        <v>614</v>
      </c>
      <c r="S161" s="21" t="n">
        <f>40933971984</f>
        <v>4.0933971984E10</v>
      </c>
      <c r="T161" s="21" t="n">
        <f>10330881363</f>
        <v>1.0330881363E10</v>
      </c>
      <c r="U161" s="5" t="s">
        <v>193</v>
      </c>
      <c r="V161" s="23" t="n">
        <f>238119665688</f>
        <v>2.38119665688E11</v>
      </c>
      <c r="W161" s="5" t="s">
        <v>262</v>
      </c>
      <c r="X161" s="23" t="n">
        <f>15224091500</f>
        <v>1.52240915E10</v>
      </c>
      <c r="Y161" s="23"/>
      <c r="Z161" s="21" t="n">
        <f>265800</f>
        <v>265800.0</v>
      </c>
      <c r="AA161" s="21" t="n">
        <f>116419</f>
        <v>116419.0</v>
      </c>
      <c r="AB161" s="4" t="s">
        <v>193</v>
      </c>
      <c r="AC161" s="22" t="n">
        <f>273874</f>
        <v>273874.0</v>
      </c>
      <c r="AD161" s="5" t="s">
        <v>166</v>
      </c>
      <c r="AE161" s="23" t="n">
        <f>100918</f>
        <v>100918.0</v>
      </c>
    </row>
    <row r="162">
      <c r="A162" s="24" t="s">
        <v>589</v>
      </c>
      <c r="B162" s="25" t="s">
        <v>590</v>
      </c>
      <c r="C162" s="26"/>
      <c r="D162" s="27"/>
      <c r="E162" s="28" t="s">
        <v>112</v>
      </c>
      <c r="F162" s="20" t="n">
        <f>120</f>
        <v>120.0</v>
      </c>
      <c r="G162" s="21" t="n">
        <f>3381444</f>
        <v>3381444.0</v>
      </c>
      <c r="H162" s="21"/>
      <c r="I162" s="21" t="n">
        <f>762989</f>
        <v>762989.0</v>
      </c>
      <c r="J162" s="21" t="n">
        <f>28179</f>
        <v>28179.0</v>
      </c>
      <c r="K162" s="21" t="n">
        <f>6358</f>
        <v>6358.0</v>
      </c>
      <c r="L162" s="4" t="s">
        <v>53</v>
      </c>
      <c r="M162" s="22" t="n">
        <f>155492</f>
        <v>155492.0</v>
      </c>
      <c r="N162" s="5" t="s">
        <v>113</v>
      </c>
      <c r="O162" s="23" t="n">
        <f>5375</f>
        <v>5375.0</v>
      </c>
      <c r="P162" s="3" t="s">
        <v>615</v>
      </c>
      <c r="Q162" s="21"/>
      <c r="R162" s="3" t="s">
        <v>616</v>
      </c>
      <c r="S162" s="21" t="n">
        <f>39734632862</f>
        <v>3.9734632862E10</v>
      </c>
      <c r="T162" s="21" t="n">
        <f>8981748333</f>
        <v>8.981748333E9</v>
      </c>
      <c r="U162" s="5" t="s">
        <v>49</v>
      </c>
      <c r="V162" s="23" t="n">
        <f>226569632886</f>
        <v>2.26569632886E11</v>
      </c>
      <c r="W162" s="5" t="s">
        <v>113</v>
      </c>
      <c r="X162" s="23" t="n">
        <f>8272131000</f>
        <v>8.272131E9</v>
      </c>
      <c r="Y162" s="23"/>
      <c r="Z162" s="21" t="n">
        <f>248126</f>
        <v>248126.0</v>
      </c>
      <c r="AA162" s="21" t="n">
        <f>134398</f>
        <v>134398.0</v>
      </c>
      <c r="AB162" s="4" t="s">
        <v>53</v>
      </c>
      <c r="AC162" s="22" t="n">
        <f>199917</f>
        <v>199917.0</v>
      </c>
      <c r="AD162" s="5" t="s">
        <v>379</v>
      </c>
      <c r="AE162" s="23" t="n">
        <f>104907</f>
        <v>104907.0</v>
      </c>
    </row>
    <row r="163">
      <c r="A163" s="24" t="s">
        <v>589</v>
      </c>
      <c r="B163" s="25" t="s">
        <v>590</v>
      </c>
      <c r="C163" s="26"/>
      <c r="D163" s="27"/>
      <c r="E163" s="28" t="s">
        <v>118</v>
      </c>
      <c r="F163" s="20" t="n">
        <f>122</f>
        <v>122.0</v>
      </c>
      <c r="G163" s="21" t="n">
        <f>2608857</f>
        <v>2608857.0</v>
      </c>
      <c r="H163" s="21"/>
      <c r="I163" s="21" t="n">
        <f>542230</f>
        <v>542230.0</v>
      </c>
      <c r="J163" s="21" t="n">
        <f>21384</f>
        <v>21384.0</v>
      </c>
      <c r="K163" s="21" t="n">
        <f>4445</f>
        <v>4445.0</v>
      </c>
      <c r="L163" s="4" t="s">
        <v>88</v>
      </c>
      <c r="M163" s="22" t="n">
        <f>151966</f>
        <v>151966.0</v>
      </c>
      <c r="N163" s="5" t="s">
        <v>398</v>
      </c>
      <c r="O163" s="23" t="n">
        <f>8086</f>
        <v>8086.0</v>
      </c>
      <c r="P163" s="3" t="s">
        <v>617</v>
      </c>
      <c r="Q163" s="21"/>
      <c r="R163" s="3" t="s">
        <v>618</v>
      </c>
      <c r="S163" s="21" t="n">
        <f>30005583734</f>
        <v>3.0005583734E10</v>
      </c>
      <c r="T163" s="21" t="n">
        <f>6336832557</f>
        <v>6.336832557E9</v>
      </c>
      <c r="U163" s="5" t="s">
        <v>88</v>
      </c>
      <c r="V163" s="23" t="n">
        <f>222331074392</f>
        <v>2.22331074392E11</v>
      </c>
      <c r="W163" s="5" t="s">
        <v>123</v>
      </c>
      <c r="X163" s="23" t="n">
        <f>10972384000</f>
        <v>1.0972384E10</v>
      </c>
      <c r="Y163" s="23"/>
      <c r="Z163" s="21" t="n">
        <f>152209</f>
        <v>152209.0</v>
      </c>
      <c r="AA163" s="21" t="n">
        <f>89986</f>
        <v>89986.0</v>
      </c>
      <c r="AB163" s="4" t="s">
        <v>88</v>
      </c>
      <c r="AC163" s="22" t="n">
        <f>203880</f>
        <v>203880.0</v>
      </c>
      <c r="AD163" s="5" t="s">
        <v>192</v>
      </c>
      <c r="AE163" s="23" t="n">
        <f>66152</f>
        <v>66152.0</v>
      </c>
    </row>
    <row r="164">
      <c r="A164" s="24" t="s">
        <v>589</v>
      </c>
      <c r="B164" s="25" t="s">
        <v>590</v>
      </c>
      <c r="C164" s="26"/>
      <c r="D164" s="27"/>
      <c r="E164" s="28" t="s">
        <v>124</v>
      </c>
      <c r="F164" s="20" t="n">
        <f>123</f>
        <v>123.0</v>
      </c>
      <c r="G164" s="21" t="n">
        <f>2670852</f>
        <v>2670852.0</v>
      </c>
      <c r="H164" s="21"/>
      <c r="I164" s="21" t="n">
        <f>343565</f>
        <v>343565.0</v>
      </c>
      <c r="J164" s="21" t="n">
        <f>21714</f>
        <v>21714.0</v>
      </c>
      <c r="K164" s="21" t="n">
        <f>2793</f>
        <v>2793.0</v>
      </c>
      <c r="L164" s="4" t="s">
        <v>68</v>
      </c>
      <c r="M164" s="22" t="n">
        <f>128273</f>
        <v>128273.0</v>
      </c>
      <c r="N164" s="5" t="s">
        <v>113</v>
      </c>
      <c r="O164" s="23" t="n">
        <f>4657</f>
        <v>4657.0</v>
      </c>
      <c r="P164" s="3" t="s">
        <v>619</v>
      </c>
      <c r="Q164" s="21"/>
      <c r="R164" s="3" t="s">
        <v>620</v>
      </c>
      <c r="S164" s="21" t="n">
        <f>35698817979</f>
        <v>3.5698817979E10</v>
      </c>
      <c r="T164" s="21" t="n">
        <f>4609541053</f>
        <v>4.609541053E9</v>
      </c>
      <c r="U164" s="5" t="s">
        <v>68</v>
      </c>
      <c r="V164" s="23" t="n">
        <f>220138487672</f>
        <v>2.20138487672E11</v>
      </c>
      <c r="W164" s="5" t="s">
        <v>113</v>
      </c>
      <c r="X164" s="23" t="n">
        <f>7475115000</f>
        <v>7.475115E9</v>
      </c>
      <c r="Y164" s="23"/>
      <c r="Z164" s="21" t="n">
        <f>159567</f>
        <v>159567.0</v>
      </c>
      <c r="AA164" s="21" t="n">
        <f>101553</f>
        <v>101553.0</v>
      </c>
      <c r="AB164" s="4" t="s">
        <v>187</v>
      </c>
      <c r="AC164" s="22" t="n">
        <f>138049</f>
        <v>138049.0</v>
      </c>
      <c r="AD164" s="5" t="s">
        <v>212</v>
      </c>
      <c r="AE164" s="23" t="n">
        <f>67039</f>
        <v>67039.0</v>
      </c>
    </row>
    <row r="165">
      <c r="A165" s="24" t="s">
        <v>589</v>
      </c>
      <c r="B165" s="25" t="s">
        <v>590</v>
      </c>
      <c r="C165" s="26"/>
      <c r="D165" s="27"/>
      <c r="E165" s="28" t="s">
        <v>127</v>
      </c>
      <c r="F165" s="20" t="n">
        <f>122</f>
        <v>122.0</v>
      </c>
      <c r="G165" s="21" t="n">
        <f>1824002</f>
        <v>1824002.0</v>
      </c>
      <c r="H165" s="21"/>
      <c r="I165" s="21" t="n">
        <f>269954</f>
        <v>269954.0</v>
      </c>
      <c r="J165" s="21" t="n">
        <f>14951</f>
        <v>14951.0</v>
      </c>
      <c r="K165" s="21" t="n">
        <f>2213</f>
        <v>2213.0</v>
      </c>
      <c r="L165" s="4" t="s">
        <v>143</v>
      </c>
      <c r="M165" s="22" t="n">
        <f>83320</f>
        <v>83320.0</v>
      </c>
      <c r="N165" s="5" t="s">
        <v>57</v>
      </c>
      <c r="O165" s="23" t="n">
        <f>6173</f>
        <v>6173.0</v>
      </c>
      <c r="P165" s="3" t="s">
        <v>621</v>
      </c>
      <c r="Q165" s="21"/>
      <c r="R165" s="3" t="s">
        <v>622</v>
      </c>
      <c r="S165" s="21" t="n">
        <f>26400700362</f>
        <v>2.6400700362E10</v>
      </c>
      <c r="T165" s="21" t="n">
        <f>3959912928</f>
        <v>3.959912928E9</v>
      </c>
      <c r="U165" s="5" t="s">
        <v>143</v>
      </c>
      <c r="V165" s="23" t="n">
        <f>147710580210</f>
        <v>1.4771058021E11</v>
      </c>
      <c r="W165" s="5" t="s">
        <v>57</v>
      </c>
      <c r="X165" s="23" t="n">
        <f>10772681500</f>
        <v>1.07726815E10</v>
      </c>
      <c r="Y165" s="23"/>
      <c r="Z165" s="21" t="n">
        <f>96935</f>
        <v>96935.0</v>
      </c>
      <c r="AA165" s="21" t="n">
        <f>56645</f>
        <v>56645.0</v>
      </c>
      <c r="AB165" s="4" t="s">
        <v>88</v>
      </c>
      <c r="AC165" s="22" t="n">
        <f>113571</f>
        <v>113571.0</v>
      </c>
      <c r="AD165" s="5" t="s">
        <v>76</v>
      </c>
      <c r="AE165" s="23" t="n">
        <f>40920</f>
        <v>40920.0</v>
      </c>
    </row>
    <row r="166">
      <c r="A166" s="24" t="s">
        <v>589</v>
      </c>
      <c r="B166" s="25" t="s">
        <v>590</v>
      </c>
      <c r="C166" s="26"/>
      <c r="D166" s="27"/>
      <c r="E166" s="28" t="s">
        <v>133</v>
      </c>
      <c r="F166" s="20" t="n">
        <f>122</f>
        <v>122.0</v>
      </c>
      <c r="G166" s="21" t="n">
        <f>1938896</f>
        <v>1938896.0</v>
      </c>
      <c r="H166" s="21"/>
      <c r="I166" s="21" t="n">
        <f>265668</f>
        <v>265668.0</v>
      </c>
      <c r="J166" s="21" t="n">
        <f>15893</f>
        <v>15893.0</v>
      </c>
      <c r="K166" s="21" t="n">
        <f>2178</f>
        <v>2178.0</v>
      </c>
      <c r="L166" s="4" t="s">
        <v>137</v>
      </c>
      <c r="M166" s="22" t="n">
        <f>137493</f>
        <v>137493.0</v>
      </c>
      <c r="N166" s="5" t="s">
        <v>134</v>
      </c>
      <c r="O166" s="23" t="n">
        <f>3914</f>
        <v>3914.0</v>
      </c>
      <c r="P166" s="3" t="s">
        <v>623</v>
      </c>
      <c r="Q166" s="21"/>
      <c r="R166" s="3" t="s">
        <v>624</v>
      </c>
      <c r="S166" s="21" t="n">
        <f>27724741408</f>
        <v>2.7724741408E10</v>
      </c>
      <c r="T166" s="21" t="n">
        <f>3761515975</f>
        <v>3.761515975E9</v>
      </c>
      <c r="U166" s="5" t="s">
        <v>137</v>
      </c>
      <c r="V166" s="23" t="n">
        <f>244390317272</f>
        <v>2.44390317272E11</v>
      </c>
      <c r="W166" s="5" t="s">
        <v>134</v>
      </c>
      <c r="X166" s="23" t="n">
        <f>6995585600</f>
        <v>6.9955856E9</v>
      </c>
      <c r="Y166" s="23"/>
      <c r="Z166" s="21" t="n">
        <f>99018</f>
        <v>99018.0</v>
      </c>
      <c r="AA166" s="21" t="n">
        <f>62512</f>
        <v>62512.0</v>
      </c>
      <c r="AB166" s="4" t="s">
        <v>137</v>
      </c>
      <c r="AC166" s="22" t="n">
        <f>90991</f>
        <v>90991.0</v>
      </c>
      <c r="AD166" s="5" t="s">
        <v>440</v>
      </c>
      <c r="AE166" s="23" t="n">
        <f>42252</f>
        <v>42252.0</v>
      </c>
    </row>
    <row r="167">
      <c r="A167" s="24" t="s">
        <v>589</v>
      </c>
      <c r="B167" s="25" t="s">
        <v>590</v>
      </c>
      <c r="C167" s="26"/>
      <c r="D167" s="27"/>
      <c r="E167" s="28" t="s">
        <v>139</v>
      </c>
      <c r="F167" s="20" t="n">
        <f>123</f>
        <v>123.0</v>
      </c>
      <c r="G167" s="21" t="n">
        <f>1407905</f>
        <v>1407905.0</v>
      </c>
      <c r="H167" s="21"/>
      <c r="I167" s="21" t="n">
        <f>219996</f>
        <v>219996.0</v>
      </c>
      <c r="J167" s="21" t="n">
        <f>11446</f>
        <v>11446.0</v>
      </c>
      <c r="K167" s="21" t="n">
        <f>1789</f>
        <v>1789.0</v>
      </c>
      <c r="L167" s="4" t="s">
        <v>71</v>
      </c>
      <c r="M167" s="22" t="n">
        <f>75349</f>
        <v>75349.0</v>
      </c>
      <c r="N167" s="5" t="s">
        <v>140</v>
      </c>
      <c r="O167" s="23" t="n">
        <f>3966</f>
        <v>3966.0</v>
      </c>
      <c r="P167" s="3" t="s">
        <v>625</v>
      </c>
      <c r="Q167" s="21"/>
      <c r="R167" s="3" t="s">
        <v>626</v>
      </c>
      <c r="S167" s="21" t="n">
        <f>19666246206</f>
        <v>1.9666246206E10</v>
      </c>
      <c r="T167" s="21" t="n">
        <f>3091581402</f>
        <v>3.091581402E9</v>
      </c>
      <c r="U167" s="5" t="s">
        <v>71</v>
      </c>
      <c r="V167" s="23" t="n">
        <f>132332859150</f>
        <v>1.3233285915E11</v>
      </c>
      <c r="W167" s="5" t="s">
        <v>140</v>
      </c>
      <c r="X167" s="23" t="n">
        <f>6702074000</f>
        <v>6.702074E9</v>
      </c>
      <c r="Y167" s="23"/>
      <c r="Z167" s="21" t="n">
        <f>75371</f>
        <v>75371.0</v>
      </c>
      <c r="AA167" s="21" t="n">
        <f>79519</f>
        <v>79519.0</v>
      </c>
      <c r="AB167" s="4" t="s">
        <v>143</v>
      </c>
      <c r="AC167" s="22" t="n">
        <f>80027</f>
        <v>80027.0</v>
      </c>
      <c r="AD167" s="5" t="s">
        <v>217</v>
      </c>
      <c r="AE167" s="23" t="n">
        <f>49906</f>
        <v>49906.0</v>
      </c>
    </row>
    <row r="168">
      <c r="A168" s="24" t="s">
        <v>589</v>
      </c>
      <c r="B168" s="25" t="s">
        <v>590</v>
      </c>
      <c r="C168" s="26"/>
      <c r="D168" s="27"/>
      <c r="E168" s="28" t="s">
        <v>145</v>
      </c>
      <c r="F168" s="20" t="n">
        <f>122</f>
        <v>122.0</v>
      </c>
      <c r="G168" s="21" t="n">
        <f>1300491</f>
        <v>1300491.0</v>
      </c>
      <c r="H168" s="21"/>
      <c r="I168" s="21" t="n">
        <f>254796</f>
        <v>254796.0</v>
      </c>
      <c r="J168" s="21" t="n">
        <f>10660</f>
        <v>10660.0</v>
      </c>
      <c r="K168" s="21" t="n">
        <f>2088</f>
        <v>2088.0</v>
      </c>
      <c r="L168" s="4" t="s">
        <v>137</v>
      </c>
      <c r="M168" s="22" t="n">
        <f>80101</f>
        <v>80101.0</v>
      </c>
      <c r="N168" s="5" t="s">
        <v>50</v>
      </c>
      <c r="O168" s="23" t="n">
        <f>3547</f>
        <v>3547.0</v>
      </c>
      <c r="P168" s="3" t="s">
        <v>627</v>
      </c>
      <c r="Q168" s="21"/>
      <c r="R168" s="3" t="s">
        <v>628</v>
      </c>
      <c r="S168" s="21" t="n">
        <f>18777590775</f>
        <v>1.8777590775E10</v>
      </c>
      <c r="T168" s="21" t="n">
        <f>3726281894</f>
        <v>3.726281894E9</v>
      </c>
      <c r="U168" s="5" t="s">
        <v>93</v>
      </c>
      <c r="V168" s="23" t="n">
        <f>141394019586</f>
        <v>1.41394019586E11</v>
      </c>
      <c r="W168" s="5" t="s">
        <v>50</v>
      </c>
      <c r="X168" s="23" t="n">
        <f>6069986500</f>
        <v>6.0699865E9</v>
      </c>
      <c r="Y168" s="23"/>
      <c r="Z168" s="21" t="n">
        <f>75172</f>
        <v>75172.0</v>
      </c>
      <c r="AA168" s="21" t="n">
        <f>71389</f>
        <v>71389.0</v>
      </c>
      <c r="AB168" s="4" t="s">
        <v>137</v>
      </c>
      <c r="AC168" s="22" t="n">
        <f>82179</f>
        <v>82179.0</v>
      </c>
      <c r="AD168" s="5" t="s">
        <v>116</v>
      </c>
      <c r="AE168" s="23" t="n">
        <f>50462</f>
        <v>50462.0</v>
      </c>
    </row>
    <row r="169">
      <c r="A169" s="24" t="s">
        <v>589</v>
      </c>
      <c r="B169" s="25" t="s">
        <v>590</v>
      </c>
      <c r="C169" s="26"/>
      <c r="D169" s="27"/>
      <c r="E169" s="28" t="s">
        <v>150</v>
      </c>
      <c r="F169" s="20" t="n">
        <f>124</f>
        <v>124.0</v>
      </c>
      <c r="G169" s="21" t="n">
        <f>1715839</f>
        <v>1715839.0</v>
      </c>
      <c r="H169" s="21"/>
      <c r="I169" s="21" t="n">
        <f>305509</f>
        <v>305509.0</v>
      </c>
      <c r="J169" s="21" t="n">
        <f>13837</f>
        <v>13837.0</v>
      </c>
      <c r="K169" s="21" t="n">
        <f>2464</f>
        <v>2464.0</v>
      </c>
      <c r="L169" s="4" t="s">
        <v>71</v>
      </c>
      <c r="M169" s="22" t="n">
        <f>116362</f>
        <v>116362.0</v>
      </c>
      <c r="N169" s="5" t="s">
        <v>144</v>
      </c>
      <c r="O169" s="23" t="n">
        <f>4476</f>
        <v>4476.0</v>
      </c>
      <c r="P169" s="3" t="s">
        <v>629</v>
      </c>
      <c r="Q169" s="21"/>
      <c r="R169" s="3" t="s">
        <v>630</v>
      </c>
      <c r="S169" s="21" t="n">
        <f>28039833544</f>
        <v>2.8039833544E10</v>
      </c>
      <c r="T169" s="21" t="n">
        <f>5077205723</f>
        <v>5.077205723E9</v>
      </c>
      <c r="U169" s="5" t="s">
        <v>71</v>
      </c>
      <c r="V169" s="23" t="n">
        <f>236591637036</f>
        <v>2.36591637036E11</v>
      </c>
      <c r="W169" s="5" t="s">
        <v>144</v>
      </c>
      <c r="X169" s="23" t="n">
        <f>9487400500</f>
        <v>9.4874005E9</v>
      </c>
      <c r="Y169" s="23"/>
      <c r="Z169" s="21" t="n">
        <f>110087</f>
        <v>110087.0</v>
      </c>
      <c r="AA169" s="21" t="n">
        <f>74737</f>
        <v>74737.0</v>
      </c>
      <c r="AB169" s="4" t="s">
        <v>84</v>
      </c>
      <c r="AC169" s="22" t="n">
        <f>97113</f>
        <v>97113.0</v>
      </c>
      <c r="AD169" s="5" t="s">
        <v>631</v>
      </c>
      <c r="AE169" s="23" t="n">
        <f>59878</f>
        <v>59878.0</v>
      </c>
    </row>
    <row r="170">
      <c r="A170" s="24" t="s">
        <v>589</v>
      </c>
      <c r="B170" s="25" t="s">
        <v>590</v>
      </c>
      <c r="C170" s="26"/>
      <c r="D170" s="27"/>
      <c r="E170" s="28" t="s">
        <v>154</v>
      </c>
      <c r="F170" s="20" t="n">
        <f>120</f>
        <v>120.0</v>
      </c>
      <c r="G170" s="21" t="n">
        <f>1462469</f>
        <v>1462469.0</v>
      </c>
      <c r="H170" s="21"/>
      <c r="I170" s="21" t="n">
        <f>261109</f>
        <v>261109.0</v>
      </c>
      <c r="J170" s="21" t="n">
        <f>12187</f>
        <v>12187.0</v>
      </c>
      <c r="K170" s="21" t="n">
        <f>2176</f>
        <v>2176.0</v>
      </c>
      <c r="L170" s="4" t="s">
        <v>155</v>
      </c>
      <c r="M170" s="22" t="n">
        <f>90832</f>
        <v>90832.0</v>
      </c>
      <c r="N170" s="5" t="s">
        <v>50</v>
      </c>
      <c r="O170" s="23" t="n">
        <f>2216</f>
        <v>2216.0</v>
      </c>
      <c r="P170" s="3" t="s">
        <v>632</v>
      </c>
      <c r="Q170" s="21"/>
      <c r="R170" s="3" t="s">
        <v>633</v>
      </c>
      <c r="S170" s="21" t="n">
        <f>27118072257</f>
        <v>2.7118072257E10</v>
      </c>
      <c r="T170" s="21" t="n">
        <f>4947235048</f>
        <v>4.947235048E9</v>
      </c>
      <c r="U170" s="5" t="s">
        <v>155</v>
      </c>
      <c r="V170" s="23" t="n">
        <f>221986144920</f>
        <v>2.2198614492E11</v>
      </c>
      <c r="W170" s="5" t="s">
        <v>50</v>
      </c>
      <c r="X170" s="23" t="n">
        <f>4673138000</f>
        <v>4.673138E9</v>
      </c>
      <c r="Y170" s="23"/>
      <c r="Z170" s="21" t="n">
        <f>77102</f>
        <v>77102.0</v>
      </c>
      <c r="AA170" s="21" t="n">
        <f>58251</f>
        <v>58251.0</v>
      </c>
      <c r="AB170" s="4" t="s">
        <v>155</v>
      </c>
      <c r="AC170" s="22" t="n">
        <f>89468</f>
        <v>89468.0</v>
      </c>
      <c r="AD170" s="5" t="s">
        <v>634</v>
      </c>
      <c r="AE170" s="23" t="n">
        <f>45211</f>
        <v>45211.0</v>
      </c>
    </row>
    <row r="171">
      <c r="A171" s="24" t="s">
        <v>635</v>
      </c>
      <c r="B171" s="25" t="s">
        <v>636</v>
      </c>
      <c r="C171" s="26"/>
      <c r="D171" s="27"/>
      <c r="E171" s="28" t="s">
        <v>397</v>
      </c>
      <c r="F171" s="20" t="n">
        <f>74</f>
        <v>74.0</v>
      </c>
      <c r="G171" s="21" t="n">
        <f>97711</f>
        <v>97711.0</v>
      </c>
      <c r="H171" s="21"/>
      <c r="I171" s="21" t="n">
        <f>77821</f>
        <v>77821.0</v>
      </c>
      <c r="J171" s="21" t="n">
        <f>1320</f>
        <v>1320.0</v>
      </c>
      <c r="K171" s="21" t="n">
        <f>1052</f>
        <v>1052.0</v>
      </c>
      <c r="L171" s="4" t="s">
        <v>119</v>
      </c>
      <c r="M171" s="22" t="n">
        <f>40671</f>
        <v>40671.0</v>
      </c>
      <c r="N171" s="5" t="s">
        <v>317</v>
      </c>
      <c r="O171" s="23" t="str">
        <f>"－"</f>
        <v>－</v>
      </c>
      <c r="P171" s="3" t="s">
        <v>637</v>
      </c>
      <c r="Q171" s="21"/>
      <c r="R171" s="3" t="s">
        <v>638</v>
      </c>
      <c r="S171" s="21" t="n">
        <f>1010048450</f>
        <v>1.01004845E9</v>
      </c>
      <c r="T171" s="21" t="n">
        <f>792154514</f>
        <v>7.92154514E8</v>
      </c>
      <c r="U171" s="5" t="s">
        <v>119</v>
      </c>
      <c r="V171" s="23" t="n">
        <f>31045215500</f>
        <v>3.10452155E10</v>
      </c>
      <c r="W171" s="5" t="s">
        <v>317</v>
      </c>
      <c r="X171" s="23" t="str">
        <f>"－"</f>
        <v>－</v>
      </c>
      <c r="Y171" s="23"/>
      <c r="Z171" s="21" t="str">
        <f>"－"</f>
        <v>－</v>
      </c>
      <c r="AA171" s="21" t="n">
        <f>21482</f>
        <v>21482.0</v>
      </c>
      <c r="AB171" s="4" t="s">
        <v>144</v>
      </c>
      <c r="AC171" s="22" t="n">
        <f>53796</f>
        <v>53796.0</v>
      </c>
      <c r="AD171" s="5" t="s">
        <v>62</v>
      </c>
      <c r="AE171" s="23" t="n">
        <f>461</f>
        <v>461.0</v>
      </c>
    </row>
    <row r="172">
      <c r="A172" s="24" t="s">
        <v>635</v>
      </c>
      <c r="B172" s="25" t="s">
        <v>636</v>
      </c>
      <c r="C172" s="26"/>
      <c r="D172" s="27"/>
      <c r="E172" s="28" t="s">
        <v>401</v>
      </c>
      <c r="F172" s="20" t="n">
        <f>120</f>
        <v>120.0</v>
      </c>
      <c r="G172" s="21" t="n">
        <f>246651</f>
        <v>246651.0</v>
      </c>
      <c r="H172" s="21"/>
      <c r="I172" s="21" t="n">
        <f>219828</f>
        <v>219828.0</v>
      </c>
      <c r="J172" s="21" t="n">
        <f>2055</f>
        <v>2055.0</v>
      </c>
      <c r="K172" s="21" t="n">
        <f>1832</f>
        <v>1832.0</v>
      </c>
      <c r="L172" s="4" t="s">
        <v>53</v>
      </c>
      <c r="M172" s="22" t="n">
        <f>120950</f>
        <v>120950.0</v>
      </c>
      <c r="N172" s="5" t="s">
        <v>279</v>
      </c>
      <c r="O172" s="23" t="str">
        <f>"－"</f>
        <v>－</v>
      </c>
      <c r="P172" s="3" t="s">
        <v>639</v>
      </c>
      <c r="Q172" s="21"/>
      <c r="R172" s="3" t="s">
        <v>640</v>
      </c>
      <c r="S172" s="21" t="n">
        <f>892467553</f>
        <v>8.92467553E8</v>
      </c>
      <c r="T172" s="21" t="n">
        <f>783982378</f>
        <v>7.83982378E8</v>
      </c>
      <c r="U172" s="5" t="s">
        <v>53</v>
      </c>
      <c r="V172" s="23" t="n">
        <f>48332216000</f>
        <v>4.8332216E10</v>
      </c>
      <c r="W172" s="5" t="s">
        <v>279</v>
      </c>
      <c r="X172" s="23" t="str">
        <f>"－"</f>
        <v>－</v>
      </c>
      <c r="Y172" s="23"/>
      <c r="Z172" s="21" t="str">
        <f>"－"</f>
        <v>－</v>
      </c>
      <c r="AA172" s="21" t="n">
        <f>40400</f>
        <v>40400.0</v>
      </c>
      <c r="AB172" s="4" t="s">
        <v>197</v>
      </c>
      <c r="AC172" s="22" t="n">
        <f>86647</f>
        <v>86647.0</v>
      </c>
      <c r="AD172" s="5" t="s">
        <v>641</v>
      </c>
      <c r="AE172" s="23" t="n">
        <f>20954</f>
        <v>20954.0</v>
      </c>
    </row>
    <row r="173">
      <c r="A173" s="24" t="s">
        <v>635</v>
      </c>
      <c r="B173" s="25" t="s">
        <v>636</v>
      </c>
      <c r="C173" s="26"/>
      <c r="D173" s="27"/>
      <c r="E173" s="28" t="s">
        <v>405</v>
      </c>
      <c r="F173" s="20" t="n">
        <f>123</f>
        <v>123.0</v>
      </c>
      <c r="G173" s="21" t="n">
        <f>138822</f>
        <v>138822.0</v>
      </c>
      <c r="H173" s="21"/>
      <c r="I173" s="21" t="n">
        <f>131156</f>
        <v>131156.0</v>
      </c>
      <c r="J173" s="21" t="n">
        <f>1129</f>
        <v>1129.0</v>
      </c>
      <c r="K173" s="21" t="n">
        <f>1066</f>
        <v>1066.0</v>
      </c>
      <c r="L173" s="4" t="s">
        <v>183</v>
      </c>
      <c r="M173" s="22" t="n">
        <f>40255</f>
        <v>40255.0</v>
      </c>
      <c r="N173" s="5" t="s">
        <v>510</v>
      </c>
      <c r="O173" s="23" t="str">
        <f>"－"</f>
        <v>－</v>
      </c>
      <c r="P173" s="3" t="s">
        <v>642</v>
      </c>
      <c r="Q173" s="21"/>
      <c r="R173" s="3" t="s">
        <v>643</v>
      </c>
      <c r="S173" s="21" t="n">
        <f>600506711</f>
        <v>6.00506711E8</v>
      </c>
      <c r="T173" s="21" t="n">
        <f>568167154</f>
        <v>5.68167154E8</v>
      </c>
      <c r="U173" s="5" t="s">
        <v>88</v>
      </c>
      <c r="V173" s="23" t="n">
        <f>21536000000</f>
        <v>2.1536E10</v>
      </c>
      <c r="W173" s="5" t="s">
        <v>510</v>
      </c>
      <c r="X173" s="23" t="str">
        <f>"－"</f>
        <v>－</v>
      </c>
      <c r="Y173" s="23"/>
      <c r="Z173" s="21" t="str">
        <f>"－"</f>
        <v>－</v>
      </c>
      <c r="AA173" s="21" t="n">
        <f>40429</f>
        <v>40429.0</v>
      </c>
      <c r="AB173" s="4" t="s">
        <v>183</v>
      </c>
      <c r="AC173" s="22" t="n">
        <f>64703</f>
        <v>64703.0</v>
      </c>
      <c r="AD173" s="5" t="s">
        <v>205</v>
      </c>
      <c r="AE173" s="23" t="n">
        <f>20301</f>
        <v>20301.0</v>
      </c>
    </row>
    <row r="174">
      <c r="A174" s="24" t="s">
        <v>635</v>
      </c>
      <c r="B174" s="25" t="s">
        <v>636</v>
      </c>
      <c r="C174" s="26"/>
      <c r="D174" s="27"/>
      <c r="E174" s="28" t="s">
        <v>409</v>
      </c>
      <c r="F174" s="20" t="n">
        <f>121</f>
        <v>121.0</v>
      </c>
      <c r="G174" s="21" t="n">
        <f>143810</f>
        <v>143810.0</v>
      </c>
      <c r="H174" s="21"/>
      <c r="I174" s="21" t="n">
        <f>140860</f>
        <v>140860.0</v>
      </c>
      <c r="J174" s="21" t="n">
        <f>1189</f>
        <v>1189.0</v>
      </c>
      <c r="K174" s="21" t="n">
        <f>1164</f>
        <v>1164.0</v>
      </c>
      <c r="L174" s="4" t="s">
        <v>93</v>
      </c>
      <c r="M174" s="22" t="n">
        <f>60020</f>
        <v>60020.0</v>
      </c>
      <c r="N174" s="5" t="s">
        <v>644</v>
      </c>
      <c r="O174" s="23" t="str">
        <f>"－"</f>
        <v>－</v>
      </c>
      <c r="P174" s="3" t="s">
        <v>645</v>
      </c>
      <c r="Q174" s="21"/>
      <c r="R174" s="3" t="s">
        <v>646</v>
      </c>
      <c r="S174" s="21" t="n">
        <f>611331084</f>
        <v>6.11331084E8</v>
      </c>
      <c r="T174" s="21" t="n">
        <f>598777712</f>
        <v>5.98777712E8</v>
      </c>
      <c r="U174" s="5" t="s">
        <v>93</v>
      </c>
      <c r="V174" s="23" t="n">
        <f>31296000000</f>
        <v>3.1296E10</v>
      </c>
      <c r="W174" s="5" t="s">
        <v>644</v>
      </c>
      <c r="X174" s="23" t="str">
        <f>"－"</f>
        <v>－</v>
      </c>
      <c r="Y174" s="23"/>
      <c r="Z174" s="21" t="str">
        <f>"－"</f>
        <v>－</v>
      </c>
      <c r="AA174" s="21" t="n">
        <f>30477</f>
        <v>30477.0</v>
      </c>
      <c r="AB174" s="4" t="s">
        <v>137</v>
      </c>
      <c r="AC174" s="22" t="n">
        <f>42701</f>
        <v>42701.0</v>
      </c>
      <c r="AD174" s="5" t="s">
        <v>94</v>
      </c>
      <c r="AE174" s="23" t="n">
        <f>30000</f>
        <v>30000.0</v>
      </c>
    </row>
    <row r="175">
      <c r="A175" s="24" t="s">
        <v>635</v>
      </c>
      <c r="B175" s="25" t="s">
        <v>636</v>
      </c>
      <c r="C175" s="26"/>
      <c r="D175" s="27"/>
      <c r="E175" s="28" t="s">
        <v>412</v>
      </c>
      <c r="F175" s="20" t="n">
        <f>124</f>
        <v>124.0</v>
      </c>
      <c r="G175" s="21" t="n">
        <f>120182</f>
        <v>120182.0</v>
      </c>
      <c r="H175" s="21"/>
      <c r="I175" s="21" t="n">
        <f>120000</f>
        <v>120000.0</v>
      </c>
      <c r="J175" s="21" t="n">
        <f>969</f>
        <v>969.0</v>
      </c>
      <c r="K175" s="21" t="n">
        <f>968</f>
        <v>968.0</v>
      </c>
      <c r="L175" s="4" t="s">
        <v>58</v>
      </c>
      <c r="M175" s="22" t="n">
        <f>60000</f>
        <v>60000.0</v>
      </c>
      <c r="N175" s="5" t="s">
        <v>263</v>
      </c>
      <c r="O175" s="23" t="str">
        <f>"－"</f>
        <v>－</v>
      </c>
      <c r="P175" s="3" t="s">
        <v>647</v>
      </c>
      <c r="Q175" s="21"/>
      <c r="R175" s="3" t="s">
        <v>648</v>
      </c>
      <c r="S175" s="21" t="n">
        <f>489766194</f>
        <v>4.89766194E8</v>
      </c>
      <c r="T175" s="21" t="n">
        <f>488951613</f>
        <v>4.88951613E8</v>
      </c>
      <c r="U175" s="5" t="s">
        <v>58</v>
      </c>
      <c r="V175" s="23" t="n">
        <f>33465000000</f>
        <v>3.3465E10</v>
      </c>
      <c r="W175" s="5" t="s">
        <v>263</v>
      </c>
      <c r="X175" s="23" t="str">
        <f>"－"</f>
        <v>－</v>
      </c>
      <c r="Y175" s="23"/>
      <c r="Z175" s="21" t="str">
        <f>"－"</f>
        <v>－</v>
      </c>
      <c r="AA175" s="21" t="n">
        <f>30000</f>
        <v>30000.0</v>
      </c>
      <c r="AB175" s="4" t="s">
        <v>335</v>
      </c>
      <c r="AC175" s="22" t="n">
        <f>30654</f>
        <v>30654.0</v>
      </c>
      <c r="AD175" s="5" t="s">
        <v>132</v>
      </c>
      <c r="AE175" s="23" t="n">
        <f>30000</f>
        <v>30000.0</v>
      </c>
    </row>
    <row r="176">
      <c r="A176" s="24" t="s">
        <v>635</v>
      </c>
      <c r="B176" s="25" t="s">
        <v>636</v>
      </c>
      <c r="C176" s="26"/>
      <c r="D176" s="27"/>
      <c r="E176" s="28" t="s">
        <v>415</v>
      </c>
      <c r="F176" s="20" t="n">
        <f>121</f>
        <v>121.0</v>
      </c>
      <c r="G176" s="21" t="n">
        <f>90009</f>
        <v>90009.0</v>
      </c>
      <c r="H176" s="21"/>
      <c r="I176" s="21" t="n">
        <f>90000</f>
        <v>90000.0</v>
      </c>
      <c r="J176" s="21" t="n">
        <f>744</f>
        <v>744.0</v>
      </c>
      <c r="K176" s="21" t="n">
        <f>744</f>
        <v>744.0</v>
      </c>
      <c r="L176" s="4" t="s">
        <v>64</v>
      </c>
      <c r="M176" s="22" t="n">
        <f>60000</f>
        <v>60000.0</v>
      </c>
      <c r="N176" s="5" t="s">
        <v>279</v>
      </c>
      <c r="O176" s="23" t="str">
        <f>"－"</f>
        <v>－</v>
      </c>
      <c r="P176" s="3" t="s">
        <v>649</v>
      </c>
      <c r="Q176" s="21"/>
      <c r="R176" s="3" t="s">
        <v>650</v>
      </c>
      <c r="S176" s="21" t="n">
        <f>368158504</f>
        <v>3.68158504E8</v>
      </c>
      <c r="T176" s="21" t="n">
        <f>368119835</f>
        <v>3.68119835E8</v>
      </c>
      <c r="U176" s="5" t="s">
        <v>64</v>
      </c>
      <c r="V176" s="23" t="n">
        <f>29022000000</f>
        <v>2.9022E10</v>
      </c>
      <c r="W176" s="5" t="s">
        <v>279</v>
      </c>
      <c r="X176" s="23" t="str">
        <f>"－"</f>
        <v>－</v>
      </c>
      <c r="Y176" s="23"/>
      <c r="Z176" s="21" t="str">
        <f>"－"</f>
        <v>－</v>
      </c>
      <c r="AA176" s="21" t="n">
        <f>15000</f>
        <v>15000.0</v>
      </c>
      <c r="AB176" s="4" t="s">
        <v>53</v>
      </c>
      <c r="AC176" s="22" t="n">
        <f>30007</f>
        <v>30007.0</v>
      </c>
      <c r="AD176" s="5" t="s">
        <v>171</v>
      </c>
      <c r="AE176" s="23" t="n">
        <f>15000</f>
        <v>15000.0</v>
      </c>
    </row>
    <row r="177">
      <c r="A177" s="24" t="s">
        <v>635</v>
      </c>
      <c r="B177" s="25" t="s">
        <v>636</v>
      </c>
      <c r="C177" s="26"/>
      <c r="D177" s="27"/>
      <c r="E177" s="28" t="s">
        <v>418</v>
      </c>
      <c r="F177" s="20" t="n">
        <f>124</f>
        <v>124.0</v>
      </c>
      <c r="G177" s="21" t="n">
        <f>40002</f>
        <v>40002.0</v>
      </c>
      <c r="H177" s="21"/>
      <c r="I177" s="21" t="n">
        <f>40000</f>
        <v>40000.0</v>
      </c>
      <c r="J177" s="21" t="n">
        <f>323</f>
        <v>323.0</v>
      </c>
      <c r="K177" s="21" t="n">
        <f>323</f>
        <v>323.0</v>
      </c>
      <c r="L177" s="4" t="s">
        <v>88</v>
      </c>
      <c r="M177" s="22" t="n">
        <f>20000</f>
        <v>20000.0</v>
      </c>
      <c r="N177" s="5" t="s">
        <v>335</v>
      </c>
      <c r="O177" s="23" t="str">
        <f>"－"</f>
        <v>－</v>
      </c>
      <c r="P177" s="3" t="s">
        <v>651</v>
      </c>
      <c r="Q177" s="21"/>
      <c r="R177" s="3" t="s">
        <v>652</v>
      </c>
      <c r="S177" s="21" t="n">
        <f>130209016</f>
        <v>1.30209016E8</v>
      </c>
      <c r="T177" s="21" t="n">
        <f>130201613</f>
        <v>1.30201613E8</v>
      </c>
      <c r="U177" s="5" t="s">
        <v>88</v>
      </c>
      <c r="V177" s="23" t="n">
        <f>8573000000</f>
        <v>8.573E9</v>
      </c>
      <c r="W177" s="5" t="s">
        <v>335</v>
      </c>
      <c r="X177" s="23" t="str">
        <f>"－"</f>
        <v>－</v>
      </c>
      <c r="Y177" s="23"/>
      <c r="Z177" s="21" t="str">
        <f>"－"</f>
        <v>－</v>
      </c>
      <c r="AA177" s="21" t="n">
        <f>10000</f>
        <v>10000.0</v>
      </c>
      <c r="AB177" s="4" t="s">
        <v>335</v>
      </c>
      <c r="AC177" s="22" t="n">
        <f>15000</f>
        <v>15000.0</v>
      </c>
      <c r="AD177" s="5" t="s">
        <v>319</v>
      </c>
      <c r="AE177" s="23" t="n">
        <f>10000</f>
        <v>10000.0</v>
      </c>
    </row>
    <row r="178">
      <c r="A178" s="24" t="s">
        <v>635</v>
      </c>
      <c r="B178" s="25" t="s">
        <v>636</v>
      </c>
      <c r="C178" s="26"/>
      <c r="D178" s="27"/>
      <c r="E178" s="28" t="s">
        <v>422</v>
      </c>
      <c r="F178" s="20" t="n">
        <f>122</f>
        <v>122.0</v>
      </c>
      <c r="G178" s="21" t="n">
        <f>23574</f>
        <v>23574.0</v>
      </c>
      <c r="H178" s="21"/>
      <c r="I178" s="21" t="n">
        <f>23570</f>
        <v>23570.0</v>
      </c>
      <c r="J178" s="21" t="n">
        <f>193</f>
        <v>193.0</v>
      </c>
      <c r="K178" s="21" t="n">
        <f>193</f>
        <v>193.0</v>
      </c>
      <c r="L178" s="4" t="s">
        <v>137</v>
      </c>
      <c r="M178" s="22" t="n">
        <f>21000</f>
        <v>21000.0</v>
      </c>
      <c r="N178" s="5" t="s">
        <v>82</v>
      </c>
      <c r="O178" s="23" t="str">
        <f>"－"</f>
        <v>－</v>
      </c>
      <c r="P178" s="3" t="s">
        <v>653</v>
      </c>
      <c r="Q178" s="21"/>
      <c r="R178" s="3" t="s">
        <v>654</v>
      </c>
      <c r="S178" s="21" t="n">
        <f>74234844</f>
        <v>7.4234844E7</v>
      </c>
      <c r="T178" s="21" t="n">
        <f>74223070</f>
        <v>7.422307E7</v>
      </c>
      <c r="U178" s="5" t="s">
        <v>137</v>
      </c>
      <c r="V178" s="23" t="n">
        <f>7971750000</f>
        <v>7.97175E9</v>
      </c>
      <c r="W178" s="5" t="s">
        <v>82</v>
      </c>
      <c r="X178" s="23" t="str">
        <f>"－"</f>
        <v>－</v>
      </c>
      <c r="Y178" s="23"/>
      <c r="Z178" s="21" t="str">
        <f>"－"</f>
        <v>－</v>
      </c>
      <c r="AA178" s="21" t="n">
        <f>1170</f>
        <v>1170.0</v>
      </c>
      <c r="AB178" s="4" t="s">
        <v>536</v>
      </c>
      <c r="AC178" s="22" t="n">
        <f>10700</f>
        <v>10700.0</v>
      </c>
      <c r="AD178" s="5" t="s">
        <v>187</v>
      </c>
      <c r="AE178" s="23" t="n">
        <f>700</f>
        <v>700.0</v>
      </c>
    </row>
    <row r="179">
      <c r="A179" s="24" t="s">
        <v>635</v>
      </c>
      <c r="B179" s="25" t="s">
        <v>636</v>
      </c>
      <c r="C179" s="26"/>
      <c r="D179" s="27"/>
      <c r="E179" s="28" t="s">
        <v>425</v>
      </c>
      <c r="F179" s="20" t="n">
        <f>125</f>
        <v>125.0</v>
      </c>
      <c r="G179" s="21" t="n">
        <f>4340</f>
        <v>4340.0</v>
      </c>
      <c r="H179" s="21"/>
      <c r="I179" s="21" t="n">
        <f>4340</f>
        <v>4340.0</v>
      </c>
      <c r="J179" s="21" t="n">
        <f>35</f>
        <v>35.0</v>
      </c>
      <c r="K179" s="21" t="n">
        <f>35</f>
        <v>35.0</v>
      </c>
      <c r="L179" s="4" t="s">
        <v>274</v>
      </c>
      <c r="M179" s="22" t="n">
        <f>2340</f>
        <v>2340.0</v>
      </c>
      <c r="N179" s="5" t="s">
        <v>263</v>
      </c>
      <c r="O179" s="23" t="str">
        <f>"－"</f>
        <v>－</v>
      </c>
      <c r="P179" s="3" t="s">
        <v>655</v>
      </c>
      <c r="Q179" s="21"/>
      <c r="R179" s="3" t="s">
        <v>655</v>
      </c>
      <c r="S179" s="21" t="n">
        <f>12922347</f>
        <v>1.2922347E7</v>
      </c>
      <c r="T179" s="21" t="n">
        <f>12922347</f>
        <v>1.2922347E7</v>
      </c>
      <c r="U179" s="5" t="s">
        <v>274</v>
      </c>
      <c r="V179" s="23" t="n">
        <f>847665000</f>
        <v>8.47665E8</v>
      </c>
      <c r="W179" s="5" t="s">
        <v>263</v>
      </c>
      <c r="X179" s="23" t="str">
        <f>"－"</f>
        <v>－</v>
      </c>
      <c r="Y179" s="23"/>
      <c r="Z179" s="21" t="str">
        <f>"－"</f>
        <v>－</v>
      </c>
      <c r="AA179" s="21" t="n">
        <f>630</f>
        <v>630.0</v>
      </c>
      <c r="AB179" s="4" t="s">
        <v>272</v>
      </c>
      <c r="AC179" s="22" t="n">
        <f>1270</f>
        <v>1270.0</v>
      </c>
      <c r="AD179" s="5" t="s">
        <v>656</v>
      </c>
      <c r="AE179" s="23" t="n">
        <f>630</f>
        <v>630.0</v>
      </c>
    </row>
    <row r="180">
      <c r="A180" s="24" t="s">
        <v>635</v>
      </c>
      <c r="B180" s="25" t="s">
        <v>636</v>
      </c>
      <c r="C180" s="26"/>
      <c r="D180" s="27"/>
      <c r="E180" s="28" t="s">
        <v>428</v>
      </c>
      <c r="F180" s="20" t="n">
        <f>120</f>
        <v>120.0</v>
      </c>
      <c r="G180" s="21" t="n">
        <f>5170</f>
        <v>5170.0</v>
      </c>
      <c r="H180" s="21"/>
      <c r="I180" s="21" t="n">
        <f>5170</f>
        <v>5170.0</v>
      </c>
      <c r="J180" s="21" t="n">
        <f>43</f>
        <v>43.0</v>
      </c>
      <c r="K180" s="21" t="n">
        <f>43</f>
        <v>43.0</v>
      </c>
      <c r="L180" s="4" t="s">
        <v>194</v>
      </c>
      <c r="M180" s="22" t="n">
        <f>1465</f>
        <v>1465.0</v>
      </c>
      <c r="N180" s="5" t="s">
        <v>279</v>
      </c>
      <c r="O180" s="23" t="str">
        <f>"－"</f>
        <v>－</v>
      </c>
      <c r="P180" s="3" t="s">
        <v>657</v>
      </c>
      <c r="Q180" s="21"/>
      <c r="R180" s="3" t="s">
        <v>657</v>
      </c>
      <c r="S180" s="21" t="n">
        <f>18548049</f>
        <v>1.8548049E7</v>
      </c>
      <c r="T180" s="21" t="n">
        <f>18548049</f>
        <v>1.8548049E7</v>
      </c>
      <c r="U180" s="5" t="s">
        <v>658</v>
      </c>
      <c r="V180" s="23" t="n">
        <f>656266500</f>
        <v>6.562665E8</v>
      </c>
      <c r="W180" s="5" t="s">
        <v>279</v>
      </c>
      <c r="X180" s="23" t="str">
        <f>"－"</f>
        <v>－</v>
      </c>
      <c r="Y180" s="23"/>
      <c r="Z180" s="21" t="str">
        <f>"－"</f>
        <v>－</v>
      </c>
      <c r="AA180" s="21" t="n">
        <f>615</f>
        <v>615.0</v>
      </c>
      <c r="AB180" s="4" t="s">
        <v>241</v>
      </c>
      <c r="AC180" s="22" t="n">
        <f>2080</f>
        <v>2080.0</v>
      </c>
      <c r="AD180" s="5" t="s">
        <v>105</v>
      </c>
      <c r="AE180" s="23" t="n">
        <f>615</f>
        <v>615.0</v>
      </c>
    </row>
    <row r="181">
      <c r="A181" s="24" t="s">
        <v>635</v>
      </c>
      <c r="B181" s="25" t="s">
        <v>636</v>
      </c>
      <c r="C181" s="26"/>
      <c r="D181" s="27"/>
      <c r="E181" s="28" t="s">
        <v>433</v>
      </c>
      <c r="F181" s="20" t="n">
        <f>125</f>
        <v>125.0</v>
      </c>
      <c r="G181" s="21" t="n">
        <f>6376</f>
        <v>6376.0</v>
      </c>
      <c r="H181" s="21"/>
      <c r="I181" s="21" t="n">
        <f>6376</f>
        <v>6376.0</v>
      </c>
      <c r="J181" s="21" t="n">
        <f>51</f>
        <v>51.0</v>
      </c>
      <c r="K181" s="21" t="n">
        <f>51</f>
        <v>51.0</v>
      </c>
      <c r="L181" s="4" t="s">
        <v>659</v>
      </c>
      <c r="M181" s="22" t="n">
        <f>4272</f>
        <v>4272.0</v>
      </c>
      <c r="N181" s="5" t="s">
        <v>335</v>
      </c>
      <c r="O181" s="23" t="str">
        <f>"－"</f>
        <v>－</v>
      </c>
      <c r="P181" s="3" t="s">
        <v>660</v>
      </c>
      <c r="Q181" s="21"/>
      <c r="R181" s="3" t="s">
        <v>660</v>
      </c>
      <c r="S181" s="21" t="n">
        <f>30829501</f>
        <v>3.0829501E7</v>
      </c>
      <c r="T181" s="21" t="n">
        <f>30829501</f>
        <v>3.0829501E7</v>
      </c>
      <c r="U181" s="5" t="s">
        <v>659</v>
      </c>
      <c r="V181" s="23" t="n">
        <f>2556792000</f>
        <v>2.556792E9</v>
      </c>
      <c r="W181" s="5" t="s">
        <v>335</v>
      </c>
      <c r="X181" s="23" t="str">
        <f>"－"</f>
        <v>－</v>
      </c>
      <c r="Y181" s="23"/>
      <c r="Z181" s="21" t="str">
        <f>"－"</f>
        <v>－</v>
      </c>
      <c r="AA181" s="21" t="n">
        <f>259</f>
        <v>259.0</v>
      </c>
      <c r="AB181" s="4" t="s">
        <v>193</v>
      </c>
      <c r="AC181" s="22" t="n">
        <f>5502</f>
        <v>5502.0</v>
      </c>
      <c r="AD181" s="5" t="s">
        <v>166</v>
      </c>
      <c r="AE181" s="23" t="n">
        <f>259</f>
        <v>259.0</v>
      </c>
    </row>
    <row r="182">
      <c r="A182" s="24" t="s">
        <v>635</v>
      </c>
      <c r="B182" s="25" t="s">
        <v>636</v>
      </c>
      <c r="C182" s="26"/>
      <c r="D182" s="27"/>
      <c r="E182" s="28" t="s">
        <v>437</v>
      </c>
      <c r="F182" s="20" t="n">
        <f>120</f>
        <v>120.0</v>
      </c>
      <c r="G182" s="21" t="n">
        <f>1493</f>
        <v>1493.0</v>
      </c>
      <c r="H182" s="21"/>
      <c r="I182" s="21" t="n">
        <f>1493</f>
        <v>1493.0</v>
      </c>
      <c r="J182" s="21" t="n">
        <f>12</f>
        <v>12.0</v>
      </c>
      <c r="K182" s="21" t="n">
        <f>12</f>
        <v>12.0</v>
      </c>
      <c r="L182" s="4" t="s">
        <v>241</v>
      </c>
      <c r="M182" s="22" t="n">
        <f>777</f>
        <v>777.0</v>
      </c>
      <c r="N182" s="5" t="s">
        <v>279</v>
      </c>
      <c r="O182" s="23" t="str">
        <f>"－"</f>
        <v>－</v>
      </c>
      <c r="P182" s="3" t="s">
        <v>661</v>
      </c>
      <c r="Q182" s="21"/>
      <c r="R182" s="3" t="s">
        <v>661</v>
      </c>
      <c r="S182" s="21" t="n">
        <f>8084447</f>
        <v>8084447.0</v>
      </c>
      <c r="T182" s="21" t="n">
        <f>8084447</f>
        <v>8084447.0</v>
      </c>
      <c r="U182" s="5" t="s">
        <v>241</v>
      </c>
      <c r="V182" s="23" t="n">
        <f>518051800</f>
        <v>5.180518E8</v>
      </c>
      <c r="W182" s="5" t="s">
        <v>279</v>
      </c>
      <c r="X182" s="23" t="str">
        <f>"－"</f>
        <v>－</v>
      </c>
      <c r="Y182" s="23"/>
      <c r="Z182" s="21" t="str">
        <f>"－"</f>
        <v>－</v>
      </c>
      <c r="AA182" s="21" t="n">
        <f>457</f>
        <v>457.0</v>
      </c>
      <c r="AB182" s="4" t="s">
        <v>241</v>
      </c>
      <c r="AC182" s="22" t="n">
        <f>518</f>
        <v>518.0</v>
      </c>
      <c r="AD182" s="5" t="s">
        <v>279</v>
      </c>
      <c r="AE182" s="23" t="n">
        <f>259</f>
        <v>259.0</v>
      </c>
    </row>
    <row r="183">
      <c r="A183" s="24" t="s">
        <v>635</v>
      </c>
      <c r="B183" s="25" t="s">
        <v>636</v>
      </c>
      <c r="C183" s="26"/>
      <c r="D183" s="27"/>
      <c r="E183" s="28" t="s">
        <v>441</v>
      </c>
      <c r="F183" s="20" t="n">
        <f>125</f>
        <v>125.0</v>
      </c>
      <c r="G183" s="21" t="n">
        <f>1952</f>
        <v>1952.0</v>
      </c>
      <c r="H183" s="21"/>
      <c r="I183" s="21" t="n">
        <f>1682</f>
        <v>1682.0</v>
      </c>
      <c r="J183" s="21" t="n">
        <f>16</f>
        <v>16.0</v>
      </c>
      <c r="K183" s="21" t="n">
        <f>13</f>
        <v>13.0</v>
      </c>
      <c r="L183" s="4" t="s">
        <v>88</v>
      </c>
      <c r="M183" s="22" t="n">
        <f>914</f>
        <v>914.0</v>
      </c>
      <c r="N183" s="5" t="s">
        <v>335</v>
      </c>
      <c r="O183" s="23" t="str">
        <f>"－"</f>
        <v>－</v>
      </c>
      <c r="P183" s="3" t="s">
        <v>662</v>
      </c>
      <c r="Q183" s="21"/>
      <c r="R183" s="3" t="s">
        <v>663</v>
      </c>
      <c r="S183" s="21" t="n">
        <f>10202563</f>
        <v>1.0202563E7</v>
      </c>
      <c r="T183" s="21" t="n">
        <f>8768643</f>
        <v>8768643.0</v>
      </c>
      <c r="U183" s="5" t="s">
        <v>88</v>
      </c>
      <c r="V183" s="23" t="n">
        <f>585874000</f>
        <v>5.85874E8</v>
      </c>
      <c r="W183" s="5" t="s">
        <v>335</v>
      </c>
      <c r="X183" s="23" t="str">
        <f>"－"</f>
        <v>－</v>
      </c>
      <c r="Y183" s="23"/>
      <c r="Z183" s="21" t="str">
        <f>"－"</f>
        <v>－</v>
      </c>
      <c r="AA183" s="21" t="n">
        <f>430</f>
        <v>430.0</v>
      </c>
      <c r="AB183" s="4" t="s">
        <v>144</v>
      </c>
      <c r="AC183" s="22" t="n">
        <f>846</f>
        <v>846.0</v>
      </c>
      <c r="AD183" s="5" t="s">
        <v>120</v>
      </c>
      <c r="AE183" s="23" t="n">
        <f>275</f>
        <v>275.0</v>
      </c>
    </row>
    <row r="184">
      <c r="A184" s="24" t="s">
        <v>635</v>
      </c>
      <c r="B184" s="25" t="s">
        <v>636</v>
      </c>
      <c r="C184" s="26"/>
      <c r="D184" s="27"/>
      <c r="E184" s="28" t="s">
        <v>48</v>
      </c>
      <c r="F184" s="20" t="n">
        <f>121</f>
        <v>121.0</v>
      </c>
      <c r="G184" s="21" t="n">
        <f>2053</f>
        <v>2053.0</v>
      </c>
      <c r="H184" s="21"/>
      <c r="I184" s="21" t="n">
        <f>1286</f>
        <v>1286.0</v>
      </c>
      <c r="J184" s="21" t="n">
        <f>17</f>
        <v>17.0</v>
      </c>
      <c r="K184" s="21" t="n">
        <f>11</f>
        <v>11.0</v>
      </c>
      <c r="L184" s="4" t="s">
        <v>53</v>
      </c>
      <c r="M184" s="22" t="n">
        <f>657</f>
        <v>657.0</v>
      </c>
      <c r="N184" s="5" t="s">
        <v>279</v>
      </c>
      <c r="O184" s="23" t="str">
        <f>"－"</f>
        <v>－</v>
      </c>
      <c r="P184" s="3" t="s">
        <v>664</v>
      </c>
      <c r="Q184" s="21"/>
      <c r="R184" s="3" t="s">
        <v>665</v>
      </c>
      <c r="S184" s="21" t="n">
        <f>12364393</f>
        <v>1.2364393E7</v>
      </c>
      <c r="T184" s="21" t="n">
        <f>8008885</f>
        <v>8008885.0</v>
      </c>
      <c r="U184" s="5" t="s">
        <v>53</v>
      </c>
      <c r="V184" s="23" t="n">
        <f>508246600</f>
        <v>5.082466E8</v>
      </c>
      <c r="W184" s="5" t="s">
        <v>279</v>
      </c>
      <c r="X184" s="23" t="str">
        <f>"－"</f>
        <v>－</v>
      </c>
      <c r="Y184" s="23"/>
      <c r="Z184" s="21" t="str">
        <f>"－"</f>
        <v>－</v>
      </c>
      <c r="AA184" s="21" t="n">
        <f>353</f>
        <v>353.0</v>
      </c>
      <c r="AB184" s="4" t="s">
        <v>81</v>
      </c>
      <c r="AC184" s="22" t="n">
        <f>656</f>
        <v>656.0</v>
      </c>
      <c r="AD184" s="5" t="s">
        <v>536</v>
      </c>
      <c r="AE184" s="23" t="n">
        <f>321</f>
        <v>321.0</v>
      </c>
    </row>
    <row r="185">
      <c r="A185" s="24" t="s">
        <v>635</v>
      </c>
      <c r="B185" s="25" t="s">
        <v>636</v>
      </c>
      <c r="C185" s="26"/>
      <c r="D185" s="27"/>
      <c r="E185" s="28" t="s">
        <v>56</v>
      </c>
      <c r="F185" s="20" t="n">
        <f>123</f>
        <v>123.0</v>
      </c>
      <c r="G185" s="21" t="n">
        <f>2338</f>
        <v>2338.0</v>
      </c>
      <c r="H185" s="21"/>
      <c r="I185" s="21" t="n">
        <f>1625</f>
        <v>1625.0</v>
      </c>
      <c r="J185" s="21" t="n">
        <f>19</f>
        <v>19.0</v>
      </c>
      <c r="K185" s="21" t="n">
        <f>13</f>
        <v>13.0</v>
      </c>
      <c r="L185" s="4" t="s">
        <v>88</v>
      </c>
      <c r="M185" s="22" t="n">
        <f>656</f>
        <v>656.0</v>
      </c>
      <c r="N185" s="5" t="s">
        <v>666</v>
      </c>
      <c r="O185" s="23" t="str">
        <f>"－"</f>
        <v>－</v>
      </c>
      <c r="P185" s="3" t="s">
        <v>667</v>
      </c>
      <c r="Q185" s="21"/>
      <c r="R185" s="3" t="s">
        <v>668</v>
      </c>
      <c r="S185" s="21" t="n">
        <f>15028635</f>
        <v>1.5028635E7</v>
      </c>
      <c r="T185" s="21" t="n">
        <f>10589842</f>
        <v>1.0589842E7</v>
      </c>
      <c r="U185" s="5" t="s">
        <v>88</v>
      </c>
      <c r="V185" s="23" t="n">
        <f>547891200</f>
        <v>5.478912E8</v>
      </c>
      <c r="W185" s="5" t="s">
        <v>666</v>
      </c>
      <c r="X185" s="23" t="str">
        <f>"－"</f>
        <v>－</v>
      </c>
      <c r="Y185" s="23"/>
      <c r="Z185" s="21" t="str">
        <f>"－"</f>
        <v>－</v>
      </c>
      <c r="AA185" s="21" t="n">
        <f>468</f>
        <v>468.0</v>
      </c>
      <c r="AB185" s="4" t="s">
        <v>213</v>
      </c>
      <c r="AC185" s="22" t="n">
        <f>555</f>
        <v>555.0</v>
      </c>
      <c r="AD185" s="5" t="s">
        <v>192</v>
      </c>
      <c r="AE185" s="23" t="n">
        <f>181</f>
        <v>181.0</v>
      </c>
    </row>
    <row r="186">
      <c r="A186" s="24" t="s">
        <v>635</v>
      </c>
      <c r="B186" s="25" t="s">
        <v>636</v>
      </c>
      <c r="C186" s="26"/>
      <c r="D186" s="27"/>
      <c r="E186" s="28" t="s">
        <v>63</v>
      </c>
      <c r="F186" s="20" t="n">
        <f>122</f>
        <v>122.0</v>
      </c>
      <c r="G186" s="21" t="n">
        <f>3411</f>
        <v>3411.0</v>
      </c>
      <c r="H186" s="21"/>
      <c r="I186" s="21" t="n">
        <f>1624</f>
        <v>1624.0</v>
      </c>
      <c r="J186" s="21" t="n">
        <f>28</f>
        <v>28.0</v>
      </c>
      <c r="K186" s="21" t="n">
        <f>13</f>
        <v>13.0</v>
      </c>
      <c r="L186" s="4" t="s">
        <v>68</v>
      </c>
      <c r="M186" s="22" t="n">
        <f>683</f>
        <v>683.0</v>
      </c>
      <c r="N186" s="5" t="s">
        <v>669</v>
      </c>
      <c r="O186" s="23" t="str">
        <f>"－"</f>
        <v>－</v>
      </c>
      <c r="P186" s="3" t="s">
        <v>670</v>
      </c>
      <c r="Q186" s="21"/>
      <c r="R186" s="3" t="s">
        <v>671</v>
      </c>
      <c r="S186" s="21" t="n">
        <f>19503853</f>
        <v>1.9503853E7</v>
      </c>
      <c r="T186" s="21" t="n">
        <f>9178333</f>
        <v>9178333.0</v>
      </c>
      <c r="U186" s="5" t="s">
        <v>64</v>
      </c>
      <c r="V186" s="23" t="n">
        <f>463973900</f>
        <v>4.639739E8</v>
      </c>
      <c r="W186" s="5" t="s">
        <v>669</v>
      </c>
      <c r="X186" s="23" t="str">
        <f>"－"</f>
        <v>－</v>
      </c>
      <c r="Y186" s="23"/>
      <c r="Z186" s="21" t="str">
        <f>"－"</f>
        <v>－</v>
      </c>
      <c r="AA186" s="21" t="n">
        <f>474</f>
        <v>474.0</v>
      </c>
      <c r="AB186" s="4" t="s">
        <v>81</v>
      </c>
      <c r="AC186" s="22" t="n">
        <f>876</f>
        <v>876.0</v>
      </c>
      <c r="AD186" s="5" t="s">
        <v>212</v>
      </c>
      <c r="AE186" s="23" t="n">
        <f>341</f>
        <v>341.0</v>
      </c>
    </row>
    <row r="187">
      <c r="A187" s="24" t="s">
        <v>635</v>
      </c>
      <c r="B187" s="25" t="s">
        <v>636</v>
      </c>
      <c r="C187" s="26"/>
      <c r="D187" s="27"/>
      <c r="E187" s="28" t="s">
        <v>70</v>
      </c>
      <c r="F187" s="20" t="n">
        <f>123</f>
        <v>123.0</v>
      </c>
      <c r="G187" s="21" t="n">
        <f>1894</f>
        <v>1894.0</v>
      </c>
      <c r="H187" s="21"/>
      <c r="I187" s="21" t="n">
        <f>1495</f>
        <v>1495.0</v>
      </c>
      <c r="J187" s="21" t="n">
        <f>15</f>
        <v>15.0</v>
      </c>
      <c r="K187" s="21" t="n">
        <f>12</f>
        <v>12.0</v>
      </c>
      <c r="L187" s="4" t="s">
        <v>71</v>
      </c>
      <c r="M187" s="22" t="n">
        <f>578</f>
        <v>578.0</v>
      </c>
      <c r="N187" s="5" t="s">
        <v>672</v>
      </c>
      <c r="O187" s="23" t="str">
        <f>"－"</f>
        <v>－</v>
      </c>
      <c r="P187" s="3" t="s">
        <v>673</v>
      </c>
      <c r="Q187" s="21"/>
      <c r="R187" s="3" t="s">
        <v>674</v>
      </c>
      <c r="S187" s="21" t="n">
        <f>9658164</f>
        <v>9658164.0</v>
      </c>
      <c r="T187" s="21" t="n">
        <f>7638185</f>
        <v>7638185.0</v>
      </c>
      <c r="U187" s="5" t="s">
        <v>71</v>
      </c>
      <c r="V187" s="23" t="n">
        <f>361269500</f>
        <v>3.612695E8</v>
      </c>
      <c r="W187" s="5" t="s">
        <v>672</v>
      </c>
      <c r="X187" s="23" t="str">
        <f>"－"</f>
        <v>－</v>
      </c>
      <c r="Y187" s="23"/>
      <c r="Z187" s="21" t="str">
        <f>"－"</f>
        <v>－</v>
      </c>
      <c r="AA187" s="21" t="n">
        <f>278</f>
        <v>278.0</v>
      </c>
      <c r="AB187" s="4" t="s">
        <v>675</v>
      </c>
      <c r="AC187" s="22" t="n">
        <f>506</f>
        <v>506.0</v>
      </c>
      <c r="AD187" s="5" t="s">
        <v>144</v>
      </c>
      <c r="AE187" s="23" t="n">
        <f>165</f>
        <v>165.0</v>
      </c>
    </row>
    <row r="188">
      <c r="A188" s="24" t="s">
        <v>635</v>
      </c>
      <c r="B188" s="25" t="s">
        <v>636</v>
      </c>
      <c r="C188" s="26"/>
      <c r="D188" s="27"/>
      <c r="E188" s="28" t="s">
        <v>77</v>
      </c>
      <c r="F188" s="20" t="n">
        <f>122</f>
        <v>122.0</v>
      </c>
      <c r="G188" s="21" t="n">
        <f>2735</f>
        <v>2735.0</v>
      </c>
      <c r="H188" s="21"/>
      <c r="I188" s="21" t="n">
        <f>2114</f>
        <v>2114.0</v>
      </c>
      <c r="J188" s="21" t="n">
        <f>22</f>
        <v>22.0</v>
      </c>
      <c r="K188" s="21" t="n">
        <f>17</f>
        <v>17.0</v>
      </c>
      <c r="L188" s="4" t="s">
        <v>432</v>
      </c>
      <c r="M188" s="22" t="n">
        <f>1003</f>
        <v>1003.0</v>
      </c>
      <c r="N188" s="5" t="s">
        <v>339</v>
      </c>
      <c r="O188" s="23" t="str">
        <f>"－"</f>
        <v>－</v>
      </c>
      <c r="P188" s="3" t="s">
        <v>676</v>
      </c>
      <c r="Q188" s="21"/>
      <c r="R188" s="3" t="s">
        <v>677</v>
      </c>
      <c r="S188" s="21" t="n">
        <f>15543450</f>
        <v>1.554345E7</v>
      </c>
      <c r="T188" s="21" t="n">
        <f>11907388</f>
        <v>1.1907388E7</v>
      </c>
      <c r="U188" s="5" t="s">
        <v>432</v>
      </c>
      <c r="V188" s="23" t="n">
        <f>657913000</f>
        <v>6.57913E8</v>
      </c>
      <c r="W188" s="5" t="s">
        <v>339</v>
      </c>
      <c r="X188" s="23" t="str">
        <f>"－"</f>
        <v>－</v>
      </c>
      <c r="Y188" s="23"/>
      <c r="Z188" s="21" t="str">
        <f>"－"</f>
        <v>－</v>
      </c>
      <c r="AA188" s="21" t="n">
        <f>306</f>
        <v>306.0</v>
      </c>
      <c r="AB188" s="4" t="s">
        <v>81</v>
      </c>
      <c r="AC188" s="22" t="n">
        <f>1295</f>
        <v>1295.0</v>
      </c>
      <c r="AD188" s="5" t="s">
        <v>116</v>
      </c>
      <c r="AE188" s="23" t="n">
        <f>200</f>
        <v>200.0</v>
      </c>
    </row>
    <row r="189">
      <c r="A189" s="24" t="s">
        <v>635</v>
      </c>
      <c r="B189" s="25" t="s">
        <v>636</v>
      </c>
      <c r="C189" s="26"/>
      <c r="D189" s="27"/>
      <c r="E189" s="28" t="s">
        <v>83</v>
      </c>
      <c r="F189" s="20" t="n">
        <f>124</f>
        <v>124.0</v>
      </c>
      <c r="G189" s="21" t="n">
        <f>1234</f>
        <v>1234.0</v>
      </c>
      <c r="H189" s="21"/>
      <c r="I189" s="21" t="n">
        <f>1077</f>
        <v>1077.0</v>
      </c>
      <c r="J189" s="21" t="n">
        <f>10</f>
        <v>10.0</v>
      </c>
      <c r="K189" s="21" t="n">
        <f>9</f>
        <v>9.0</v>
      </c>
      <c r="L189" s="4" t="s">
        <v>96</v>
      </c>
      <c r="M189" s="22" t="n">
        <f>448</f>
        <v>448.0</v>
      </c>
      <c r="N189" s="5" t="s">
        <v>666</v>
      </c>
      <c r="O189" s="23" t="str">
        <f>"－"</f>
        <v>－</v>
      </c>
      <c r="P189" s="3" t="s">
        <v>678</v>
      </c>
      <c r="Q189" s="21"/>
      <c r="R189" s="3" t="s">
        <v>679</v>
      </c>
      <c r="S189" s="21" t="n">
        <f>7304271</f>
        <v>7304271.0</v>
      </c>
      <c r="T189" s="21" t="n">
        <f>6392726</f>
        <v>6392726.0</v>
      </c>
      <c r="U189" s="5" t="s">
        <v>96</v>
      </c>
      <c r="V189" s="23" t="n">
        <f>330134000</f>
        <v>3.30134E8</v>
      </c>
      <c r="W189" s="5" t="s">
        <v>666</v>
      </c>
      <c r="X189" s="23" t="str">
        <f>"－"</f>
        <v>－</v>
      </c>
      <c r="Y189" s="23"/>
      <c r="Z189" s="21" t="str">
        <f>"－"</f>
        <v>－</v>
      </c>
      <c r="AA189" s="21" t="n">
        <f>199</f>
        <v>199.0</v>
      </c>
      <c r="AB189" s="4" t="s">
        <v>666</v>
      </c>
      <c r="AC189" s="22" t="n">
        <f>306</f>
        <v>306.0</v>
      </c>
      <c r="AD189" s="5" t="s">
        <v>573</v>
      </c>
      <c r="AE189" s="23" t="n">
        <f>88</f>
        <v>88.0</v>
      </c>
    </row>
    <row r="190">
      <c r="A190" s="24" t="s">
        <v>635</v>
      </c>
      <c r="B190" s="25" t="s">
        <v>636</v>
      </c>
      <c r="C190" s="26"/>
      <c r="D190" s="27"/>
      <c r="E190" s="28" t="s">
        <v>89</v>
      </c>
      <c r="F190" s="20" t="n">
        <f>121</f>
        <v>121.0</v>
      </c>
      <c r="G190" s="21" t="n">
        <f>1427</f>
        <v>1427.0</v>
      </c>
      <c r="H190" s="21"/>
      <c r="I190" s="21" t="n">
        <f>1048</f>
        <v>1048.0</v>
      </c>
      <c r="J190" s="21" t="n">
        <f>12</f>
        <v>12.0</v>
      </c>
      <c r="K190" s="21" t="n">
        <f>9</f>
        <v>9.0</v>
      </c>
      <c r="L190" s="4" t="s">
        <v>78</v>
      </c>
      <c r="M190" s="22" t="n">
        <f>335</f>
        <v>335.0</v>
      </c>
      <c r="N190" s="5" t="s">
        <v>82</v>
      </c>
      <c r="O190" s="23" t="str">
        <f>"－"</f>
        <v>－</v>
      </c>
      <c r="P190" s="3" t="s">
        <v>680</v>
      </c>
      <c r="Q190" s="21"/>
      <c r="R190" s="3" t="s">
        <v>681</v>
      </c>
      <c r="S190" s="21" t="n">
        <f>9310938</f>
        <v>9310938.0</v>
      </c>
      <c r="T190" s="21" t="n">
        <f>6831463</f>
        <v>6831463.0</v>
      </c>
      <c r="U190" s="5" t="s">
        <v>78</v>
      </c>
      <c r="V190" s="23" t="n">
        <f>270765500</f>
        <v>2.707655E8</v>
      </c>
      <c r="W190" s="5" t="s">
        <v>82</v>
      </c>
      <c r="X190" s="23" t="str">
        <f>"－"</f>
        <v>－</v>
      </c>
      <c r="Y190" s="23"/>
      <c r="Z190" s="21" t="str">
        <f>"－"</f>
        <v>－</v>
      </c>
      <c r="AA190" s="21" t="n">
        <f>378</f>
        <v>378.0</v>
      </c>
      <c r="AB190" s="4" t="s">
        <v>585</v>
      </c>
      <c r="AC190" s="22" t="n">
        <f>413</f>
        <v>413.0</v>
      </c>
      <c r="AD190" s="5" t="s">
        <v>268</v>
      </c>
      <c r="AE190" s="23" t="n">
        <f>199</f>
        <v>199.0</v>
      </c>
    </row>
    <row r="191">
      <c r="A191" s="24" t="s">
        <v>635</v>
      </c>
      <c r="B191" s="25" t="s">
        <v>636</v>
      </c>
      <c r="C191" s="26"/>
      <c r="D191" s="27"/>
      <c r="E191" s="28" t="s">
        <v>95</v>
      </c>
      <c r="F191" s="20" t="n">
        <f>124</f>
        <v>124.0</v>
      </c>
      <c r="G191" s="21" t="n">
        <f>1680</f>
        <v>1680.0</v>
      </c>
      <c r="H191" s="21"/>
      <c r="I191" s="21" t="n">
        <f>1268</f>
        <v>1268.0</v>
      </c>
      <c r="J191" s="21" t="n">
        <f>14</f>
        <v>14.0</v>
      </c>
      <c r="K191" s="21" t="n">
        <f>10</f>
        <v>10.0</v>
      </c>
      <c r="L191" s="4" t="s">
        <v>272</v>
      </c>
      <c r="M191" s="22" t="n">
        <f>348</f>
        <v>348.0</v>
      </c>
      <c r="N191" s="5" t="s">
        <v>666</v>
      </c>
      <c r="O191" s="23" t="str">
        <f>"－"</f>
        <v>－</v>
      </c>
      <c r="P191" s="3" t="s">
        <v>682</v>
      </c>
      <c r="Q191" s="21"/>
      <c r="R191" s="3" t="s">
        <v>683</v>
      </c>
      <c r="S191" s="21" t="n">
        <f>10482407</f>
        <v>1.0482407E7</v>
      </c>
      <c r="T191" s="21" t="n">
        <f>7911887</f>
        <v>7911887.0</v>
      </c>
      <c r="U191" s="5" t="s">
        <v>272</v>
      </c>
      <c r="V191" s="23" t="n">
        <f>271701000</f>
        <v>2.71701E8</v>
      </c>
      <c r="W191" s="5" t="s">
        <v>666</v>
      </c>
      <c r="X191" s="23" t="str">
        <f>"－"</f>
        <v>－</v>
      </c>
      <c r="Y191" s="23"/>
      <c r="Z191" s="21" t="str">
        <f>"－"</f>
        <v>－</v>
      </c>
      <c r="AA191" s="21" t="n">
        <f>220</f>
        <v>220.0</v>
      </c>
      <c r="AB191" s="4" t="s">
        <v>143</v>
      </c>
      <c r="AC191" s="22" t="n">
        <f>520</f>
        <v>520.0</v>
      </c>
      <c r="AD191" s="5" t="s">
        <v>266</v>
      </c>
      <c r="AE191" s="23" t="n">
        <f>124</f>
        <v>124.0</v>
      </c>
    </row>
    <row r="192">
      <c r="A192" s="24" t="s">
        <v>635</v>
      </c>
      <c r="B192" s="25" t="s">
        <v>636</v>
      </c>
      <c r="C192" s="26"/>
      <c r="D192" s="27"/>
      <c r="E192" s="28" t="s">
        <v>101</v>
      </c>
      <c r="F192" s="20" t="n">
        <f>120</f>
        <v>120.0</v>
      </c>
      <c r="G192" s="21" t="n">
        <f>1501</f>
        <v>1501.0</v>
      </c>
      <c r="H192" s="21"/>
      <c r="I192" s="21" t="n">
        <f>1074</f>
        <v>1074.0</v>
      </c>
      <c r="J192" s="21" t="n">
        <f>13</f>
        <v>13.0</v>
      </c>
      <c r="K192" s="21" t="n">
        <f>9</f>
        <v>9.0</v>
      </c>
      <c r="L192" s="4" t="s">
        <v>155</v>
      </c>
      <c r="M192" s="22" t="n">
        <f>331</f>
        <v>331.0</v>
      </c>
      <c r="N192" s="5" t="s">
        <v>260</v>
      </c>
      <c r="O192" s="23" t="str">
        <f>"－"</f>
        <v>－</v>
      </c>
      <c r="P192" s="3" t="s">
        <v>684</v>
      </c>
      <c r="Q192" s="21"/>
      <c r="R192" s="3" t="s">
        <v>685</v>
      </c>
      <c r="S192" s="21" t="n">
        <f>9026651</f>
        <v>9026651.0</v>
      </c>
      <c r="T192" s="21" t="n">
        <f>6455413</f>
        <v>6455413.0</v>
      </c>
      <c r="U192" s="5" t="s">
        <v>155</v>
      </c>
      <c r="V192" s="23" t="n">
        <f>242884100</f>
        <v>2.428841E8</v>
      </c>
      <c r="W192" s="5" t="s">
        <v>260</v>
      </c>
      <c r="X192" s="23" t="str">
        <f>"－"</f>
        <v>－</v>
      </c>
      <c r="Y192" s="23"/>
      <c r="Z192" s="21" t="str">
        <f>"－"</f>
        <v>－</v>
      </c>
      <c r="AA192" s="21" t="n">
        <f>286</f>
        <v>286.0</v>
      </c>
      <c r="AB192" s="4" t="s">
        <v>155</v>
      </c>
      <c r="AC192" s="22" t="n">
        <f>583</f>
        <v>583.0</v>
      </c>
      <c r="AD192" s="5" t="s">
        <v>187</v>
      </c>
      <c r="AE192" s="23" t="n">
        <f>206</f>
        <v>206.0</v>
      </c>
    </row>
    <row r="193">
      <c r="A193" s="24" t="s">
        <v>635</v>
      </c>
      <c r="B193" s="25" t="s">
        <v>636</v>
      </c>
      <c r="C193" s="26"/>
      <c r="D193" s="27"/>
      <c r="E193" s="28" t="s">
        <v>106</v>
      </c>
      <c r="F193" s="20" t="n">
        <f>121</f>
        <v>121.0</v>
      </c>
      <c r="G193" s="21" t="n">
        <f>1078</f>
        <v>1078.0</v>
      </c>
      <c r="H193" s="21"/>
      <c r="I193" s="21" t="n">
        <f>898</f>
        <v>898.0</v>
      </c>
      <c r="J193" s="21" t="n">
        <f>9</f>
        <v>9.0</v>
      </c>
      <c r="K193" s="21" t="n">
        <f>7</f>
        <v>7.0</v>
      </c>
      <c r="L193" s="4" t="s">
        <v>193</v>
      </c>
      <c r="M193" s="22" t="n">
        <f>457</f>
        <v>457.0</v>
      </c>
      <c r="N193" s="5" t="s">
        <v>335</v>
      </c>
      <c r="O193" s="23" t="str">
        <f>"－"</f>
        <v>－</v>
      </c>
      <c r="P193" s="3" t="s">
        <v>686</v>
      </c>
      <c r="Q193" s="21"/>
      <c r="R193" s="3" t="s">
        <v>687</v>
      </c>
      <c r="S193" s="21" t="n">
        <f>6374216</f>
        <v>6374216.0</v>
      </c>
      <c r="T193" s="21" t="n">
        <f>5313774</f>
        <v>5313774.0</v>
      </c>
      <c r="U193" s="5" t="s">
        <v>193</v>
      </c>
      <c r="V193" s="23" t="n">
        <f>324577900</f>
        <v>3.245779E8</v>
      </c>
      <c r="W193" s="5" t="s">
        <v>335</v>
      </c>
      <c r="X193" s="23" t="str">
        <f>"－"</f>
        <v>－</v>
      </c>
      <c r="Y193" s="23"/>
      <c r="Z193" s="21" t="str">
        <f>"－"</f>
        <v>－</v>
      </c>
      <c r="AA193" s="21" t="n">
        <f>131</f>
        <v>131.0</v>
      </c>
      <c r="AB193" s="4" t="s">
        <v>319</v>
      </c>
      <c r="AC193" s="22" t="n">
        <f>307</f>
        <v>307.0</v>
      </c>
      <c r="AD193" s="5" t="s">
        <v>166</v>
      </c>
      <c r="AE193" s="23" t="n">
        <f>78</f>
        <v>78.0</v>
      </c>
    </row>
    <row r="194">
      <c r="A194" s="24" t="s">
        <v>635</v>
      </c>
      <c r="B194" s="25" t="s">
        <v>636</v>
      </c>
      <c r="C194" s="26"/>
      <c r="D194" s="27"/>
      <c r="E194" s="28" t="s">
        <v>112</v>
      </c>
      <c r="F194" s="20" t="n">
        <f>120</f>
        <v>120.0</v>
      </c>
      <c r="G194" s="21" t="n">
        <f>664</f>
        <v>664.0</v>
      </c>
      <c r="H194" s="21"/>
      <c r="I194" s="21" t="n">
        <f>507</f>
        <v>507.0</v>
      </c>
      <c r="J194" s="21" t="n">
        <f>6</f>
        <v>6.0</v>
      </c>
      <c r="K194" s="21" t="n">
        <f>4</f>
        <v>4.0</v>
      </c>
      <c r="L194" s="4" t="s">
        <v>53</v>
      </c>
      <c r="M194" s="22" t="n">
        <f>223</f>
        <v>223.0</v>
      </c>
      <c r="N194" s="5" t="s">
        <v>279</v>
      </c>
      <c r="O194" s="23" t="str">
        <f>"－"</f>
        <v>－</v>
      </c>
      <c r="P194" s="3" t="s">
        <v>688</v>
      </c>
      <c r="Q194" s="21"/>
      <c r="R194" s="3" t="s">
        <v>689</v>
      </c>
      <c r="S194" s="21" t="n">
        <f>3986453</f>
        <v>3986453.0</v>
      </c>
      <c r="T194" s="21" t="n">
        <f>3008312</f>
        <v>3008312.0</v>
      </c>
      <c r="U194" s="5" t="s">
        <v>53</v>
      </c>
      <c r="V194" s="23" t="n">
        <f>144644500</f>
        <v>1.446445E8</v>
      </c>
      <c r="W194" s="5" t="s">
        <v>279</v>
      </c>
      <c r="X194" s="23" t="str">
        <f>"－"</f>
        <v>－</v>
      </c>
      <c r="Y194" s="23"/>
      <c r="Z194" s="21" t="str">
        <f>"－"</f>
        <v>－</v>
      </c>
      <c r="AA194" s="21" t="n">
        <f>179</f>
        <v>179.0</v>
      </c>
      <c r="AB194" s="4" t="s">
        <v>49</v>
      </c>
      <c r="AC194" s="22" t="n">
        <f>183</f>
        <v>183.0</v>
      </c>
      <c r="AD194" s="5" t="s">
        <v>117</v>
      </c>
      <c r="AE194" s="23" t="n">
        <f>110</f>
        <v>110.0</v>
      </c>
    </row>
    <row r="195">
      <c r="A195" s="24" t="s">
        <v>635</v>
      </c>
      <c r="B195" s="25" t="s">
        <v>636</v>
      </c>
      <c r="C195" s="26"/>
      <c r="D195" s="27"/>
      <c r="E195" s="28" t="s">
        <v>118</v>
      </c>
      <c r="F195" s="20" t="n">
        <f>122</f>
        <v>122.0</v>
      </c>
      <c r="G195" s="21" t="n">
        <f>598</f>
        <v>598.0</v>
      </c>
      <c r="H195" s="21"/>
      <c r="I195" s="21" t="n">
        <f>566</f>
        <v>566.0</v>
      </c>
      <c r="J195" s="21" t="n">
        <f>5</f>
        <v>5.0</v>
      </c>
      <c r="K195" s="21" t="n">
        <f>5</f>
        <v>5.0</v>
      </c>
      <c r="L195" s="4" t="s">
        <v>88</v>
      </c>
      <c r="M195" s="22" t="n">
        <f>323</f>
        <v>323.0</v>
      </c>
      <c r="N195" s="5" t="s">
        <v>335</v>
      </c>
      <c r="O195" s="23" t="str">
        <f>"－"</f>
        <v>－</v>
      </c>
      <c r="P195" s="3" t="s">
        <v>690</v>
      </c>
      <c r="Q195" s="21"/>
      <c r="R195" s="3" t="s">
        <v>691</v>
      </c>
      <c r="S195" s="21" t="n">
        <f>3654837</f>
        <v>3654837.0</v>
      </c>
      <c r="T195" s="21" t="n">
        <f>3463173</f>
        <v>3463173.0</v>
      </c>
      <c r="U195" s="5" t="s">
        <v>88</v>
      </c>
      <c r="V195" s="23" t="n">
        <f>244142300</f>
        <v>2.441423E8</v>
      </c>
      <c r="W195" s="5" t="s">
        <v>335</v>
      </c>
      <c r="X195" s="23" t="str">
        <f>"－"</f>
        <v>－</v>
      </c>
      <c r="Y195" s="23"/>
      <c r="Z195" s="21" t="str">
        <f>"－"</f>
        <v>－</v>
      </c>
      <c r="AA195" s="21" t="n">
        <f>68</f>
        <v>68.0</v>
      </c>
      <c r="AB195" s="4" t="s">
        <v>88</v>
      </c>
      <c r="AC195" s="22" t="n">
        <f>323</f>
        <v>323.0</v>
      </c>
      <c r="AD195" s="5" t="s">
        <v>192</v>
      </c>
      <c r="AE195" s="23" t="n">
        <f>50</f>
        <v>50.0</v>
      </c>
    </row>
    <row r="196">
      <c r="A196" s="24" t="s">
        <v>635</v>
      </c>
      <c r="B196" s="25" t="s">
        <v>636</v>
      </c>
      <c r="C196" s="26"/>
      <c r="D196" s="27"/>
      <c r="E196" s="28" t="s">
        <v>124</v>
      </c>
      <c r="F196" s="20" t="n">
        <f>123</f>
        <v>123.0</v>
      </c>
      <c r="G196" s="21" t="n">
        <f>267</f>
        <v>267.0</v>
      </c>
      <c r="H196" s="21"/>
      <c r="I196" s="21" t="n">
        <f>250</f>
        <v>250.0</v>
      </c>
      <c r="J196" s="21" t="n">
        <f>2</f>
        <v>2.0</v>
      </c>
      <c r="K196" s="21" t="n">
        <f>2</f>
        <v>2.0</v>
      </c>
      <c r="L196" s="4" t="s">
        <v>68</v>
      </c>
      <c r="M196" s="22" t="n">
        <f>124</f>
        <v>124.0</v>
      </c>
      <c r="N196" s="5" t="s">
        <v>279</v>
      </c>
      <c r="O196" s="23" t="str">
        <f>"－"</f>
        <v>－</v>
      </c>
      <c r="P196" s="3" t="s">
        <v>692</v>
      </c>
      <c r="Q196" s="21"/>
      <c r="R196" s="3" t="s">
        <v>693</v>
      </c>
      <c r="S196" s="21" t="n">
        <f>1840718</f>
        <v>1840718.0</v>
      </c>
      <c r="T196" s="21" t="n">
        <f>1722568</f>
        <v>1722568.0</v>
      </c>
      <c r="U196" s="5" t="s">
        <v>68</v>
      </c>
      <c r="V196" s="23" t="n">
        <f>110218800</f>
        <v>1.102188E8</v>
      </c>
      <c r="W196" s="5" t="s">
        <v>279</v>
      </c>
      <c r="X196" s="23" t="str">
        <f>"－"</f>
        <v>－</v>
      </c>
      <c r="Y196" s="23"/>
      <c r="Z196" s="21" t="n">
        <f>2</f>
        <v>2.0</v>
      </c>
      <c r="AA196" s="21" t="n">
        <f>63</f>
        <v>63.0</v>
      </c>
      <c r="AB196" s="4" t="s">
        <v>352</v>
      </c>
      <c r="AC196" s="22" t="n">
        <f>72</f>
        <v>72.0</v>
      </c>
      <c r="AD196" s="5" t="s">
        <v>212</v>
      </c>
      <c r="AE196" s="23" t="n">
        <f>61</f>
        <v>61.0</v>
      </c>
    </row>
    <row r="197">
      <c r="A197" s="24" t="s">
        <v>635</v>
      </c>
      <c r="B197" s="25" t="s">
        <v>636</v>
      </c>
      <c r="C197" s="26"/>
      <c r="D197" s="27"/>
      <c r="E197" s="28" t="s">
        <v>127</v>
      </c>
      <c r="F197" s="20" t="n">
        <f>122</f>
        <v>122.0</v>
      </c>
      <c r="G197" s="21" t="n">
        <f>280</f>
        <v>280.0</v>
      </c>
      <c r="H197" s="21"/>
      <c r="I197" s="21" t="n">
        <f>267</f>
        <v>267.0</v>
      </c>
      <c r="J197" s="21" t="n">
        <f>2</f>
        <v>2.0</v>
      </c>
      <c r="K197" s="21" t="n">
        <f>2</f>
        <v>2.0</v>
      </c>
      <c r="L197" s="4" t="s">
        <v>143</v>
      </c>
      <c r="M197" s="22" t="n">
        <f>128</f>
        <v>128.0</v>
      </c>
      <c r="N197" s="5" t="s">
        <v>335</v>
      </c>
      <c r="O197" s="23" t="str">
        <f>"－"</f>
        <v>－</v>
      </c>
      <c r="P197" s="3" t="s">
        <v>694</v>
      </c>
      <c r="Q197" s="21"/>
      <c r="R197" s="3" t="s">
        <v>695</v>
      </c>
      <c r="S197" s="21" t="n">
        <f>2165696</f>
        <v>2165696.0</v>
      </c>
      <c r="T197" s="21" t="n">
        <f>2063799</f>
        <v>2063799.0</v>
      </c>
      <c r="U197" s="5" t="s">
        <v>143</v>
      </c>
      <c r="V197" s="23" t="n">
        <f>119260000</f>
        <v>1.1926E8</v>
      </c>
      <c r="W197" s="5" t="s">
        <v>335</v>
      </c>
      <c r="X197" s="23" t="str">
        <f>"－"</f>
        <v>－</v>
      </c>
      <c r="Y197" s="23"/>
      <c r="Z197" s="21" t="n">
        <f>1</f>
        <v>1.0</v>
      </c>
      <c r="AA197" s="21" t="n">
        <f>65</f>
        <v>65.0</v>
      </c>
      <c r="AB197" s="4" t="s">
        <v>143</v>
      </c>
      <c r="AC197" s="22" t="n">
        <f>67</f>
        <v>67.0</v>
      </c>
      <c r="AD197" s="5" t="s">
        <v>310</v>
      </c>
      <c r="AE197" s="23" t="n">
        <f>36</f>
        <v>36.0</v>
      </c>
    </row>
    <row r="198">
      <c r="A198" s="24" t="s">
        <v>635</v>
      </c>
      <c r="B198" s="25" t="s">
        <v>636</v>
      </c>
      <c r="C198" s="26"/>
      <c r="D198" s="27"/>
      <c r="E198" s="28" t="s">
        <v>133</v>
      </c>
      <c r="F198" s="20" t="n">
        <f>122</f>
        <v>122.0</v>
      </c>
      <c r="G198" s="21" t="n">
        <f>257</f>
        <v>257.0</v>
      </c>
      <c r="H198" s="21"/>
      <c r="I198" s="21" t="n">
        <f>255</f>
        <v>255.0</v>
      </c>
      <c r="J198" s="21" t="n">
        <f>2</f>
        <v>2.0</v>
      </c>
      <c r="K198" s="21" t="n">
        <f>2</f>
        <v>2.0</v>
      </c>
      <c r="L198" s="4" t="s">
        <v>53</v>
      </c>
      <c r="M198" s="22" t="n">
        <f>93</f>
        <v>93.0</v>
      </c>
      <c r="N198" s="5" t="s">
        <v>279</v>
      </c>
      <c r="O198" s="23" t="str">
        <f>"－"</f>
        <v>－</v>
      </c>
      <c r="P198" s="3" t="s">
        <v>696</v>
      </c>
      <c r="Q198" s="21"/>
      <c r="R198" s="3" t="s">
        <v>697</v>
      </c>
      <c r="S198" s="21" t="n">
        <f>1967575</f>
        <v>1967575.0</v>
      </c>
      <c r="T198" s="21" t="n">
        <f>1953231</f>
        <v>1953231.0</v>
      </c>
      <c r="U198" s="5" t="s">
        <v>137</v>
      </c>
      <c r="V198" s="23" t="n">
        <f>87998000</f>
        <v>8.7998E7</v>
      </c>
      <c r="W198" s="5" t="s">
        <v>279</v>
      </c>
      <c r="X198" s="23" t="str">
        <f>"－"</f>
        <v>－</v>
      </c>
      <c r="Y198" s="23"/>
      <c r="Z198" s="21" t="n">
        <f>2</f>
        <v>2.0</v>
      </c>
      <c r="AA198" s="21" t="n">
        <f>106</f>
        <v>106.0</v>
      </c>
      <c r="AB198" s="4" t="s">
        <v>698</v>
      </c>
      <c r="AC198" s="22" t="n">
        <f>106</f>
        <v>106.0</v>
      </c>
      <c r="AD198" s="5" t="s">
        <v>138</v>
      </c>
      <c r="AE198" s="23" t="n">
        <f>46</f>
        <v>46.0</v>
      </c>
    </row>
    <row r="199">
      <c r="A199" s="24" t="s">
        <v>635</v>
      </c>
      <c r="B199" s="25" t="s">
        <v>636</v>
      </c>
      <c r="C199" s="26"/>
      <c r="D199" s="27"/>
      <c r="E199" s="28" t="s">
        <v>139</v>
      </c>
      <c r="F199" s="20" t="n">
        <f>123</f>
        <v>123.0</v>
      </c>
      <c r="G199" s="21" t="n">
        <f>458</f>
        <v>458.0</v>
      </c>
      <c r="H199" s="21"/>
      <c r="I199" s="21" t="n">
        <f>393</f>
        <v>393.0</v>
      </c>
      <c r="J199" s="21" t="n">
        <f>4</f>
        <v>4.0</v>
      </c>
      <c r="K199" s="21" t="n">
        <f>3</f>
        <v>3.0</v>
      </c>
      <c r="L199" s="4" t="s">
        <v>71</v>
      </c>
      <c r="M199" s="22" t="n">
        <f>210</f>
        <v>210.0</v>
      </c>
      <c r="N199" s="5" t="s">
        <v>335</v>
      </c>
      <c r="O199" s="23" t="str">
        <f>"－"</f>
        <v>－</v>
      </c>
      <c r="P199" s="3" t="s">
        <v>699</v>
      </c>
      <c r="Q199" s="21"/>
      <c r="R199" s="3" t="s">
        <v>700</v>
      </c>
      <c r="S199" s="21" t="n">
        <f>3498928</f>
        <v>3498928.0</v>
      </c>
      <c r="T199" s="21" t="n">
        <f>3012526</f>
        <v>3012526.0</v>
      </c>
      <c r="U199" s="5" t="s">
        <v>71</v>
      </c>
      <c r="V199" s="23" t="n">
        <f>201768000</f>
        <v>2.01768E8</v>
      </c>
      <c r="W199" s="5" t="s">
        <v>335</v>
      </c>
      <c r="X199" s="23" t="str">
        <f>"－"</f>
        <v>－</v>
      </c>
      <c r="Y199" s="23"/>
      <c r="Z199" s="21" t="n">
        <f>11</f>
        <v>11.0</v>
      </c>
      <c r="AA199" s="21" t="n">
        <f>87</f>
        <v>87.0</v>
      </c>
      <c r="AB199" s="4" t="s">
        <v>71</v>
      </c>
      <c r="AC199" s="22" t="n">
        <f>166</f>
        <v>166.0</v>
      </c>
      <c r="AD199" s="5" t="s">
        <v>144</v>
      </c>
      <c r="AE199" s="23" t="n">
        <f>43</f>
        <v>43.0</v>
      </c>
    </row>
    <row r="200">
      <c r="A200" s="24" t="s">
        <v>635</v>
      </c>
      <c r="B200" s="25" t="s">
        <v>636</v>
      </c>
      <c r="C200" s="26"/>
      <c r="D200" s="27"/>
      <c r="E200" s="28" t="s">
        <v>145</v>
      </c>
      <c r="F200" s="20" t="n">
        <f>122</f>
        <v>122.0</v>
      </c>
      <c r="G200" s="21" t="n">
        <f>376</f>
        <v>376.0</v>
      </c>
      <c r="H200" s="21"/>
      <c r="I200" s="21" t="n">
        <f>341</f>
        <v>341.0</v>
      </c>
      <c r="J200" s="21" t="n">
        <f>3</f>
        <v>3.0</v>
      </c>
      <c r="K200" s="21" t="n">
        <f>3</f>
        <v>3.0</v>
      </c>
      <c r="L200" s="4" t="s">
        <v>78</v>
      </c>
      <c r="M200" s="22" t="n">
        <f>154</f>
        <v>154.0</v>
      </c>
      <c r="N200" s="5" t="s">
        <v>82</v>
      </c>
      <c r="O200" s="23" t="str">
        <f>"－"</f>
        <v>－</v>
      </c>
      <c r="P200" s="3" t="s">
        <v>701</v>
      </c>
      <c r="Q200" s="21"/>
      <c r="R200" s="3" t="s">
        <v>702</v>
      </c>
      <c r="S200" s="21" t="n">
        <f>3010470</f>
        <v>3010470.0</v>
      </c>
      <c r="T200" s="21" t="n">
        <f>2723146</f>
        <v>2723146.0</v>
      </c>
      <c r="U200" s="5" t="s">
        <v>146</v>
      </c>
      <c r="V200" s="23" t="n">
        <f>154015400</f>
        <v>1.540154E8</v>
      </c>
      <c r="W200" s="5" t="s">
        <v>82</v>
      </c>
      <c r="X200" s="23" t="str">
        <f>"－"</f>
        <v>－</v>
      </c>
      <c r="Y200" s="23"/>
      <c r="Z200" s="21" t="str">
        <f>"－"</f>
        <v>－</v>
      </c>
      <c r="AA200" s="21" t="n">
        <f>140</f>
        <v>140.0</v>
      </c>
      <c r="AB200" s="4" t="s">
        <v>698</v>
      </c>
      <c r="AC200" s="22" t="n">
        <f>140</f>
        <v>140.0</v>
      </c>
      <c r="AD200" s="5" t="s">
        <v>54</v>
      </c>
      <c r="AE200" s="23" t="n">
        <f>77</f>
        <v>77.0</v>
      </c>
    </row>
    <row r="201">
      <c r="A201" s="24" t="s">
        <v>635</v>
      </c>
      <c r="B201" s="25" t="s">
        <v>636</v>
      </c>
      <c r="C201" s="26"/>
      <c r="D201" s="27"/>
      <c r="E201" s="28" t="s">
        <v>150</v>
      </c>
      <c r="F201" s="20" t="n">
        <f>124</f>
        <v>124.0</v>
      </c>
      <c r="G201" s="21" t="n">
        <f>475</f>
        <v>475.0</v>
      </c>
      <c r="H201" s="21"/>
      <c r="I201" s="21" t="n">
        <f>432</f>
        <v>432.0</v>
      </c>
      <c r="J201" s="21" t="n">
        <f>4</f>
        <v>4.0</v>
      </c>
      <c r="K201" s="21" t="n">
        <f>3</f>
        <v>3.0</v>
      </c>
      <c r="L201" s="4" t="s">
        <v>96</v>
      </c>
      <c r="M201" s="22" t="n">
        <f>221</f>
        <v>221.0</v>
      </c>
      <c r="N201" s="5" t="s">
        <v>666</v>
      </c>
      <c r="O201" s="23" t="str">
        <f>"－"</f>
        <v>－</v>
      </c>
      <c r="P201" s="3" t="s">
        <v>703</v>
      </c>
      <c r="Q201" s="21"/>
      <c r="R201" s="3" t="s">
        <v>704</v>
      </c>
      <c r="S201" s="21" t="n">
        <f>4348449</f>
        <v>4348449.0</v>
      </c>
      <c r="T201" s="21" t="n">
        <f>3954332</f>
        <v>3954332.0</v>
      </c>
      <c r="U201" s="5" t="s">
        <v>96</v>
      </c>
      <c r="V201" s="23" t="n">
        <f>245693000</f>
        <v>2.45693E8</v>
      </c>
      <c r="W201" s="5" t="s">
        <v>666</v>
      </c>
      <c r="X201" s="23" t="str">
        <f>"－"</f>
        <v>－</v>
      </c>
      <c r="Y201" s="23"/>
      <c r="Z201" s="21" t="str">
        <f>"－"</f>
        <v>－</v>
      </c>
      <c r="AA201" s="21" t="n">
        <f>102</f>
        <v>102.0</v>
      </c>
      <c r="AB201" s="4" t="s">
        <v>96</v>
      </c>
      <c r="AC201" s="22" t="n">
        <f>249</f>
        <v>249.0</v>
      </c>
      <c r="AD201" s="5" t="s">
        <v>84</v>
      </c>
      <c r="AE201" s="23" t="n">
        <f>58</f>
        <v>58.0</v>
      </c>
    </row>
    <row r="202">
      <c r="A202" s="24" t="s">
        <v>635</v>
      </c>
      <c r="B202" s="25" t="s">
        <v>636</v>
      </c>
      <c r="C202" s="26"/>
      <c r="D202" s="27"/>
      <c r="E202" s="28" t="s">
        <v>154</v>
      </c>
      <c r="F202" s="20" t="n">
        <f>120</f>
        <v>120.0</v>
      </c>
      <c r="G202" s="21" t="n">
        <f>486</f>
        <v>486.0</v>
      </c>
      <c r="H202" s="21"/>
      <c r="I202" s="21" t="n">
        <f>460</f>
        <v>460.0</v>
      </c>
      <c r="J202" s="21" t="n">
        <f>4</f>
        <v>4.0</v>
      </c>
      <c r="K202" s="21" t="n">
        <f>4</f>
        <v>4.0</v>
      </c>
      <c r="L202" s="4" t="s">
        <v>298</v>
      </c>
      <c r="M202" s="22" t="n">
        <f>204</f>
        <v>204.0</v>
      </c>
      <c r="N202" s="5" t="s">
        <v>268</v>
      </c>
      <c r="O202" s="23" t="str">
        <f>"－"</f>
        <v>－</v>
      </c>
      <c r="P202" s="3" t="s">
        <v>705</v>
      </c>
      <c r="Q202" s="21"/>
      <c r="R202" s="3" t="s">
        <v>706</v>
      </c>
      <c r="S202" s="21" t="n">
        <f>5356738</f>
        <v>5356738.0</v>
      </c>
      <c r="T202" s="21" t="n">
        <f>5059521</f>
        <v>5059521.0</v>
      </c>
      <c r="U202" s="5" t="s">
        <v>155</v>
      </c>
      <c r="V202" s="23" t="n">
        <f>284650000</f>
        <v>2.8465E8</v>
      </c>
      <c r="W202" s="5" t="s">
        <v>268</v>
      </c>
      <c r="X202" s="23" t="str">
        <f>"－"</f>
        <v>－</v>
      </c>
      <c r="Y202" s="23"/>
      <c r="Z202" s="21" t="str">
        <f>"－"</f>
        <v>－</v>
      </c>
      <c r="AA202" s="21" t="n">
        <f>156</f>
        <v>156.0</v>
      </c>
      <c r="AB202" s="4" t="s">
        <v>585</v>
      </c>
      <c r="AC202" s="22" t="n">
        <f>156</f>
        <v>156.0</v>
      </c>
      <c r="AD202" s="5" t="s">
        <v>197</v>
      </c>
      <c r="AE202" s="23" t="n">
        <f>100</f>
        <v>100.0</v>
      </c>
    </row>
    <row r="203">
      <c r="A203" s="24" t="s">
        <v>707</v>
      </c>
      <c r="B203" s="25" t="s">
        <v>708</v>
      </c>
      <c r="C203" s="26"/>
      <c r="D203" s="27"/>
      <c r="E203" s="28" t="s">
        <v>324</v>
      </c>
      <c r="F203" s="20" t="n">
        <f>118</f>
        <v>118.0</v>
      </c>
      <c r="G203" s="21" t="n">
        <f>998</f>
        <v>998.0</v>
      </c>
      <c r="H203" s="21"/>
      <c r="I203" s="21" t="str">
        <f>"－"</f>
        <v>－</v>
      </c>
      <c r="J203" s="21" t="n">
        <f>8</f>
        <v>8.0</v>
      </c>
      <c r="K203" s="21" t="str">
        <f>"－"</f>
        <v>－</v>
      </c>
      <c r="L203" s="4" t="s">
        <v>272</v>
      </c>
      <c r="M203" s="22" t="n">
        <f>201</f>
        <v>201.0</v>
      </c>
      <c r="N203" s="5" t="s">
        <v>709</v>
      </c>
      <c r="O203" s="23" t="str">
        <f>"－"</f>
        <v>－</v>
      </c>
      <c r="P203" s="3" t="s">
        <v>710</v>
      </c>
      <c r="Q203" s="21"/>
      <c r="R203" s="3" t="s">
        <v>247</v>
      </c>
      <c r="S203" s="21" t="n">
        <f>35956763</f>
        <v>3.5956763E7</v>
      </c>
      <c r="T203" s="21" t="str">
        <f>"－"</f>
        <v>－</v>
      </c>
      <c r="U203" s="5" t="s">
        <v>272</v>
      </c>
      <c r="V203" s="23" t="n">
        <f>846645000</f>
        <v>8.46645E8</v>
      </c>
      <c r="W203" s="5" t="s">
        <v>709</v>
      </c>
      <c r="X203" s="23" t="str">
        <f>"－"</f>
        <v>－</v>
      </c>
      <c r="Y203" s="23"/>
      <c r="Z203" s="21" t="str">
        <f>"－"</f>
        <v>－</v>
      </c>
      <c r="AA203" s="21" t="n">
        <f>18</f>
        <v>18.0</v>
      </c>
      <c r="AB203" s="4" t="s">
        <v>107</v>
      </c>
      <c r="AC203" s="22" t="n">
        <f>248</f>
        <v>248.0</v>
      </c>
      <c r="AD203" s="5" t="s">
        <v>192</v>
      </c>
      <c r="AE203" s="23" t="n">
        <f>5</f>
        <v>5.0</v>
      </c>
    </row>
    <row r="204">
      <c r="A204" s="24" t="s">
        <v>707</v>
      </c>
      <c r="B204" s="25" t="s">
        <v>708</v>
      </c>
      <c r="C204" s="26"/>
      <c r="D204" s="27"/>
      <c r="E204" s="28" t="s">
        <v>327</v>
      </c>
      <c r="F204" s="20" t="n">
        <f>122</f>
        <v>122.0</v>
      </c>
      <c r="G204" s="21" t="n">
        <f>2697</f>
        <v>2697.0</v>
      </c>
      <c r="H204" s="21"/>
      <c r="I204" s="21" t="str">
        <f>"－"</f>
        <v>－</v>
      </c>
      <c r="J204" s="21" t="n">
        <f>22</f>
        <v>22.0</v>
      </c>
      <c r="K204" s="21" t="str">
        <f>"－"</f>
        <v>－</v>
      </c>
      <c r="L204" s="4" t="s">
        <v>511</v>
      </c>
      <c r="M204" s="22" t="n">
        <f>1253</f>
        <v>1253.0</v>
      </c>
      <c r="N204" s="5" t="s">
        <v>279</v>
      </c>
      <c r="O204" s="23" t="str">
        <f>"－"</f>
        <v>－</v>
      </c>
      <c r="P204" s="3" t="s">
        <v>711</v>
      </c>
      <c r="Q204" s="21"/>
      <c r="R204" s="3" t="s">
        <v>247</v>
      </c>
      <c r="S204" s="21" t="n">
        <f>90401025</f>
        <v>9.0401025E7</v>
      </c>
      <c r="T204" s="21" t="str">
        <f>"－"</f>
        <v>－</v>
      </c>
      <c r="U204" s="5" t="s">
        <v>511</v>
      </c>
      <c r="V204" s="23" t="n">
        <f>5232560000</f>
        <v>5.23256E9</v>
      </c>
      <c r="W204" s="5" t="s">
        <v>279</v>
      </c>
      <c r="X204" s="23" t="str">
        <f>"－"</f>
        <v>－</v>
      </c>
      <c r="Y204" s="23"/>
      <c r="Z204" s="21" t="str">
        <f>"－"</f>
        <v>－</v>
      </c>
      <c r="AA204" s="21" t="n">
        <f>2416</f>
        <v>2416.0</v>
      </c>
      <c r="AB204" s="4" t="s">
        <v>330</v>
      </c>
      <c r="AC204" s="22" t="n">
        <f>2416</f>
        <v>2416.0</v>
      </c>
      <c r="AD204" s="5" t="s">
        <v>314</v>
      </c>
      <c r="AE204" s="23" t="str">
        <f>"－"</f>
        <v>－</v>
      </c>
    </row>
    <row r="205">
      <c r="A205" s="24" t="s">
        <v>707</v>
      </c>
      <c r="B205" s="25" t="s">
        <v>708</v>
      </c>
      <c r="C205" s="26"/>
      <c r="D205" s="27"/>
      <c r="E205" s="28" t="s">
        <v>331</v>
      </c>
      <c r="F205" s="20" t="n">
        <f>124</f>
        <v>124.0</v>
      </c>
      <c r="G205" s="21" t="n">
        <f>16764</f>
        <v>16764.0</v>
      </c>
      <c r="H205" s="21"/>
      <c r="I205" s="21" t="str">
        <f>"－"</f>
        <v>－</v>
      </c>
      <c r="J205" s="21" t="n">
        <f>135</f>
        <v>135.0</v>
      </c>
      <c r="K205" s="21" t="str">
        <f>"－"</f>
        <v>－</v>
      </c>
      <c r="L205" s="4" t="s">
        <v>183</v>
      </c>
      <c r="M205" s="22" t="n">
        <f>8787</f>
        <v>8787.0</v>
      </c>
      <c r="N205" s="5" t="s">
        <v>712</v>
      </c>
      <c r="O205" s="23" t="str">
        <f>"－"</f>
        <v>－</v>
      </c>
      <c r="P205" s="3" t="s">
        <v>713</v>
      </c>
      <c r="Q205" s="21"/>
      <c r="R205" s="3" t="s">
        <v>247</v>
      </c>
      <c r="S205" s="21" t="n">
        <f>629436355</f>
        <v>6.29436355E8</v>
      </c>
      <c r="T205" s="21" t="str">
        <f>"－"</f>
        <v>－</v>
      </c>
      <c r="U205" s="5" t="s">
        <v>183</v>
      </c>
      <c r="V205" s="23" t="n">
        <f>43356176000</f>
        <v>4.3356176E10</v>
      </c>
      <c r="W205" s="5" t="s">
        <v>712</v>
      </c>
      <c r="X205" s="23" t="str">
        <f>"－"</f>
        <v>－</v>
      </c>
      <c r="Y205" s="23"/>
      <c r="Z205" s="21" t="str">
        <f>"－"</f>
        <v>－</v>
      </c>
      <c r="AA205" s="21" t="n">
        <f>4144</f>
        <v>4144.0</v>
      </c>
      <c r="AB205" s="4" t="s">
        <v>84</v>
      </c>
      <c r="AC205" s="22" t="n">
        <f>4640</f>
        <v>4640.0</v>
      </c>
      <c r="AD205" s="5" t="s">
        <v>335</v>
      </c>
      <c r="AE205" s="23" t="n">
        <f>2416</f>
        <v>2416.0</v>
      </c>
    </row>
    <row r="206">
      <c r="A206" s="24" t="s">
        <v>707</v>
      </c>
      <c r="B206" s="25" t="s">
        <v>708</v>
      </c>
      <c r="C206" s="26"/>
      <c r="D206" s="27"/>
      <c r="E206" s="28" t="s">
        <v>336</v>
      </c>
      <c r="F206" s="20" t="n">
        <f>122</f>
        <v>122.0</v>
      </c>
      <c r="G206" s="21" t="n">
        <f>20720</f>
        <v>20720.0</v>
      </c>
      <c r="H206" s="21"/>
      <c r="I206" s="21" t="str">
        <f>"－"</f>
        <v>－</v>
      </c>
      <c r="J206" s="21" t="n">
        <f>170</f>
        <v>170.0</v>
      </c>
      <c r="K206" s="21" t="str">
        <f>"－"</f>
        <v>－</v>
      </c>
      <c r="L206" s="4" t="s">
        <v>714</v>
      </c>
      <c r="M206" s="22" t="n">
        <f>5578</f>
        <v>5578.0</v>
      </c>
      <c r="N206" s="5" t="s">
        <v>314</v>
      </c>
      <c r="O206" s="23" t="str">
        <f>"－"</f>
        <v>－</v>
      </c>
      <c r="P206" s="3" t="s">
        <v>715</v>
      </c>
      <c r="Q206" s="21"/>
      <c r="R206" s="3" t="s">
        <v>247</v>
      </c>
      <c r="S206" s="21" t="n">
        <f>703018475</f>
        <v>7.03018475E8</v>
      </c>
      <c r="T206" s="21" t="str">
        <f>"－"</f>
        <v>－</v>
      </c>
      <c r="U206" s="5" t="s">
        <v>184</v>
      </c>
      <c r="V206" s="23" t="n">
        <f>23512656000</f>
        <v>2.3512656E10</v>
      </c>
      <c r="W206" s="5" t="s">
        <v>314</v>
      </c>
      <c r="X206" s="23" t="str">
        <f>"－"</f>
        <v>－</v>
      </c>
      <c r="Y206" s="23"/>
      <c r="Z206" s="21" t="str">
        <f>"－"</f>
        <v>－</v>
      </c>
      <c r="AA206" s="21" t="n">
        <f>7924</f>
        <v>7924.0</v>
      </c>
      <c r="AB206" s="4" t="s">
        <v>612</v>
      </c>
      <c r="AC206" s="22" t="n">
        <f>14979</f>
        <v>14979.0</v>
      </c>
      <c r="AD206" s="5" t="s">
        <v>279</v>
      </c>
      <c r="AE206" s="23" t="n">
        <f>4144</f>
        <v>4144.0</v>
      </c>
    </row>
    <row r="207">
      <c r="A207" s="24" t="s">
        <v>707</v>
      </c>
      <c r="B207" s="25" t="s">
        <v>708</v>
      </c>
      <c r="C207" s="26"/>
      <c r="D207" s="27"/>
      <c r="E207" s="28" t="s">
        <v>340</v>
      </c>
      <c r="F207" s="20" t="n">
        <f>125</f>
        <v>125.0</v>
      </c>
      <c r="G207" s="21" t="n">
        <f>36202</f>
        <v>36202.0</v>
      </c>
      <c r="H207" s="21"/>
      <c r="I207" s="21" t="str">
        <f>"－"</f>
        <v>－</v>
      </c>
      <c r="J207" s="21" t="n">
        <f>290</f>
        <v>290.0</v>
      </c>
      <c r="K207" s="21" t="str">
        <f>"－"</f>
        <v>－</v>
      </c>
      <c r="L207" s="4" t="s">
        <v>656</v>
      </c>
      <c r="M207" s="22" t="n">
        <f>9943</f>
        <v>9943.0</v>
      </c>
      <c r="N207" s="5" t="s">
        <v>151</v>
      </c>
      <c r="O207" s="23" t="str">
        <f>"－"</f>
        <v>－</v>
      </c>
      <c r="P207" s="3" t="s">
        <v>716</v>
      </c>
      <c r="Q207" s="21"/>
      <c r="R207" s="3" t="s">
        <v>247</v>
      </c>
      <c r="S207" s="21" t="n">
        <f>1084761576</f>
        <v>1.084761576E9</v>
      </c>
      <c r="T207" s="21" t="str">
        <f>"－"</f>
        <v>－</v>
      </c>
      <c r="U207" s="5" t="s">
        <v>656</v>
      </c>
      <c r="V207" s="23" t="n">
        <f>35397080000</f>
        <v>3.539708E10</v>
      </c>
      <c r="W207" s="5" t="s">
        <v>151</v>
      </c>
      <c r="X207" s="23" t="str">
        <f>"－"</f>
        <v>－</v>
      </c>
      <c r="Y207" s="23"/>
      <c r="Z207" s="21" t="str">
        <f>"－"</f>
        <v>－</v>
      </c>
      <c r="AA207" s="21" t="n">
        <f>1601</f>
        <v>1601.0</v>
      </c>
      <c r="AB207" s="4" t="s">
        <v>717</v>
      </c>
      <c r="AC207" s="22" t="n">
        <f>11348</f>
        <v>11348.0</v>
      </c>
      <c r="AD207" s="5" t="s">
        <v>107</v>
      </c>
      <c r="AE207" s="23" t="n">
        <f>1401</f>
        <v>1401.0</v>
      </c>
    </row>
    <row r="208">
      <c r="A208" s="24" t="s">
        <v>707</v>
      </c>
      <c r="B208" s="25" t="s">
        <v>708</v>
      </c>
      <c r="C208" s="26"/>
      <c r="D208" s="27"/>
      <c r="E208" s="28" t="s">
        <v>344</v>
      </c>
      <c r="F208" s="20" t="n">
        <f>121</f>
        <v>121.0</v>
      </c>
      <c r="G208" s="21" t="n">
        <f>4640</f>
        <v>4640.0</v>
      </c>
      <c r="H208" s="21"/>
      <c r="I208" s="21" t="str">
        <f>"－"</f>
        <v>－</v>
      </c>
      <c r="J208" s="21" t="n">
        <f>38</f>
        <v>38.0</v>
      </c>
      <c r="K208" s="21" t="str">
        <f>"－"</f>
        <v>－</v>
      </c>
      <c r="L208" s="4" t="s">
        <v>516</v>
      </c>
      <c r="M208" s="22" t="n">
        <f>4100</f>
        <v>4100.0</v>
      </c>
      <c r="N208" s="5" t="s">
        <v>268</v>
      </c>
      <c r="O208" s="23" t="str">
        <f>"－"</f>
        <v>－</v>
      </c>
      <c r="P208" s="3" t="s">
        <v>718</v>
      </c>
      <c r="Q208" s="21"/>
      <c r="R208" s="3" t="s">
        <v>247</v>
      </c>
      <c r="S208" s="21" t="n">
        <f>130374174</f>
        <v>1.30374174E8</v>
      </c>
      <c r="T208" s="21" t="str">
        <f>"－"</f>
        <v>－</v>
      </c>
      <c r="U208" s="5" t="s">
        <v>516</v>
      </c>
      <c r="V208" s="23" t="n">
        <f>14058000000</f>
        <v>1.4058E10</v>
      </c>
      <c r="W208" s="5" t="s">
        <v>268</v>
      </c>
      <c r="X208" s="23" t="str">
        <f>"－"</f>
        <v>－</v>
      </c>
      <c r="Y208" s="23"/>
      <c r="Z208" s="21" t="str">
        <f>"－"</f>
        <v>－</v>
      </c>
      <c r="AA208" s="21" t="n">
        <f>1910</f>
        <v>1910.0</v>
      </c>
      <c r="AB208" s="4" t="s">
        <v>516</v>
      </c>
      <c r="AC208" s="22" t="n">
        <f>2588</f>
        <v>2588.0</v>
      </c>
      <c r="AD208" s="5" t="s">
        <v>241</v>
      </c>
      <c r="AE208" s="23" t="n">
        <f>1600</f>
        <v>1600.0</v>
      </c>
    </row>
    <row r="209">
      <c r="A209" s="24" t="s">
        <v>707</v>
      </c>
      <c r="B209" s="25" t="s">
        <v>708</v>
      </c>
      <c r="C209" s="26"/>
      <c r="D209" s="27"/>
      <c r="E209" s="28" t="s">
        <v>347</v>
      </c>
      <c r="F209" s="20" t="n">
        <f>125</f>
        <v>125.0</v>
      </c>
      <c r="G209" s="21" t="n">
        <f>6512</f>
        <v>6512.0</v>
      </c>
      <c r="H209" s="21"/>
      <c r="I209" s="21" t="str">
        <f>"－"</f>
        <v>－</v>
      </c>
      <c r="J209" s="21" t="n">
        <f>52</f>
        <v>52.0</v>
      </c>
      <c r="K209" s="21" t="str">
        <f>"－"</f>
        <v>－</v>
      </c>
      <c r="L209" s="4" t="s">
        <v>61</v>
      </c>
      <c r="M209" s="22" t="n">
        <f>2800</f>
        <v>2800.0</v>
      </c>
      <c r="N209" s="5" t="s">
        <v>263</v>
      </c>
      <c r="O209" s="23" t="str">
        <f>"－"</f>
        <v>－</v>
      </c>
      <c r="P209" s="3" t="s">
        <v>719</v>
      </c>
      <c r="Q209" s="21"/>
      <c r="R209" s="3" t="s">
        <v>247</v>
      </c>
      <c r="S209" s="21" t="n">
        <f>152283640</f>
        <v>1.5228364E8</v>
      </c>
      <c r="T209" s="21" t="str">
        <f>"－"</f>
        <v>－</v>
      </c>
      <c r="U209" s="5" t="s">
        <v>61</v>
      </c>
      <c r="V209" s="23" t="n">
        <f>7819000000</f>
        <v>7.819E9</v>
      </c>
      <c r="W209" s="5" t="s">
        <v>263</v>
      </c>
      <c r="X209" s="23" t="str">
        <f>"－"</f>
        <v>－</v>
      </c>
      <c r="Y209" s="23"/>
      <c r="Z209" s="21" t="str">
        <f>"－"</f>
        <v>－</v>
      </c>
      <c r="AA209" s="21" t="n">
        <f>2240</f>
        <v>2240.0</v>
      </c>
      <c r="AB209" s="4" t="s">
        <v>289</v>
      </c>
      <c r="AC209" s="22" t="n">
        <f>2275</f>
        <v>2275.0</v>
      </c>
      <c r="AD209" s="5" t="s">
        <v>107</v>
      </c>
      <c r="AE209" s="23" t="n">
        <f>1400</f>
        <v>1400.0</v>
      </c>
    </row>
    <row r="210">
      <c r="A210" s="24" t="s">
        <v>707</v>
      </c>
      <c r="B210" s="25" t="s">
        <v>708</v>
      </c>
      <c r="C210" s="26"/>
      <c r="D210" s="27"/>
      <c r="E210" s="28" t="s">
        <v>351</v>
      </c>
      <c r="F210" s="20" t="n">
        <f>120</f>
        <v>120.0</v>
      </c>
      <c r="G210" s="21" t="n">
        <f>11869</f>
        <v>11869.0</v>
      </c>
      <c r="H210" s="21"/>
      <c r="I210" s="21" t="n">
        <f>9569</f>
        <v>9569.0</v>
      </c>
      <c r="J210" s="21" t="n">
        <f>99</f>
        <v>99.0</v>
      </c>
      <c r="K210" s="21" t="n">
        <f>80</f>
        <v>80.0</v>
      </c>
      <c r="L210" s="4" t="s">
        <v>658</v>
      </c>
      <c r="M210" s="22" t="n">
        <f>2802</f>
        <v>2802.0</v>
      </c>
      <c r="N210" s="5" t="s">
        <v>279</v>
      </c>
      <c r="O210" s="23" t="str">
        <f>"－"</f>
        <v>－</v>
      </c>
      <c r="P210" s="3" t="s">
        <v>720</v>
      </c>
      <c r="Q210" s="21"/>
      <c r="R210" s="3" t="s">
        <v>721</v>
      </c>
      <c r="S210" s="21" t="n">
        <f>200238758</f>
        <v>2.00238758E8</v>
      </c>
      <c r="T210" s="21" t="n">
        <f>158383625</f>
        <v>1.58383625E8</v>
      </c>
      <c r="U210" s="5" t="s">
        <v>658</v>
      </c>
      <c r="V210" s="23" t="n">
        <f>5797216000</f>
        <v>5.797216E9</v>
      </c>
      <c r="W210" s="5" t="s">
        <v>279</v>
      </c>
      <c r="X210" s="23" t="str">
        <f>"－"</f>
        <v>－</v>
      </c>
      <c r="Y210" s="23"/>
      <c r="Z210" s="21" t="str">
        <f>"－"</f>
        <v>－</v>
      </c>
      <c r="AA210" s="21" t="n">
        <f>7469</f>
        <v>7469.0</v>
      </c>
      <c r="AB210" s="4" t="s">
        <v>585</v>
      </c>
      <c r="AC210" s="22" t="n">
        <f>7469</f>
        <v>7469.0</v>
      </c>
      <c r="AD210" s="5" t="s">
        <v>279</v>
      </c>
      <c r="AE210" s="23" t="n">
        <f>2240</f>
        <v>2240.0</v>
      </c>
    </row>
    <row r="211">
      <c r="A211" s="24" t="s">
        <v>707</v>
      </c>
      <c r="B211" s="25" t="s">
        <v>708</v>
      </c>
      <c r="C211" s="26"/>
      <c r="D211" s="27"/>
      <c r="E211" s="28" t="s">
        <v>355</v>
      </c>
      <c r="F211" s="20" t="n">
        <f>126</f>
        <v>126.0</v>
      </c>
      <c r="G211" s="21" t="n">
        <f>70744</f>
        <v>70744.0</v>
      </c>
      <c r="H211" s="21"/>
      <c r="I211" s="21" t="n">
        <f>70664</f>
        <v>70664.0</v>
      </c>
      <c r="J211" s="21" t="n">
        <f>561</f>
        <v>561.0</v>
      </c>
      <c r="K211" s="21" t="n">
        <f>561</f>
        <v>561.0</v>
      </c>
      <c r="L211" s="4" t="s">
        <v>119</v>
      </c>
      <c r="M211" s="22" t="n">
        <f>11676</f>
        <v>11676.0</v>
      </c>
      <c r="N211" s="5" t="s">
        <v>335</v>
      </c>
      <c r="O211" s="23" t="str">
        <f>"－"</f>
        <v>－</v>
      </c>
      <c r="P211" s="3" t="s">
        <v>722</v>
      </c>
      <c r="Q211" s="21"/>
      <c r="R211" s="3" t="s">
        <v>723</v>
      </c>
      <c r="S211" s="21" t="n">
        <f>1117630254</f>
        <v>1.117630254E9</v>
      </c>
      <c r="T211" s="21" t="n">
        <f>1116353008</f>
        <v>1.116353008E9</v>
      </c>
      <c r="U211" s="5" t="s">
        <v>119</v>
      </c>
      <c r="V211" s="23" t="n">
        <f>21900924000</f>
        <v>2.1900924E10</v>
      </c>
      <c r="W211" s="5" t="s">
        <v>335</v>
      </c>
      <c r="X211" s="23" t="str">
        <f>"－"</f>
        <v>－</v>
      </c>
      <c r="Y211" s="23"/>
      <c r="Z211" s="21" t="str">
        <f>"－"</f>
        <v>－</v>
      </c>
      <c r="AA211" s="21" t="n">
        <f>25652</f>
        <v>25652.0</v>
      </c>
      <c r="AB211" s="4" t="s">
        <v>61</v>
      </c>
      <c r="AC211" s="22" t="n">
        <f>32521</f>
        <v>32521.0</v>
      </c>
      <c r="AD211" s="5" t="s">
        <v>335</v>
      </c>
      <c r="AE211" s="23" t="n">
        <f>7469</f>
        <v>7469.0</v>
      </c>
    </row>
    <row r="212">
      <c r="A212" s="24" t="s">
        <v>707</v>
      </c>
      <c r="B212" s="25" t="s">
        <v>708</v>
      </c>
      <c r="C212" s="26"/>
      <c r="D212" s="27"/>
      <c r="E212" s="28" t="s">
        <v>358</v>
      </c>
      <c r="F212" s="20" t="n">
        <f>120</f>
        <v>120.0</v>
      </c>
      <c r="G212" s="21" t="n">
        <f>125048</f>
        <v>125048.0</v>
      </c>
      <c r="H212" s="21"/>
      <c r="I212" s="21" t="n">
        <f>125012</f>
        <v>125012.0</v>
      </c>
      <c r="J212" s="21" t="n">
        <f>1042</f>
        <v>1042.0</v>
      </c>
      <c r="K212" s="21" t="n">
        <f>1042</f>
        <v>1042.0</v>
      </c>
      <c r="L212" s="4" t="s">
        <v>146</v>
      </c>
      <c r="M212" s="22" t="n">
        <f>49787</f>
        <v>49787.0</v>
      </c>
      <c r="N212" s="5" t="s">
        <v>279</v>
      </c>
      <c r="O212" s="23" t="str">
        <f>"－"</f>
        <v>－</v>
      </c>
      <c r="P212" s="3" t="s">
        <v>724</v>
      </c>
      <c r="Q212" s="21"/>
      <c r="R212" s="3" t="s">
        <v>725</v>
      </c>
      <c r="S212" s="21" t="n">
        <f>1560888750</f>
        <v>1.56088875E9</v>
      </c>
      <c r="T212" s="21" t="n">
        <f>1560430275</f>
        <v>1.560430275E9</v>
      </c>
      <c r="U212" s="5" t="s">
        <v>146</v>
      </c>
      <c r="V212" s="23" t="n">
        <f>70145122000</f>
        <v>7.0145122E10</v>
      </c>
      <c r="W212" s="5" t="s">
        <v>279</v>
      </c>
      <c r="X212" s="23" t="str">
        <f>"－"</f>
        <v>－</v>
      </c>
      <c r="Y212" s="23"/>
      <c r="Z212" s="21" t="str">
        <f>"－"</f>
        <v>－</v>
      </c>
      <c r="AA212" s="21" t="n">
        <f>24351</f>
        <v>24351.0</v>
      </c>
      <c r="AB212" s="4" t="s">
        <v>466</v>
      </c>
      <c r="AC212" s="22" t="n">
        <f>28152</f>
        <v>28152.0</v>
      </c>
      <c r="AD212" s="5" t="s">
        <v>726</v>
      </c>
      <c r="AE212" s="23" t="n">
        <f>22833</f>
        <v>22833.0</v>
      </c>
    </row>
    <row r="213">
      <c r="A213" s="24" t="s">
        <v>707</v>
      </c>
      <c r="B213" s="25" t="s">
        <v>708</v>
      </c>
      <c r="C213" s="26"/>
      <c r="D213" s="27"/>
      <c r="E213" s="28" t="s">
        <v>361</v>
      </c>
      <c r="F213" s="20" t="n">
        <f>126</f>
        <v>126.0</v>
      </c>
      <c r="G213" s="21" t="n">
        <f>76377</f>
        <v>76377.0</v>
      </c>
      <c r="H213" s="21"/>
      <c r="I213" s="21" t="n">
        <f>76344</f>
        <v>76344.0</v>
      </c>
      <c r="J213" s="21" t="n">
        <f>606</f>
        <v>606.0</v>
      </c>
      <c r="K213" s="21" t="n">
        <f>606</f>
        <v>606.0</v>
      </c>
      <c r="L213" s="4" t="s">
        <v>75</v>
      </c>
      <c r="M213" s="22" t="n">
        <f>43101</f>
        <v>43101.0</v>
      </c>
      <c r="N213" s="5" t="s">
        <v>335</v>
      </c>
      <c r="O213" s="23" t="str">
        <f>"－"</f>
        <v>－</v>
      </c>
      <c r="P213" s="3" t="s">
        <v>727</v>
      </c>
      <c r="Q213" s="21"/>
      <c r="R213" s="3" t="s">
        <v>728</v>
      </c>
      <c r="S213" s="21" t="n">
        <f>907125913</f>
        <v>9.07125913E8</v>
      </c>
      <c r="T213" s="21" t="n">
        <f>906673000</f>
        <v>9.06673E8</v>
      </c>
      <c r="U213" s="5" t="s">
        <v>75</v>
      </c>
      <c r="V213" s="23" t="n">
        <f>62137790000</f>
        <v>6.213779E10</v>
      </c>
      <c r="W213" s="5" t="s">
        <v>335</v>
      </c>
      <c r="X213" s="23" t="str">
        <f>"－"</f>
        <v>－</v>
      </c>
      <c r="Y213" s="23"/>
      <c r="Z213" s="21" t="str">
        <f>"－"</f>
        <v>－</v>
      </c>
      <c r="AA213" s="21" t="n">
        <f>401</f>
        <v>401.0</v>
      </c>
      <c r="AB213" s="4" t="s">
        <v>75</v>
      </c>
      <c r="AC213" s="22" t="n">
        <f>26009</f>
        <v>26009.0</v>
      </c>
      <c r="AD213" s="5" t="s">
        <v>120</v>
      </c>
      <c r="AE213" s="23" t="n">
        <f>401</f>
        <v>401.0</v>
      </c>
    </row>
    <row r="214">
      <c r="A214" s="24" t="s">
        <v>707</v>
      </c>
      <c r="B214" s="25" t="s">
        <v>708</v>
      </c>
      <c r="C214" s="26"/>
      <c r="D214" s="27"/>
      <c r="E214" s="28" t="s">
        <v>365</v>
      </c>
      <c r="F214" s="20" t="n">
        <f>122</f>
        <v>122.0</v>
      </c>
      <c r="G214" s="21" t="n">
        <f>601</f>
        <v>601.0</v>
      </c>
      <c r="H214" s="21"/>
      <c r="I214" s="21" t="n">
        <f>600</f>
        <v>600.0</v>
      </c>
      <c r="J214" s="21" t="n">
        <f>5</f>
        <v>5.0</v>
      </c>
      <c r="K214" s="21" t="n">
        <f>5</f>
        <v>5.0</v>
      </c>
      <c r="L214" s="4" t="s">
        <v>53</v>
      </c>
      <c r="M214" s="22" t="n">
        <f>401</f>
        <v>401.0</v>
      </c>
      <c r="N214" s="5" t="s">
        <v>279</v>
      </c>
      <c r="O214" s="23" t="str">
        <f>"－"</f>
        <v>－</v>
      </c>
      <c r="P214" s="3" t="s">
        <v>729</v>
      </c>
      <c r="Q214" s="21"/>
      <c r="R214" s="3" t="s">
        <v>730</v>
      </c>
      <c r="S214" s="21" t="n">
        <f>11744656</f>
        <v>1.1744656E7</v>
      </c>
      <c r="T214" s="21" t="n">
        <f>11723770</f>
        <v>1.172377E7</v>
      </c>
      <c r="U214" s="5" t="s">
        <v>53</v>
      </c>
      <c r="V214" s="23" t="n">
        <f>1019348000</f>
        <v>1.019348E9</v>
      </c>
      <c r="W214" s="5" t="s">
        <v>279</v>
      </c>
      <c r="X214" s="23" t="str">
        <f>"－"</f>
        <v>－</v>
      </c>
      <c r="Y214" s="23"/>
      <c r="Z214" s="21" t="str">
        <f>"－"</f>
        <v>－</v>
      </c>
      <c r="AA214" s="21" t="n">
        <f>201</f>
        <v>201.0</v>
      </c>
      <c r="AB214" s="4" t="s">
        <v>279</v>
      </c>
      <c r="AC214" s="22" t="n">
        <f>401</f>
        <v>401.0</v>
      </c>
      <c r="AD214" s="5" t="s">
        <v>641</v>
      </c>
      <c r="AE214" s="23" t="n">
        <f>201</f>
        <v>201.0</v>
      </c>
    </row>
    <row r="215">
      <c r="A215" s="24" t="s">
        <v>707</v>
      </c>
      <c r="B215" s="25" t="s">
        <v>708</v>
      </c>
      <c r="C215" s="26"/>
      <c r="D215" s="27"/>
      <c r="E215" s="28" t="s">
        <v>368</v>
      </c>
      <c r="F215" s="20" t="n">
        <f>124</f>
        <v>124.0</v>
      </c>
      <c r="G215" s="21" t="n">
        <f>200</f>
        <v>200.0</v>
      </c>
      <c r="H215" s="21"/>
      <c r="I215" s="21" t="n">
        <f>200</f>
        <v>200.0</v>
      </c>
      <c r="J215" s="21" t="n">
        <f>2</f>
        <v>2.0</v>
      </c>
      <c r="K215" s="21" t="n">
        <f>2</f>
        <v>2.0</v>
      </c>
      <c r="L215" s="4" t="s">
        <v>731</v>
      </c>
      <c r="M215" s="22" t="n">
        <f>200</f>
        <v>200.0</v>
      </c>
      <c r="N215" s="5" t="s">
        <v>335</v>
      </c>
      <c r="O215" s="23" t="str">
        <f>"－"</f>
        <v>－</v>
      </c>
      <c r="P215" s="3" t="s">
        <v>732</v>
      </c>
      <c r="Q215" s="21"/>
      <c r="R215" s="3" t="s">
        <v>732</v>
      </c>
      <c r="S215" s="21" t="n">
        <f>4016129</f>
        <v>4016129.0</v>
      </c>
      <c r="T215" s="21" t="n">
        <f>4016129</f>
        <v>4016129.0</v>
      </c>
      <c r="U215" s="5" t="s">
        <v>731</v>
      </c>
      <c r="V215" s="23" t="n">
        <f>498000000</f>
        <v>4.98E8</v>
      </c>
      <c r="W215" s="5" t="s">
        <v>335</v>
      </c>
      <c r="X215" s="23" t="str">
        <f>"－"</f>
        <v>－</v>
      </c>
      <c r="Y215" s="23"/>
      <c r="Z215" s="21" t="str">
        <f>"－"</f>
        <v>－</v>
      </c>
      <c r="AA215" s="21" t="str">
        <f>"－"</f>
        <v>－</v>
      </c>
      <c r="AB215" s="4" t="s">
        <v>335</v>
      </c>
      <c r="AC215" s="22" t="n">
        <f>201</f>
        <v>201.0</v>
      </c>
      <c r="AD215" s="5" t="s">
        <v>76</v>
      </c>
      <c r="AE215" s="23" t="str">
        <f>"－"</f>
        <v>－</v>
      </c>
    </row>
    <row r="216">
      <c r="A216" s="24" t="s">
        <v>707</v>
      </c>
      <c r="B216" s="25" t="s">
        <v>708</v>
      </c>
      <c r="C216" s="26"/>
      <c r="D216" s="27"/>
      <c r="E216" s="28" t="s">
        <v>371</v>
      </c>
      <c r="F216" s="20" t="n">
        <f>121</f>
        <v>121.0</v>
      </c>
      <c r="G216" s="21" t="str">
        <f>"－"</f>
        <v>－</v>
      </c>
      <c r="H216" s="21"/>
      <c r="I216" s="21" t="str">
        <f>"－"</f>
        <v>－</v>
      </c>
      <c r="J216" s="21" t="str">
        <f>"－"</f>
        <v>－</v>
      </c>
      <c r="K216" s="21" t="str">
        <f>"－"</f>
        <v>－</v>
      </c>
      <c r="L216" s="4" t="s">
        <v>279</v>
      </c>
      <c r="M216" s="22" t="str">
        <f>"－"</f>
        <v>－</v>
      </c>
      <c r="N216" s="5" t="s">
        <v>279</v>
      </c>
      <c r="O216" s="23" t="str">
        <f>"－"</f>
        <v>－</v>
      </c>
      <c r="P216" s="3" t="s">
        <v>247</v>
      </c>
      <c r="Q216" s="21"/>
      <c r="R216" s="3" t="s">
        <v>247</v>
      </c>
      <c r="S216" s="21" t="str">
        <f>"－"</f>
        <v>－</v>
      </c>
      <c r="T216" s="21" t="str">
        <f>"－"</f>
        <v>－</v>
      </c>
      <c r="U216" s="5" t="s">
        <v>279</v>
      </c>
      <c r="V216" s="23" t="str">
        <f>"－"</f>
        <v>－</v>
      </c>
      <c r="W216" s="5" t="s">
        <v>279</v>
      </c>
      <c r="X216" s="23" t="str">
        <f>"－"</f>
        <v>－</v>
      </c>
      <c r="Y216" s="23"/>
      <c r="Z216" s="21" t="str">
        <f>"－"</f>
        <v>－</v>
      </c>
      <c r="AA216" s="21" t="str">
        <f>"－"</f>
        <v>－</v>
      </c>
      <c r="AB216" s="4" t="s">
        <v>279</v>
      </c>
      <c r="AC216" s="22" t="str">
        <f>"－"</f>
        <v>－</v>
      </c>
      <c r="AD216" s="5" t="s">
        <v>279</v>
      </c>
      <c r="AE216" s="23" t="str">
        <f>"－"</f>
        <v>－</v>
      </c>
    </row>
    <row r="217">
      <c r="A217" s="24" t="s">
        <v>707</v>
      </c>
      <c r="B217" s="25" t="s">
        <v>708</v>
      </c>
      <c r="C217" s="26"/>
      <c r="D217" s="27"/>
      <c r="E217" s="28" t="s">
        <v>375</v>
      </c>
      <c r="F217" s="20" t="n">
        <f>124</f>
        <v>124.0</v>
      </c>
      <c r="G217" s="21" t="str">
        <f>"－"</f>
        <v>－</v>
      </c>
      <c r="H217" s="21"/>
      <c r="I217" s="21" t="str">
        <f>"－"</f>
        <v>－</v>
      </c>
      <c r="J217" s="21" t="str">
        <f>"－"</f>
        <v>－</v>
      </c>
      <c r="K217" s="21" t="str">
        <f>"－"</f>
        <v>－</v>
      </c>
      <c r="L217" s="4" t="s">
        <v>335</v>
      </c>
      <c r="M217" s="22" t="str">
        <f>"－"</f>
        <v>－</v>
      </c>
      <c r="N217" s="5" t="s">
        <v>335</v>
      </c>
      <c r="O217" s="23" t="str">
        <f>"－"</f>
        <v>－</v>
      </c>
      <c r="P217" s="3" t="s">
        <v>247</v>
      </c>
      <c r="Q217" s="21"/>
      <c r="R217" s="3" t="s">
        <v>247</v>
      </c>
      <c r="S217" s="21" t="str">
        <f>"－"</f>
        <v>－</v>
      </c>
      <c r="T217" s="21" t="str">
        <f>"－"</f>
        <v>－</v>
      </c>
      <c r="U217" s="5" t="s">
        <v>335</v>
      </c>
      <c r="V217" s="23" t="str">
        <f>"－"</f>
        <v>－</v>
      </c>
      <c r="W217" s="5" t="s">
        <v>335</v>
      </c>
      <c r="X217" s="23" t="str">
        <f>"－"</f>
        <v>－</v>
      </c>
      <c r="Y217" s="23"/>
      <c r="Z217" s="21" t="str">
        <f>"－"</f>
        <v>－</v>
      </c>
      <c r="AA217" s="21" t="str">
        <f>"－"</f>
        <v>－</v>
      </c>
      <c r="AB217" s="4" t="s">
        <v>335</v>
      </c>
      <c r="AC217" s="22" t="str">
        <f>"－"</f>
        <v>－</v>
      </c>
      <c r="AD217" s="5" t="s">
        <v>335</v>
      </c>
      <c r="AE217" s="23" t="str">
        <f>"－"</f>
        <v>－</v>
      </c>
    </row>
    <row r="218">
      <c r="A218" s="24" t="s">
        <v>707</v>
      </c>
      <c r="B218" s="25" t="s">
        <v>708</v>
      </c>
      <c r="C218" s="26"/>
      <c r="D218" s="27"/>
      <c r="E218" s="28" t="s">
        <v>378</v>
      </c>
      <c r="F218" s="20" t="n">
        <f>122</f>
        <v>122.0</v>
      </c>
      <c r="G218" s="21" t="str">
        <f>"－"</f>
        <v>－</v>
      </c>
      <c r="H218" s="21"/>
      <c r="I218" s="21" t="str">
        <f>"－"</f>
        <v>－</v>
      </c>
      <c r="J218" s="21" t="str">
        <f>"－"</f>
        <v>－</v>
      </c>
      <c r="K218" s="21" t="str">
        <f>"－"</f>
        <v>－</v>
      </c>
      <c r="L218" s="4" t="s">
        <v>82</v>
      </c>
      <c r="M218" s="22" t="str">
        <f>"－"</f>
        <v>－</v>
      </c>
      <c r="N218" s="5" t="s">
        <v>82</v>
      </c>
      <c r="O218" s="23" t="str">
        <f>"－"</f>
        <v>－</v>
      </c>
      <c r="P218" s="3" t="s">
        <v>247</v>
      </c>
      <c r="Q218" s="21"/>
      <c r="R218" s="3" t="s">
        <v>247</v>
      </c>
      <c r="S218" s="21" t="str">
        <f>"－"</f>
        <v>－</v>
      </c>
      <c r="T218" s="21" t="str">
        <f>"－"</f>
        <v>－</v>
      </c>
      <c r="U218" s="5" t="s">
        <v>82</v>
      </c>
      <c r="V218" s="23" t="str">
        <f>"－"</f>
        <v>－</v>
      </c>
      <c r="W218" s="5" t="s">
        <v>82</v>
      </c>
      <c r="X218" s="23" t="str">
        <f>"－"</f>
        <v>－</v>
      </c>
      <c r="Y218" s="23"/>
      <c r="Z218" s="21" t="str">
        <f>"－"</f>
        <v>－</v>
      </c>
      <c r="AA218" s="21" t="str">
        <f>"－"</f>
        <v>－</v>
      </c>
      <c r="AB218" s="4" t="s">
        <v>82</v>
      </c>
      <c r="AC218" s="22" t="str">
        <f>"－"</f>
        <v>－</v>
      </c>
      <c r="AD218" s="5" t="s">
        <v>82</v>
      </c>
      <c r="AE218" s="23" t="str">
        <f>"－"</f>
        <v>－</v>
      </c>
    </row>
    <row r="219">
      <c r="A219" s="24" t="s">
        <v>707</v>
      </c>
      <c r="B219" s="25" t="s">
        <v>708</v>
      </c>
      <c r="C219" s="26"/>
      <c r="D219" s="27"/>
      <c r="E219" s="28" t="s">
        <v>383</v>
      </c>
      <c r="F219" s="20" t="n">
        <f>125</f>
        <v>125.0</v>
      </c>
      <c r="G219" s="21" t="str">
        <f>"－"</f>
        <v>－</v>
      </c>
      <c r="H219" s="21"/>
      <c r="I219" s="21" t="str">
        <f>"－"</f>
        <v>－</v>
      </c>
      <c r="J219" s="21" t="str">
        <f>"－"</f>
        <v>－</v>
      </c>
      <c r="K219" s="21" t="str">
        <f>"－"</f>
        <v>－</v>
      </c>
      <c r="L219" s="4" t="s">
        <v>666</v>
      </c>
      <c r="M219" s="22" t="str">
        <f>"－"</f>
        <v>－</v>
      </c>
      <c r="N219" s="5" t="s">
        <v>666</v>
      </c>
      <c r="O219" s="23" t="str">
        <f>"－"</f>
        <v>－</v>
      </c>
      <c r="P219" s="3" t="s">
        <v>247</v>
      </c>
      <c r="Q219" s="21"/>
      <c r="R219" s="3" t="s">
        <v>247</v>
      </c>
      <c r="S219" s="21" t="str">
        <f>"－"</f>
        <v>－</v>
      </c>
      <c r="T219" s="21" t="str">
        <f>"－"</f>
        <v>－</v>
      </c>
      <c r="U219" s="5" t="s">
        <v>666</v>
      </c>
      <c r="V219" s="23" t="str">
        <f>"－"</f>
        <v>－</v>
      </c>
      <c r="W219" s="5" t="s">
        <v>666</v>
      </c>
      <c r="X219" s="23" t="str">
        <f>"－"</f>
        <v>－</v>
      </c>
      <c r="Y219" s="23"/>
      <c r="Z219" s="21" t="str">
        <f>"－"</f>
        <v>－</v>
      </c>
      <c r="AA219" s="21" t="str">
        <f>"－"</f>
        <v>－</v>
      </c>
      <c r="AB219" s="4" t="s">
        <v>666</v>
      </c>
      <c r="AC219" s="22" t="str">
        <f>"－"</f>
        <v>－</v>
      </c>
      <c r="AD219" s="5" t="s">
        <v>666</v>
      </c>
      <c r="AE219" s="23" t="str">
        <f>"－"</f>
        <v>－</v>
      </c>
    </row>
    <row r="220">
      <c r="A220" s="24" t="s">
        <v>707</v>
      </c>
      <c r="B220" s="25" t="s">
        <v>708</v>
      </c>
      <c r="C220" s="26"/>
      <c r="D220" s="27"/>
      <c r="E220" s="28" t="s">
        <v>386</v>
      </c>
      <c r="F220" s="20" t="n">
        <f>121</f>
        <v>121.0</v>
      </c>
      <c r="G220" s="21" t="str">
        <f>"－"</f>
        <v>－</v>
      </c>
      <c r="H220" s="21"/>
      <c r="I220" s="21" t="str">
        <f>"－"</f>
        <v>－</v>
      </c>
      <c r="J220" s="21" t="str">
        <f>"－"</f>
        <v>－</v>
      </c>
      <c r="K220" s="21" t="str">
        <f>"－"</f>
        <v>－</v>
      </c>
      <c r="L220" s="4" t="s">
        <v>268</v>
      </c>
      <c r="M220" s="22" t="str">
        <f>"－"</f>
        <v>－</v>
      </c>
      <c r="N220" s="5" t="s">
        <v>268</v>
      </c>
      <c r="O220" s="23" t="str">
        <f>"－"</f>
        <v>－</v>
      </c>
      <c r="P220" s="3" t="s">
        <v>247</v>
      </c>
      <c r="Q220" s="21"/>
      <c r="R220" s="3" t="s">
        <v>247</v>
      </c>
      <c r="S220" s="21" t="str">
        <f>"－"</f>
        <v>－</v>
      </c>
      <c r="T220" s="21" t="str">
        <f>"－"</f>
        <v>－</v>
      </c>
      <c r="U220" s="5" t="s">
        <v>268</v>
      </c>
      <c r="V220" s="23" t="str">
        <f>"－"</f>
        <v>－</v>
      </c>
      <c r="W220" s="5" t="s">
        <v>268</v>
      </c>
      <c r="X220" s="23" t="str">
        <f>"－"</f>
        <v>－</v>
      </c>
      <c r="Y220" s="23"/>
      <c r="Z220" s="21" t="str">
        <f>"－"</f>
        <v>－</v>
      </c>
      <c r="AA220" s="21" t="str">
        <f>"－"</f>
        <v>－</v>
      </c>
      <c r="AB220" s="4" t="s">
        <v>268</v>
      </c>
      <c r="AC220" s="22" t="str">
        <f>"－"</f>
        <v>－</v>
      </c>
      <c r="AD220" s="5" t="s">
        <v>268</v>
      </c>
      <c r="AE220" s="23" t="str">
        <f>"－"</f>
        <v>－</v>
      </c>
    </row>
    <row r="221">
      <c r="A221" s="24" t="s">
        <v>707</v>
      </c>
      <c r="B221" s="25" t="s">
        <v>708</v>
      </c>
      <c r="C221" s="26"/>
      <c r="D221" s="27"/>
      <c r="E221" s="28" t="s">
        <v>389</v>
      </c>
      <c r="F221" s="20" t="n">
        <f>124</f>
        <v>124.0</v>
      </c>
      <c r="G221" s="21" t="str">
        <f>"－"</f>
        <v>－</v>
      </c>
      <c r="H221" s="21"/>
      <c r="I221" s="21" t="str">
        <f>"－"</f>
        <v>－</v>
      </c>
      <c r="J221" s="21" t="str">
        <f>"－"</f>
        <v>－</v>
      </c>
      <c r="K221" s="21" t="str">
        <f>"－"</f>
        <v>－</v>
      </c>
      <c r="L221" s="4" t="s">
        <v>263</v>
      </c>
      <c r="M221" s="22" t="str">
        <f>"－"</f>
        <v>－</v>
      </c>
      <c r="N221" s="5" t="s">
        <v>263</v>
      </c>
      <c r="O221" s="23" t="str">
        <f>"－"</f>
        <v>－</v>
      </c>
      <c r="P221" s="3" t="s">
        <v>247</v>
      </c>
      <c r="Q221" s="21"/>
      <c r="R221" s="3" t="s">
        <v>247</v>
      </c>
      <c r="S221" s="21" t="str">
        <f>"－"</f>
        <v>－</v>
      </c>
      <c r="T221" s="21" t="str">
        <f>"－"</f>
        <v>－</v>
      </c>
      <c r="U221" s="5" t="s">
        <v>263</v>
      </c>
      <c r="V221" s="23" t="str">
        <f>"－"</f>
        <v>－</v>
      </c>
      <c r="W221" s="5" t="s">
        <v>263</v>
      </c>
      <c r="X221" s="23" t="str">
        <f>"－"</f>
        <v>－</v>
      </c>
      <c r="Y221" s="23"/>
      <c r="Z221" s="21" t="str">
        <f>"－"</f>
        <v>－</v>
      </c>
      <c r="AA221" s="21" t="str">
        <f>"－"</f>
        <v>－</v>
      </c>
      <c r="AB221" s="4" t="s">
        <v>263</v>
      </c>
      <c r="AC221" s="22" t="str">
        <f>"－"</f>
        <v>－</v>
      </c>
      <c r="AD221" s="5" t="s">
        <v>263</v>
      </c>
      <c r="AE221" s="23" t="str">
        <f>"－"</f>
        <v>－</v>
      </c>
    </row>
    <row r="222">
      <c r="A222" s="24" t="s">
        <v>707</v>
      </c>
      <c r="B222" s="25" t="s">
        <v>708</v>
      </c>
      <c r="C222" s="26"/>
      <c r="D222" s="27"/>
      <c r="E222" s="28" t="s">
        <v>393</v>
      </c>
      <c r="F222" s="20" t="n">
        <f>121</f>
        <v>121.0</v>
      </c>
      <c r="G222" s="21" t="str">
        <f>"－"</f>
        <v>－</v>
      </c>
      <c r="H222" s="21"/>
      <c r="I222" s="21" t="str">
        <f>"－"</f>
        <v>－</v>
      </c>
      <c r="J222" s="21" t="str">
        <f>"－"</f>
        <v>－</v>
      </c>
      <c r="K222" s="21" t="str">
        <f>"－"</f>
        <v>－</v>
      </c>
      <c r="L222" s="4" t="s">
        <v>279</v>
      </c>
      <c r="M222" s="22" t="str">
        <f>"－"</f>
        <v>－</v>
      </c>
      <c r="N222" s="5" t="s">
        <v>279</v>
      </c>
      <c r="O222" s="23" t="str">
        <f>"－"</f>
        <v>－</v>
      </c>
      <c r="P222" s="3" t="s">
        <v>247</v>
      </c>
      <c r="Q222" s="21"/>
      <c r="R222" s="3" t="s">
        <v>247</v>
      </c>
      <c r="S222" s="21" t="str">
        <f>"－"</f>
        <v>－</v>
      </c>
      <c r="T222" s="21" t="str">
        <f>"－"</f>
        <v>－</v>
      </c>
      <c r="U222" s="5" t="s">
        <v>279</v>
      </c>
      <c r="V222" s="23" t="str">
        <f>"－"</f>
        <v>－</v>
      </c>
      <c r="W222" s="5" t="s">
        <v>279</v>
      </c>
      <c r="X222" s="23" t="str">
        <f>"－"</f>
        <v>－</v>
      </c>
      <c r="Y222" s="23"/>
      <c r="Z222" s="21" t="str">
        <f>"－"</f>
        <v>－</v>
      </c>
      <c r="AA222" s="21" t="str">
        <f>"－"</f>
        <v>－</v>
      </c>
      <c r="AB222" s="4" t="s">
        <v>279</v>
      </c>
      <c r="AC222" s="22" t="str">
        <f>"－"</f>
        <v>－</v>
      </c>
      <c r="AD222" s="5" t="s">
        <v>279</v>
      </c>
      <c r="AE222" s="23" t="str">
        <f>"－"</f>
        <v>－</v>
      </c>
    </row>
    <row r="223">
      <c r="A223" s="24" t="s">
        <v>707</v>
      </c>
      <c r="B223" s="25" t="s">
        <v>708</v>
      </c>
      <c r="C223" s="26"/>
      <c r="D223" s="27"/>
      <c r="E223" s="28" t="s">
        <v>397</v>
      </c>
      <c r="F223" s="20" t="n">
        <f>125</f>
        <v>125.0</v>
      </c>
      <c r="G223" s="21" t="n">
        <f>1218</f>
        <v>1218.0</v>
      </c>
      <c r="H223" s="21"/>
      <c r="I223" s="21" t="n">
        <f>1218</f>
        <v>1218.0</v>
      </c>
      <c r="J223" s="21" t="n">
        <f>10</f>
        <v>10.0</v>
      </c>
      <c r="K223" s="21" t="n">
        <f>10</f>
        <v>10.0</v>
      </c>
      <c r="L223" s="4" t="s">
        <v>166</v>
      </c>
      <c r="M223" s="22" t="n">
        <f>609</f>
        <v>609.0</v>
      </c>
      <c r="N223" s="5" t="s">
        <v>335</v>
      </c>
      <c r="O223" s="23" t="str">
        <f>"－"</f>
        <v>－</v>
      </c>
      <c r="P223" s="3" t="s">
        <v>733</v>
      </c>
      <c r="Q223" s="21"/>
      <c r="R223" s="3" t="s">
        <v>733</v>
      </c>
      <c r="S223" s="21" t="n">
        <f>21552720</f>
        <v>2.155272E7</v>
      </c>
      <c r="T223" s="21" t="n">
        <f>21552720</f>
        <v>2.155272E7</v>
      </c>
      <c r="U223" s="5" t="s">
        <v>166</v>
      </c>
      <c r="V223" s="23" t="n">
        <f>1385520000</f>
        <v>1.38552E9</v>
      </c>
      <c r="W223" s="5" t="s">
        <v>335</v>
      </c>
      <c r="X223" s="23" t="str">
        <f>"－"</f>
        <v>－</v>
      </c>
      <c r="Y223" s="23"/>
      <c r="Z223" s="21" t="str">
        <f>"－"</f>
        <v>－</v>
      </c>
      <c r="AA223" s="21" t="str">
        <f>"－"</f>
        <v>－</v>
      </c>
      <c r="AB223" s="4" t="s">
        <v>335</v>
      </c>
      <c r="AC223" s="22" t="str">
        <f>"－"</f>
        <v>－</v>
      </c>
      <c r="AD223" s="5" t="s">
        <v>335</v>
      </c>
      <c r="AE223" s="23" t="str">
        <f>"－"</f>
        <v>－</v>
      </c>
    </row>
    <row r="224">
      <c r="A224" s="24" t="s">
        <v>707</v>
      </c>
      <c r="B224" s="25" t="s">
        <v>708</v>
      </c>
      <c r="C224" s="26"/>
      <c r="D224" s="27"/>
      <c r="E224" s="28" t="s">
        <v>401</v>
      </c>
      <c r="F224" s="20" t="n">
        <f>120</f>
        <v>120.0</v>
      </c>
      <c r="G224" s="21" t="str">
        <f>"－"</f>
        <v>－</v>
      </c>
      <c r="H224" s="21"/>
      <c r="I224" s="21" t="str">
        <f>"－"</f>
        <v>－</v>
      </c>
      <c r="J224" s="21" t="str">
        <f>"－"</f>
        <v>－</v>
      </c>
      <c r="K224" s="21" t="str">
        <f>"－"</f>
        <v>－</v>
      </c>
      <c r="L224" s="4" t="s">
        <v>279</v>
      </c>
      <c r="M224" s="22" t="str">
        <f>"－"</f>
        <v>－</v>
      </c>
      <c r="N224" s="5" t="s">
        <v>279</v>
      </c>
      <c r="O224" s="23" t="str">
        <f>"－"</f>
        <v>－</v>
      </c>
      <c r="P224" s="3" t="s">
        <v>247</v>
      </c>
      <c r="Q224" s="21"/>
      <c r="R224" s="3" t="s">
        <v>247</v>
      </c>
      <c r="S224" s="21" t="str">
        <f>"－"</f>
        <v>－</v>
      </c>
      <c r="T224" s="21" t="str">
        <f>"－"</f>
        <v>－</v>
      </c>
      <c r="U224" s="5" t="s">
        <v>279</v>
      </c>
      <c r="V224" s="23" t="str">
        <f>"－"</f>
        <v>－</v>
      </c>
      <c r="W224" s="5" t="s">
        <v>279</v>
      </c>
      <c r="X224" s="23" t="str">
        <f>"－"</f>
        <v>－</v>
      </c>
      <c r="Y224" s="23"/>
      <c r="Z224" s="21" t="str">
        <f>"－"</f>
        <v>－</v>
      </c>
      <c r="AA224" s="21" t="str">
        <f>"－"</f>
        <v>－</v>
      </c>
      <c r="AB224" s="4" t="s">
        <v>279</v>
      </c>
      <c r="AC224" s="22" t="str">
        <f>"－"</f>
        <v>－</v>
      </c>
      <c r="AD224" s="5" t="s">
        <v>279</v>
      </c>
      <c r="AE224" s="23" t="str">
        <f>"－"</f>
        <v>－</v>
      </c>
    </row>
    <row r="225">
      <c r="A225" s="24" t="s">
        <v>707</v>
      </c>
      <c r="B225" s="25" t="s">
        <v>708</v>
      </c>
      <c r="C225" s="26"/>
      <c r="D225" s="27"/>
      <c r="E225" s="28" t="s">
        <v>405</v>
      </c>
      <c r="F225" s="20" t="n">
        <f>123</f>
        <v>123.0</v>
      </c>
      <c r="G225" s="21" t="str">
        <f>"－"</f>
        <v>－</v>
      </c>
      <c r="H225" s="21"/>
      <c r="I225" s="21" t="str">
        <f>"－"</f>
        <v>－</v>
      </c>
      <c r="J225" s="21" t="str">
        <f>"－"</f>
        <v>－</v>
      </c>
      <c r="K225" s="21" t="str">
        <f>"－"</f>
        <v>－</v>
      </c>
      <c r="L225" s="4" t="s">
        <v>335</v>
      </c>
      <c r="M225" s="22" t="str">
        <f>"－"</f>
        <v>－</v>
      </c>
      <c r="N225" s="5" t="s">
        <v>335</v>
      </c>
      <c r="O225" s="23" t="str">
        <f>"－"</f>
        <v>－</v>
      </c>
      <c r="P225" s="3" t="s">
        <v>247</v>
      </c>
      <c r="Q225" s="21"/>
      <c r="R225" s="3" t="s">
        <v>247</v>
      </c>
      <c r="S225" s="21" t="str">
        <f>"－"</f>
        <v>－</v>
      </c>
      <c r="T225" s="21" t="str">
        <f>"－"</f>
        <v>－</v>
      </c>
      <c r="U225" s="5" t="s">
        <v>335</v>
      </c>
      <c r="V225" s="23" t="str">
        <f>"－"</f>
        <v>－</v>
      </c>
      <c r="W225" s="5" t="s">
        <v>335</v>
      </c>
      <c r="X225" s="23" t="str">
        <f>"－"</f>
        <v>－</v>
      </c>
      <c r="Y225" s="23"/>
      <c r="Z225" s="21" t="str">
        <f>"－"</f>
        <v>－</v>
      </c>
      <c r="AA225" s="21" t="str">
        <f>"－"</f>
        <v>－</v>
      </c>
      <c r="AB225" s="4" t="s">
        <v>335</v>
      </c>
      <c r="AC225" s="22" t="str">
        <f>"－"</f>
        <v>－</v>
      </c>
      <c r="AD225" s="5" t="s">
        <v>335</v>
      </c>
      <c r="AE225" s="23" t="str">
        <f>"－"</f>
        <v>－</v>
      </c>
    </row>
    <row r="226">
      <c r="A226" s="24" t="s">
        <v>707</v>
      </c>
      <c r="B226" s="25" t="s">
        <v>708</v>
      </c>
      <c r="C226" s="26"/>
      <c r="D226" s="27"/>
      <c r="E226" s="28" t="s">
        <v>409</v>
      </c>
      <c r="F226" s="20" t="n">
        <f>121</f>
        <v>121.0</v>
      </c>
      <c r="G226" s="21" t="n">
        <f>2904</f>
        <v>2904.0</v>
      </c>
      <c r="H226" s="21"/>
      <c r="I226" s="21" t="n">
        <f>2904</f>
        <v>2904.0</v>
      </c>
      <c r="J226" s="21" t="n">
        <f>24</f>
        <v>24.0</v>
      </c>
      <c r="K226" s="21" t="n">
        <f>24</f>
        <v>24.0</v>
      </c>
      <c r="L226" s="4" t="s">
        <v>511</v>
      </c>
      <c r="M226" s="22" t="n">
        <f>2904</f>
        <v>2904.0</v>
      </c>
      <c r="N226" s="5" t="s">
        <v>279</v>
      </c>
      <c r="O226" s="23" t="str">
        <f>"－"</f>
        <v>－</v>
      </c>
      <c r="P226" s="3" t="s">
        <v>734</v>
      </c>
      <c r="Q226" s="21"/>
      <c r="R226" s="3" t="s">
        <v>734</v>
      </c>
      <c r="S226" s="21" t="n">
        <f>33463198</f>
        <v>3.3463198E7</v>
      </c>
      <c r="T226" s="21" t="n">
        <f>33463198</f>
        <v>3.3463198E7</v>
      </c>
      <c r="U226" s="5" t="s">
        <v>511</v>
      </c>
      <c r="V226" s="23" t="n">
        <f>4049047000</f>
        <v>4.049047E9</v>
      </c>
      <c r="W226" s="5" t="s">
        <v>279</v>
      </c>
      <c r="X226" s="23" t="str">
        <f>"－"</f>
        <v>－</v>
      </c>
      <c r="Y226" s="23"/>
      <c r="Z226" s="21" t="n">
        <f>2904</f>
        <v>2904.0</v>
      </c>
      <c r="AA226" s="21" t="n">
        <f>2904</f>
        <v>2904.0</v>
      </c>
      <c r="AB226" s="4" t="s">
        <v>511</v>
      </c>
      <c r="AC226" s="22" t="n">
        <f>2904</f>
        <v>2904.0</v>
      </c>
      <c r="AD226" s="5" t="s">
        <v>279</v>
      </c>
      <c r="AE226" s="23" t="str">
        <f>"－"</f>
        <v>－</v>
      </c>
    </row>
    <row r="227">
      <c r="A227" s="24" t="s">
        <v>707</v>
      </c>
      <c r="B227" s="25" t="s">
        <v>708</v>
      </c>
      <c r="C227" s="26"/>
      <c r="D227" s="27"/>
      <c r="E227" s="28" t="s">
        <v>412</v>
      </c>
      <c r="F227" s="20" t="n">
        <f>124</f>
        <v>124.0</v>
      </c>
      <c r="G227" s="21" t="n">
        <f>2904</f>
        <v>2904.0</v>
      </c>
      <c r="H227" s="21"/>
      <c r="I227" s="21" t="n">
        <f>2904</f>
        <v>2904.0</v>
      </c>
      <c r="J227" s="21" t="n">
        <f>23</f>
        <v>23.0</v>
      </c>
      <c r="K227" s="21" t="n">
        <f>23</f>
        <v>23.0</v>
      </c>
      <c r="L227" s="4" t="s">
        <v>735</v>
      </c>
      <c r="M227" s="22" t="n">
        <f>2904</f>
        <v>2904.0</v>
      </c>
      <c r="N227" s="5" t="s">
        <v>335</v>
      </c>
      <c r="O227" s="23" t="str">
        <f>"－"</f>
        <v>－</v>
      </c>
      <c r="P227" s="3" t="s">
        <v>736</v>
      </c>
      <c r="Q227" s="21"/>
      <c r="R227" s="3" t="s">
        <v>736</v>
      </c>
      <c r="S227" s="21" t="n">
        <f>34592734</f>
        <v>3.4592734E7</v>
      </c>
      <c r="T227" s="21" t="n">
        <f>34592734</f>
        <v>3.4592734E7</v>
      </c>
      <c r="U227" s="5" t="s">
        <v>735</v>
      </c>
      <c r="V227" s="23" t="n">
        <f>4289499000</f>
        <v>4.289499E9</v>
      </c>
      <c r="W227" s="5" t="s">
        <v>335</v>
      </c>
      <c r="X227" s="23" t="str">
        <f>"－"</f>
        <v>－</v>
      </c>
      <c r="Y227" s="23"/>
      <c r="Z227" s="21" t="n">
        <f>2904</f>
        <v>2904.0</v>
      </c>
      <c r="AA227" s="21" t="str">
        <f>"－"</f>
        <v>－</v>
      </c>
      <c r="AB227" s="4" t="s">
        <v>335</v>
      </c>
      <c r="AC227" s="22" t="n">
        <f>2904</f>
        <v>2904.0</v>
      </c>
      <c r="AD227" s="5" t="s">
        <v>735</v>
      </c>
      <c r="AE227" s="23" t="str">
        <f>"－"</f>
        <v>－</v>
      </c>
    </row>
    <row r="228">
      <c r="A228" s="24" t="s">
        <v>707</v>
      </c>
      <c r="B228" s="25" t="s">
        <v>708</v>
      </c>
      <c r="C228" s="26"/>
      <c r="D228" s="27"/>
      <c r="E228" s="28" t="s">
        <v>415</v>
      </c>
      <c r="F228" s="20" t="n">
        <f>121</f>
        <v>121.0</v>
      </c>
      <c r="G228" s="21" t="str">
        <f>"－"</f>
        <v>－</v>
      </c>
      <c r="H228" s="21"/>
      <c r="I228" s="21" t="str">
        <f>"－"</f>
        <v>－</v>
      </c>
      <c r="J228" s="21" t="str">
        <f>"－"</f>
        <v>－</v>
      </c>
      <c r="K228" s="21" t="str">
        <f>"－"</f>
        <v>－</v>
      </c>
      <c r="L228" s="4" t="s">
        <v>279</v>
      </c>
      <c r="M228" s="22" t="str">
        <f>"－"</f>
        <v>－</v>
      </c>
      <c r="N228" s="5" t="s">
        <v>279</v>
      </c>
      <c r="O228" s="23" t="str">
        <f>"－"</f>
        <v>－</v>
      </c>
      <c r="P228" s="3" t="s">
        <v>247</v>
      </c>
      <c r="Q228" s="21"/>
      <c r="R228" s="3" t="s">
        <v>247</v>
      </c>
      <c r="S228" s="21" t="str">
        <f>"－"</f>
        <v>－</v>
      </c>
      <c r="T228" s="21" t="str">
        <f>"－"</f>
        <v>－</v>
      </c>
      <c r="U228" s="5" t="s">
        <v>279</v>
      </c>
      <c r="V228" s="23" t="str">
        <f>"－"</f>
        <v>－</v>
      </c>
      <c r="W228" s="5" t="s">
        <v>279</v>
      </c>
      <c r="X228" s="23" t="str">
        <f>"－"</f>
        <v>－</v>
      </c>
      <c r="Y228" s="23"/>
      <c r="Z228" s="21" t="str">
        <f>"－"</f>
        <v>－</v>
      </c>
      <c r="AA228" s="21" t="str">
        <f>"－"</f>
        <v>－</v>
      </c>
      <c r="AB228" s="4" t="s">
        <v>279</v>
      </c>
      <c r="AC228" s="22" t="str">
        <f>"－"</f>
        <v>－</v>
      </c>
      <c r="AD228" s="5" t="s">
        <v>279</v>
      </c>
      <c r="AE228" s="23" t="str">
        <f>"－"</f>
        <v>－</v>
      </c>
    </row>
    <row r="229">
      <c r="A229" s="24" t="s">
        <v>707</v>
      </c>
      <c r="B229" s="25" t="s">
        <v>708</v>
      </c>
      <c r="C229" s="26"/>
      <c r="D229" s="27"/>
      <c r="E229" s="28" t="s">
        <v>418</v>
      </c>
      <c r="F229" s="20" t="n">
        <f>124</f>
        <v>124.0</v>
      </c>
      <c r="G229" s="21" t="str">
        <f>"－"</f>
        <v>－</v>
      </c>
      <c r="H229" s="21"/>
      <c r="I229" s="21" t="str">
        <f>"－"</f>
        <v>－</v>
      </c>
      <c r="J229" s="21" t="str">
        <f>"－"</f>
        <v>－</v>
      </c>
      <c r="K229" s="21" t="str">
        <f>"－"</f>
        <v>－</v>
      </c>
      <c r="L229" s="4" t="s">
        <v>335</v>
      </c>
      <c r="M229" s="22" t="str">
        <f>"－"</f>
        <v>－</v>
      </c>
      <c r="N229" s="5" t="s">
        <v>335</v>
      </c>
      <c r="O229" s="23" t="str">
        <f>"－"</f>
        <v>－</v>
      </c>
      <c r="P229" s="3" t="s">
        <v>247</v>
      </c>
      <c r="Q229" s="21"/>
      <c r="R229" s="3" t="s">
        <v>247</v>
      </c>
      <c r="S229" s="21" t="str">
        <f>"－"</f>
        <v>－</v>
      </c>
      <c r="T229" s="21" t="str">
        <f>"－"</f>
        <v>－</v>
      </c>
      <c r="U229" s="5" t="s">
        <v>335</v>
      </c>
      <c r="V229" s="23" t="str">
        <f>"－"</f>
        <v>－</v>
      </c>
      <c r="W229" s="5" t="s">
        <v>335</v>
      </c>
      <c r="X229" s="23" t="str">
        <f>"－"</f>
        <v>－</v>
      </c>
      <c r="Y229" s="23"/>
      <c r="Z229" s="21" t="str">
        <f>"－"</f>
        <v>－</v>
      </c>
      <c r="AA229" s="21" t="str">
        <f>"－"</f>
        <v>－</v>
      </c>
      <c r="AB229" s="4" t="s">
        <v>335</v>
      </c>
      <c r="AC229" s="22" t="str">
        <f>"－"</f>
        <v>－</v>
      </c>
      <c r="AD229" s="5" t="s">
        <v>335</v>
      </c>
      <c r="AE229" s="23" t="str">
        <f>"－"</f>
        <v>－</v>
      </c>
    </row>
    <row r="230">
      <c r="A230" s="24" t="s">
        <v>707</v>
      </c>
      <c r="B230" s="25" t="s">
        <v>708</v>
      </c>
      <c r="C230" s="26"/>
      <c r="D230" s="27"/>
      <c r="E230" s="28" t="s">
        <v>422</v>
      </c>
      <c r="F230" s="20" t="n">
        <f>122</f>
        <v>122.0</v>
      </c>
      <c r="G230" s="21" t="str">
        <f>"－"</f>
        <v>－</v>
      </c>
      <c r="H230" s="21"/>
      <c r="I230" s="21" t="str">
        <f>"－"</f>
        <v>－</v>
      </c>
      <c r="J230" s="21" t="str">
        <f>"－"</f>
        <v>－</v>
      </c>
      <c r="K230" s="21" t="str">
        <f>"－"</f>
        <v>－</v>
      </c>
      <c r="L230" s="4" t="s">
        <v>82</v>
      </c>
      <c r="M230" s="22" t="str">
        <f>"－"</f>
        <v>－</v>
      </c>
      <c r="N230" s="5" t="s">
        <v>82</v>
      </c>
      <c r="O230" s="23" t="str">
        <f>"－"</f>
        <v>－</v>
      </c>
      <c r="P230" s="3" t="s">
        <v>247</v>
      </c>
      <c r="Q230" s="21"/>
      <c r="R230" s="3" t="s">
        <v>247</v>
      </c>
      <c r="S230" s="21" t="str">
        <f>"－"</f>
        <v>－</v>
      </c>
      <c r="T230" s="21" t="str">
        <f>"－"</f>
        <v>－</v>
      </c>
      <c r="U230" s="5" t="s">
        <v>82</v>
      </c>
      <c r="V230" s="23" t="str">
        <f>"－"</f>
        <v>－</v>
      </c>
      <c r="W230" s="5" t="s">
        <v>82</v>
      </c>
      <c r="X230" s="23" t="str">
        <f>"－"</f>
        <v>－</v>
      </c>
      <c r="Y230" s="23"/>
      <c r="Z230" s="21" t="str">
        <f>"－"</f>
        <v>－</v>
      </c>
      <c r="AA230" s="21" t="str">
        <f>"－"</f>
        <v>－</v>
      </c>
      <c r="AB230" s="4" t="s">
        <v>82</v>
      </c>
      <c r="AC230" s="22" t="str">
        <f>"－"</f>
        <v>－</v>
      </c>
      <c r="AD230" s="5" t="s">
        <v>82</v>
      </c>
      <c r="AE230" s="23" t="str">
        <f>"－"</f>
        <v>－</v>
      </c>
    </row>
    <row r="231">
      <c r="A231" s="24" t="s">
        <v>707</v>
      </c>
      <c r="B231" s="25" t="s">
        <v>708</v>
      </c>
      <c r="C231" s="26"/>
      <c r="D231" s="27"/>
      <c r="E231" s="28" t="s">
        <v>425</v>
      </c>
      <c r="F231" s="20" t="n">
        <f>125</f>
        <v>125.0</v>
      </c>
      <c r="G231" s="21" t="n">
        <f>3500</f>
        <v>3500.0</v>
      </c>
      <c r="H231" s="21"/>
      <c r="I231" s="21" t="n">
        <f>3500</f>
        <v>3500.0</v>
      </c>
      <c r="J231" s="21" t="n">
        <f>28</f>
        <v>28.0</v>
      </c>
      <c r="K231" s="21" t="n">
        <f>28</f>
        <v>28.0</v>
      </c>
      <c r="L231" s="4" t="s">
        <v>737</v>
      </c>
      <c r="M231" s="22" t="n">
        <f>1750</f>
        <v>1750.0</v>
      </c>
      <c r="N231" s="5" t="s">
        <v>263</v>
      </c>
      <c r="O231" s="23" t="str">
        <f>"－"</f>
        <v>－</v>
      </c>
      <c r="P231" s="3" t="s">
        <v>738</v>
      </c>
      <c r="Q231" s="21"/>
      <c r="R231" s="3" t="s">
        <v>738</v>
      </c>
      <c r="S231" s="21" t="n">
        <f>31901800</f>
        <v>3.19018E7</v>
      </c>
      <c r="T231" s="21" t="n">
        <f>31901800</f>
        <v>3.19018E7</v>
      </c>
      <c r="U231" s="5" t="s">
        <v>737</v>
      </c>
      <c r="V231" s="23" t="n">
        <f>2026500000</f>
        <v>2.0265E9</v>
      </c>
      <c r="W231" s="5" t="s">
        <v>263</v>
      </c>
      <c r="X231" s="23" t="str">
        <f>"－"</f>
        <v>－</v>
      </c>
      <c r="Y231" s="23"/>
      <c r="Z231" s="21" t="n">
        <f>3500</f>
        <v>3500.0</v>
      </c>
      <c r="AA231" s="21" t="str">
        <f>"－"</f>
        <v>－</v>
      </c>
      <c r="AB231" s="4" t="s">
        <v>737</v>
      </c>
      <c r="AC231" s="22" t="n">
        <f>1750</f>
        <v>1750.0</v>
      </c>
      <c r="AD231" s="5" t="s">
        <v>263</v>
      </c>
      <c r="AE231" s="23" t="str">
        <f>"－"</f>
        <v>－</v>
      </c>
    </row>
    <row r="232">
      <c r="A232" s="24" t="s">
        <v>707</v>
      </c>
      <c r="B232" s="25" t="s">
        <v>708</v>
      </c>
      <c r="C232" s="26"/>
      <c r="D232" s="27"/>
      <c r="E232" s="28" t="s">
        <v>428</v>
      </c>
      <c r="F232" s="20" t="n">
        <f>120</f>
        <v>120.0</v>
      </c>
      <c r="G232" s="21" t="n">
        <f>590</f>
        <v>590.0</v>
      </c>
      <c r="H232" s="21"/>
      <c r="I232" s="21" t="n">
        <f>590</f>
        <v>590.0</v>
      </c>
      <c r="J232" s="21" t="n">
        <f>5</f>
        <v>5.0</v>
      </c>
      <c r="K232" s="21" t="n">
        <f>5</f>
        <v>5.0</v>
      </c>
      <c r="L232" s="4" t="s">
        <v>146</v>
      </c>
      <c r="M232" s="22" t="n">
        <f>300</f>
        <v>300.0</v>
      </c>
      <c r="N232" s="5" t="s">
        <v>279</v>
      </c>
      <c r="O232" s="23" t="str">
        <f>"－"</f>
        <v>－</v>
      </c>
      <c r="P232" s="3" t="s">
        <v>739</v>
      </c>
      <c r="Q232" s="21"/>
      <c r="R232" s="3" t="s">
        <v>739</v>
      </c>
      <c r="S232" s="21" t="n">
        <f>7431358</f>
        <v>7431358.0</v>
      </c>
      <c r="T232" s="21" t="n">
        <f>7431358</f>
        <v>7431358.0</v>
      </c>
      <c r="U232" s="5" t="s">
        <v>146</v>
      </c>
      <c r="V232" s="23" t="n">
        <f>477225000</f>
        <v>4.77225E8</v>
      </c>
      <c r="W232" s="5" t="s">
        <v>279</v>
      </c>
      <c r="X232" s="23" t="str">
        <f>"－"</f>
        <v>－</v>
      </c>
      <c r="Y232" s="23"/>
      <c r="Z232" s="21" t="n">
        <f>220</f>
        <v>220.0</v>
      </c>
      <c r="AA232" s="21" t="n">
        <f>150</f>
        <v>150.0</v>
      </c>
      <c r="AB232" s="4" t="s">
        <v>146</v>
      </c>
      <c r="AC232" s="22" t="n">
        <f>300</f>
        <v>300.0</v>
      </c>
      <c r="AD232" s="5" t="s">
        <v>279</v>
      </c>
      <c r="AE232" s="23" t="str">
        <f>"－"</f>
        <v>－</v>
      </c>
    </row>
    <row r="233">
      <c r="A233" s="24" t="s">
        <v>707</v>
      </c>
      <c r="B233" s="25" t="s">
        <v>708</v>
      </c>
      <c r="C233" s="26"/>
      <c r="D233" s="27"/>
      <c r="E233" s="28" t="s">
        <v>433</v>
      </c>
      <c r="F233" s="20" t="n">
        <f>125</f>
        <v>125.0</v>
      </c>
      <c r="G233" s="21" t="n">
        <f>10961</f>
        <v>10961.0</v>
      </c>
      <c r="H233" s="21"/>
      <c r="I233" s="21" t="n">
        <f>10961</f>
        <v>10961.0</v>
      </c>
      <c r="J233" s="21" t="n">
        <f>88</f>
        <v>88.0</v>
      </c>
      <c r="K233" s="21" t="n">
        <f>88</f>
        <v>88.0</v>
      </c>
      <c r="L233" s="4" t="s">
        <v>119</v>
      </c>
      <c r="M233" s="22" t="n">
        <f>4366</f>
        <v>4366.0</v>
      </c>
      <c r="N233" s="5" t="s">
        <v>335</v>
      </c>
      <c r="O233" s="23" t="str">
        <f>"－"</f>
        <v>－</v>
      </c>
      <c r="P233" s="3" t="s">
        <v>740</v>
      </c>
      <c r="Q233" s="21"/>
      <c r="R233" s="3" t="s">
        <v>740</v>
      </c>
      <c r="S233" s="21" t="n">
        <f>150639648</f>
        <v>1.50639648E8</v>
      </c>
      <c r="T233" s="21" t="n">
        <f>150639648</f>
        <v>1.50639648E8</v>
      </c>
      <c r="U233" s="5" t="s">
        <v>119</v>
      </c>
      <c r="V233" s="23" t="n">
        <f>7553180000</f>
        <v>7.55318E9</v>
      </c>
      <c r="W233" s="5" t="s">
        <v>335</v>
      </c>
      <c r="X233" s="23" t="str">
        <f>"－"</f>
        <v>－</v>
      </c>
      <c r="Y233" s="23"/>
      <c r="Z233" s="21" t="n">
        <f>4728</f>
        <v>4728.0</v>
      </c>
      <c r="AA233" s="21" t="n">
        <f>2203</f>
        <v>2203.0</v>
      </c>
      <c r="AB233" s="4" t="s">
        <v>144</v>
      </c>
      <c r="AC233" s="22" t="n">
        <f>4406</f>
        <v>4406.0</v>
      </c>
      <c r="AD233" s="5" t="s">
        <v>335</v>
      </c>
      <c r="AE233" s="23" t="n">
        <f>150</f>
        <v>150.0</v>
      </c>
    </row>
    <row r="234">
      <c r="A234" s="24" t="s">
        <v>707</v>
      </c>
      <c r="B234" s="25" t="s">
        <v>708</v>
      </c>
      <c r="C234" s="26"/>
      <c r="D234" s="27"/>
      <c r="E234" s="28" t="s">
        <v>437</v>
      </c>
      <c r="F234" s="20" t="n">
        <f>120</f>
        <v>120.0</v>
      </c>
      <c r="G234" s="21" t="n">
        <f>10127</f>
        <v>10127.0</v>
      </c>
      <c r="H234" s="21"/>
      <c r="I234" s="21" t="n">
        <f>10127</f>
        <v>10127.0</v>
      </c>
      <c r="J234" s="21" t="n">
        <f>84</f>
        <v>84.0</v>
      </c>
      <c r="K234" s="21" t="n">
        <f>84</f>
        <v>84.0</v>
      </c>
      <c r="L234" s="4" t="s">
        <v>116</v>
      </c>
      <c r="M234" s="22" t="n">
        <f>5248</f>
        <v>5248.0</v>
      </c>
      <c r="N234" s="5" t="s">
        <v>279</v>
      </c>
      <c r="O234" s="23" t="str">
        <f>"－"</f>
        <v>－</v>
      </c>
      <c r="P234" s="3" t="s">
        <v>741</v>
      </c>
      <c r="Q234" s="21"/>
      <c r="R234" s="3" t="s">
        <v>741</v>
      </c>
      <c r="S234" s="21" t="n">
        <f>149966867</f>
        <v>1.49966867E8</v>
      </c>
      <c r="T234" s="21" t="n">
        <f>149966867</f>
        <v>1.49966867E8</v>
      </c>
      <c r="U234" s="5" t="s">
        <v>116</v>
      </c>
      <c r="V234" s="23" t="n">
        <f>8965421000</f>
        <v>8.965421E9</v>
      </c>
      <c r="W234" s="5" t="s">
        <v>279</v>
      </c>
      <c r="X234" s="23" t="str">
        <f>"－"</f>
        <v>－</v>
      </c>
      <c r="Y234" s="23"/>
      <c r="Z234" s="21" t="n">
        <f>993</f>
        <v>993.0</v>
      </c>
      <c r="AA234" s="21" t="n">
        <f>2636</f>
        <v>2636.0</v>
      </c>
      <c r="AB234" s="4" t="s">
        <v>241</v>
      </c>
      <c r="AC234" s="22" t="n">
        <f>5003</f>
        <v>5003.0</v>
      </c>
      <c r="AD234" s="5" t="s">
        <v>279</v>
      </c>
      <c r="AE234" s="23" t="n">
        <f>2203</f>
        <v>2203.0</v>
      </c>
    </row>
    <row r="235">
      <c r="A235" s="24" t="s">
        <v>707</v>
      </c>
      <c r="B235" s="25" t="s">
        <v>708</v>
      </c>
      <c r="C235" s="26"/>
      <c r="D235" s="27"/>
      <c r="E235" s="28" t="s">
        <v>441</v>
      </c>
      <c r="F235" s="20" t="n">
        <f>125</f>
        <v>125.0</v>
      </c>
      <c r="G235" s="21" t="n">
        <f>13472</f>
        <v>13472.0</v>
      </c>
      <c r="H235" s="21"/>
      <c r="I235" s="21" t="n">
        <f>13157</f>
        <v>13157.0</v>
      </c>
      <c r="J235" s="21" t="n">
        <f>108</f>
        <v>108.0</v>
      </c>
      <c r="K235" s="21" t="n">
        <f>105</f>
        <v>105.0</v>
      </c>
      <c r="L235" s="4" t="s">
        <v>193</v>
      </c>
      <c r="M235" s="22" t="n">
        <f>5290</f>
        <v>5290.0</v>
      </c>
      <c r="N235" s="5" t="s">
        <v>335</v>
      </c>
      <c r="O235" s="23" t="str">
        <f>"－"</f>
        <v>－</v>
      </c>
      <c r="P235" s="3" t="s">
        <v>742</v>
      </c>
      <c r="Q235" s="21"/>
      <c r="R235" s="3" t="s">
        <v>743</v>
      </c>
      <c r="S235" s="21" t="n">
        <f>189414456</f>
        <v>1.89414456E8</v>
      </c>
      <c r="T235" s="21" t="n">
        <f>185041640</f>
        <v>1.8504164E8</v>
      </c>
      <c r="U235" s="5" t="s">
        <v>193</v>
      </c>
      <c r="V235" s="23" t="n">
        <f>9132127000</f>
        <v>9.132127E9</v>
      </c>
      <c r="W235" s="5" t="s">
        <v>335</v>
      </c>
      <c r="X235" s="23" t="str">
        <f>"－"</f>
        <v>－</v>
      </c>
      <c r="Y235" s="23"/>
      <c r="Z235" s="21" t="n">
        <f>3355</f>
        <v>3355.0</v>
      </c>
      <c r="AA235" s="21" t="n">
        <f>4958</f>
        <v>4958.0</v>
      </c>
      <c r="AB235" s="4" t="s">
        <v>458</v>
      </c>
      <c r="AC235" s="22" t="n">
        <f>5255</f>
        <v>5255.0</v>
      </c>
      <c r="AD235" s="5" t="s">
        <v>335</v>
      </c>
      <c r="AE235" s="23" t="n">
        <f>2636</f>
        <v>2636.0</v>
      </c>
    </row>
    <row r="236">
      <c r="A236" s="24" t="s">
        <v>707</v>
      </c>
      <c r="B236" s="25" t="s">
        <v>708</v>
      </c>
      <c r="C236" s="26"/>
      <c r="D236" s="27"/>
      <c r="E236" s="28" t="s">
        <v>48</v>
      </c>
      <c r="F236" s="20" t="n">
        <f>121</f>
        <v>121.0</v>
      </c>
      <c r="G236" s="21" t="n">
        <f>18768</f>
        <v>18768.0</v>
      </c>
      <c r="H236" s="21"/>
      <c r="I236" s="21" t="n">
        <f>18306</f>
        <v>18306.0</v>
      </c>
      <c r="J236" s="21" t="n">
        <f>155</f>
        <v>155.0</v>
      </c>
      <c r="K236" s="21" t="n">
        <f>151</f>
        <v>151.0</v>
      </c>
      <c r="L236" s="4" t="s">
        <v>81</v>
      </c>
      <c r="M236" s="22" t="n">
        <f>4978</f>
        <v>4978.0</v>
      </c>
      <c r="N236" s="5" t="s">
        <v>279</v>
      </c>
      <c r="O236" s="23" t="str">
        <f>"－"</f>
        <v>－</v>
      </c>
      <c r="P236" s="3" t="s">
        <v>744</v>
      </c>
      <c r="Q236" s="21"/>
      <c r="R236" s="3" t="s">
        <v>745</v>
      </c>
      <c r="S236" s="21" t="n">
        <f>306595620</f>
        <v>3.0659562E8</v>
      </c>
      <c r="T236" s="21" t="n">
        <f>298770942</f>
        <v>2.98770942E8</v>
      </c>
      <c r="U236" s="5" t="s">
        <v>90</v>
      </c>
      <c r="V236" s="23" t="n">
        <f>10047780000</f>
        <v>1.004778E10</v>
      </c>
      <c r="W236" s="5" t="s">
        <v>279</v>
      </c>
      <c r="X236" s="23" t="str">
        <f>"－"</f>
        <v>－</v>
      </c>
      <c r="Y236" s="23"/>
      <c r="Z236" s="21" t="n">
        <f>17478</f>
        <v>17478.0</v>
      </c>
      <c r="AA236" s="21" t="n">
        <f>2678</f>
        <v>2678.0</v>
      </c>
      <c r="AB236" s="4" t="s">
        <v>54</v>
      </c>
      <c r="AC236" s="22" t="n">
        <f>12411</f>
        <v>12411.0</v>
      </c>
      <c r="AD236" s="5" t="s">
        <v>55</v>
      </c>
      <c r="AE236" s="23" t="n">
        <f>2678</f>
        <v>2678.0</v>
      </c>
    </row>
    <row r="237">
      <c r="A237" s="24" t="s">
        <v>707</v>
      </c>
      <c r="B237" s="25" t="s">
        <v>708</v>
      </c>
      <c r="C237" s="26"/>
      <c r="D237" s="27"/>
      <c r="E237" s="28" t="s">
        <v>56</v>
      </c>
      <c r="F237" s="20" t="n">
        <f>123</f>
        <v>123.0</v>
      </c>
      <c r="G237" s="21" t="n">
        <f>13487</f>
        <v>13487.0</v>
      </c>
      <c r="H237" s="21"/>
      <c r="I237" s="21" t="n">
        <f>12853</f>
        <v>12853.0</v>
      </c>
      <c r="J237" s="21" t="n">
        <f>110</f>
        <v>110.0</v>
      </c>
      <c r="K237" s="21" t="n">
        <f>104</f>
        <v>104.0</v>
      </c>
      <c r="L237" s="4" t="s">
        <v>88</v>
      </c>
      <c r="M237" s="22" t="n">
        <f>5004</f>
        <v>5004.0</v>
      </c>
      <c r="N237" s="5" t="s">
        <v>335</v>
      </c>
      <c r="O237" s="23" t="str">
        <f>"－"</f>
        <v>－</v>
      </c>
      <c r="P237" s="3" t="s">
        <v>746</v>
      </c>
      <c r="Q237" s="21"/>
      <c r="R237" s="3" t="s">
        <v>747</v>
      </c>
      <c r="S237" s="21" t="n">
        <f>238558341</f>
        <v>2.38558341E8</v>
      </c>
      <c r="T237" s="21" t="n">
        <f>226982122</f>
        <v>2.26982122E8</v>
      </c>
      <c r="U237" s="5" t="s">
        <v>88</v>
      </c>
      <c r="V237" s="23" t="n">
        <f>11961833000</f>
        <v>1.1961833E10</v>
      </c>
      <c r="W237" s="5" t="s">
        <v>335</v>
      </c>
      <c r="X237" s="23" t="str">
        <f>"－"</f>
        <v>－</v>
      </c>
      <c r="Y237" s="23"/>
      <c r="Z237" s="21" t="n">
        <f>7371</f>
        <v>7371.0</v>
      </c>
      <c r="AA237" s="21" t="n">
        <f>2425</f>
        <v>2425.0</v>
      </c>
      <c r="AB237" s="4" t="s">
        <v>193</v>
      </c>
      <c r="AC237" s="22" t="n">
        <f>5432</f>
        <v>5432.0</v>
      </c>
      <c r="AD237" s="5" t="s">
        <v>192</v>
      </c>
      <c r="AE237" s="23" t="n">
        <f>2410</f>
        <v>2410.0</v>
      </c>
    </row>
    <row r="238">
      <c r="A238" s="24" t="s">
        <v>707</v>
      </c>
      <c r="B238" s="25" t="s">
        <v>708</v>
      </c>
      <c r="C238" s="26"/>
      <c r="D238" s="27"/>
      <c r="E238" s="28" t="s">
        <v>63</v>
      </c>
      <c r="F238" s="20" t="n">
        <f>122</f>
        <v>122.0</v>
      </c>
      <c r="G238" s="21" t="n">
        <f>541</f>
        <v>541.0</v>
      </c>
      <c r="H238" s="21"/>
      <c r="I238" s="21" t="n">
        <f>49</f>
        <v>49.0</v>
      </c>
      <c r="J238" s="21" t="n">
        <f>4</f>
        <v>4.0</v>
      </c>
      <c r="K238" s="21" t="n">
        <f>0</f>
        <v>0.0</v>
      </c>
      <c r="L238" s="4" t="s">
        <v>117</v>
      </c>
      <c r="M238" s="22" t="n">
        <f>129</f>
        <v>129.0</v>
      </c>
      <c r="N238" s="5" t="s">
        <v>279</v>
      </c>
      <c r="O238" s="23" t="str">
        <f>"－"</f>
        <v>－</v>
      </c>
      <c r="P238" s="3" t="s">
        <v>748</v>
      </c>
      <c r="Q238" s="21"/>
      <c r="R238" s="3" t="s">
        <v>749</v>
      </c>
      <c r="S238" s="21" t="n">
        <f>8420254</f>
        <v>8420254.0</v>
      </c>
      <c r="T238" s="21" t="n">
        <f>722041</f>
        <v>722041.0</v>
      </c>
      <c r="U238" s="5" t="s">
        <v>117</v>
      </c>
      <c r="V238" s="23" t="n">
        <f>267173000</f>
        <v>2.67173E8</v>
      </c>
      <c r="W238" s="5" t="s">
        <v>279</v>
      </c>
      <c r="X238" s="23" t="str">
        <f>"－"</f>
        <v>－</v>
      </c>
      <c r="Y238" s="23"/>
      <c r="Z238" s="21" t="str">
        <f>"－"</f>
        <v>－</v>
      </c>
      <c r="AA238" s="21" t="n">
        <f>40</f>
        <v>40.0</v>
      </c>
      <c r="AB238" s="4" t="s">
        <v>279</v>
      </c>
      <c r="AC238" s="22" t="n">
        <f>2425</f>
        <v>2425.0</v>
      </c>
      <c r="AD238" s="5" t="s">
        <v>212</v>
      </c>
      <c r="AE238" s="23" t="n">
        <f>8</f>
        <v>8.0</v>
      </c>
    </row>
    <row r="239">
      <c r="A239" s="24" t="s">
        <v>707</v>
      </c>
      <c r="B239" s="25" t="s">
        <v>708</v>
      </c>
      <c r="C239" s="26"/>
      <c r="D239" s="27"/>
      <c r="E239" s="28" t="s">
        <v>70</v>
      </c>
      <c r="F239" s="20" t="n">
        <f>123</f>
        <v>123.0</v>
      </c>
      <c r="G239" s="21" t="n">
        <f>10718</f>
        <v>10718.0</v>
      </c>
      <c r="H239" s="21"/>
      <c r="I239" s="21" t="n">
        <f>10594</f>
        <v>10594.0</v>
      </c>
      <c r="J239" s="21" t="n">
        <f>87</f>
        <v>87.0</v>
      </c>
      <c r="K239" s="21" t="n">
        <f>86</f>
        <v>86.0</v>
      </c>
      <c r="L239" s="4" t="s">
        <v>750</v>
      </c>
      <c r="M239" s="22" t="n">
        <f>5439</f>
        <v>5439.0</v>
      </c>
      <c r="N239" s="5" t="s">
        <v>751</v>
      </c>
      <c r="O239" s="23" t="str">
        <f>"－"</f>
        <v>－</v>
      </c>
      <c r="P239" s="3" t="s">
        <v>752</v>
      </c>
      <c r="Q239" s="21"/>
      <c r="R239" s="3" t="s">
        <v>753</v>
      </c>
      <c r="S239" s="21" t="n">
        <f>131170477</f>
        <v>1.31170477E8</v>
      </c>
      <c r="T239" s="21" t="n">
        <f>129779493</f>
        <v>1.29779493E8</v>
      </c>
      <c r="U239" s="5" t="s">
        <v>750</v>
      </c>
      <c r="V239" s="23" t="n">
        <f>7958888700</f>
        <v>7.9588887E9</v>
      </c>
      <c r="W239" s="5" t="s">
        <v>751</v>
      </c>
      <c r="X239" s="23" t="str">
        <f>"－"</f>
        <v>－</v>
      </c>
      <c r="Y239" s="23"/>
      <c r="Z239" s="21" t="n">
        <f>10265</f>
        <v>10265.0</v>
      </c>
      <c r="AA239" s="21" t="n">
        <f>10395</f>
        <v>10395.0</v>
      </c>
      <c r="AB239" s="4" t="s">
        <v>754</v>
      </c>
      <c r="AC239" s="22" t="n">
        <f>10395</f>
        <v>10395.0</v>
      </c>
      <c r="AD239" s="5" t="s">
        <v>319</v>
      </c>
      <c r="AE239" s="23" t="n">
        <f>21</f>
        <v>21.0</v>
      </c>
    </row>
    <row r="240">
      <c r="A240" s="24" t="s">
        <v>707</v>
      </c>
      <c r="B240" s="25" t="s">
        <v>708</v>
      </c>
      <c r="C240" s="26"/>
      <c r="D240" s="27"/>
      <c r="E240" s="28" t="s">
        <v>77</v>
      </c>
      <c r="F240" s="20" t="n">
        <f>122</f>
        <v>122.0</v>
      </c>
      <c r="G240" s="21" t="n">
        <f>71398</f>
        <v>71398.0</v>
      </c>
      <c r="H240" s="21"/>
      <c r="I240" s="21" t="n">
        <f>70960</f>
        <v>70960.0</v>
      </c>
      <c r="J240" s="21" t="n">
        <f>585</f>
        <v>585.0</v>
      </c>
      <c r="K240" s="21" t="n">
        <f>582</f>
        <v>582.0</v>
      </c>
      <c r="L240" s="4" t="s">
        <v>146</v>
      </c>
      <c r="M240" s="22" t="n">
        <f>26846</f>
        <v>26846.0</v>
      </c>
      <c r="N240" s="5" t="s">
        <v>260</v>
      </c>
      <c r="O240" s="23" t="str">
        <f>"－"</f>
        <v>－</v>
      </c>
      <c r="P240" s="3" t="s">
        <v>755</v>
      </c>
      <c r="Q240" s="21"/>
      <c r="R240" s="3" t="s">
        <v>756</v>
      </c>
      <c r="S240" s="21" t="n">
        <f>1107719439</f>
        <v>1.107719439E9</v>
      </c>
      <c r="T240" s="21" t="n">
        <f>1102111259</f>
        <v>1.102111259E9</v>
      </c>
      <c r="U240" s="5" t="s">
        <v>146</v>
      </c>
      <c r="V240" s="23" t="n">
        <f>51808243600</f>
        <v>5.18082436E10</v>
      </c>
      <c r="W240" s="5" t="s">
        <v>260</v>
      </c>
      <c r="X240" s="23" t="str">
        <f>"－"</f>
        <v>－</v>
      </c>
      <c r="Y240" s="23"/>
      <c r="Z240" s="21" t="n">
        <f>61906</f>
        <v>61906.0</v>
      </c>
      <c r="AA240" s="21" t="n">
        <f>18337</f>
        <v>18337.0</v>
      </c>
      <c r="AB240" s="4" t="s">
        <v>93</v>
      </c>
      <c r="AC240" s="22" t="n">
        <f>29982</f>
        <v>29982.0</v>
      </c>
      <c r="AD240" s="5" t="s">
        <v>757</v>
      </c>
      <c r="AE240" s="23" t="n">
        <f>10241</f>
        <v>10241.0</v>
      </c>
    </row>
    <row r="241">
      <c r="A241" s="24" t="s">
        <v>707</v>
      </c>
      <c r="B241" s="25" t="s">
        <v>708</v>
      </c>
      <c r="C241" s="26"/>
      <c r="D241" s="27"/>
      <c r="E241" s="28" t="s">
        <v>83</v>
      </c>
      <c r="F241" s="20" t="n">
        <f>124</f>
        <v>124.0</v>
      </c>
      <c r="G241" s="21" t="n">
        <f>74884</f>
        <v>74884.0</v>
      </c>
      <c r="H241" s="21"/>
      <c r="I241" s="21" t="n">
        <f>74813</f>
        <v>74813.0</v>
      </c>
      <c r="J241" s="21" t="n">
        <f>604</f>
        <v>604.0</v>
      </c>
      <c r="K241" s="21" t="n">
        <f>603</f>
        <v>603.0</v>
      </c>
      <c r="L241" s="4" t="s">
        <v>302</v>
      </c>
      <c r="M241" s="22" t="n">
        <f>26269</f>
        <v>26269.0</v>
      </c>
      <c r="N241" s="5" t="s">
        <v>666</v>
      </c>
      <c r="O241" s="23" t="str">
        <f>"－"</f>
        <v>－</v>
      </c>
      <c r="P241" s="3" t="s">
        <v>758</v>
      </c>
      <c r="Q241" s="21"/>
      <c r="R241" s="3" t="s">
        <v>759</v>
      </c>
      <c r="S241" s="21" t="n">
        <f>1083735378</f>
        <v>1.083735378E9</v>
      </c>
      <c r="T241" s="21" t="n">
        <f>1082715047</f>
        <v>1.082715047E9</v>
      </c>
      <c r="U241" s="5" t="s">
        <v>302</v>
      </c>
      <c r="V241" s="23" t="n">
        <f>46084155087</f>
        <v>4.6084155087E10</v>
      </c>
      <c r="W241" s="5" t="s">
        <v>666</v>
      </c>
      <c r="X241" s="23" t="str">
        <f>"－"</f>
        <v>－</v>
      </c>
      <c r="Y241" s="23"/>
      <c r="Z241" s="21" t="n">
        <f>59748</f>
        <v>59748.0</v>
      </c>
      <c r="AA241" s="21" t="n">
        <f>17181</f>
        <v>17181.0</v>
      </c>
      <c r="AB241" s="4" t="s">
        <v>143</v>
      </c>
      <c r="AC241" s="22" t="n">
        <f>23983</f>
        <v>23983.0</v>
      </c>
      <c r="AD241" s="5" t="s">
        <v>107</v>
      </c>
      <c r="AE241" s="23" t="n">
        <f>11237</f>
        <v>11237.0</v>
      </c>
    </row>
    <row r="242">
      <c r="A242" s="24" t="s">
        <v>707</v>
      </c>
      <c r="B242" s="25" t="s">
        <v>708</v>
      </c>
      <c r="C242" s="26"/>
      <c r="D242" s="27"/>
      <c r="E242" s="28" t="s">
        <v>89</v>
      </c>
      <c r="F242" s="20" t="n">
        <f>121</f>
        <v>121.0</v>
      </c>
      <c r="G242" s="21" t="n">
        <f>213861</f>
        <v>213861.0</v>
      </c>
      <c r="H242" s="21"/>
      <c r="I242" s="21" t="n">
        <f>211598</f>
        <v>211598.0</v>
      </c>
      <c r="J242" s="21" t="n">
        <f>1767</f>
        <v>1767.0</v>
      </c>
      <c r="K242" s="21" t="n">
        <f>1749</f>
        <v>1749.0</v>
      </c>
      <c r="L242" s="4" t="s">
        <v>90</v>
      </c>
      <c r="M242" s="22" t="n">
        <f>67820</f>
        <v>67820.0</v>
      </c>
      <c r="N242" s="5" t="s">
        <v>260</v>
      </c>
      <c r="O242" s="23" t="str">
        <f>"－"</f>
        <v>－</v>
      </c>
      <c r="P242" s="3" t="s">
        <v>760</v>
      </c>
      <c r="Q242" s="21"/>
      <c r="R242" s="3" t="s">
        <v>761</v>
      </c>
      <c r="S242" s="21" t="n">
        <f>3381797649</f>
        <v>3.381797649E9</v>
      </c>
      <c r="T242" s="21" t="n">
        <f>3345685550</f>
        <v>3.34568555E9</v>
      </c>
      <c r="U242" s="5" t="s">
        <v>90</v>
      </c>
      <c r="V242" s="23" t="n">
        <f>125319621625</f>
        <v>1.25319621625E11</v>
      </c>
      <c r="W242" s="5" t="s">
        <v>260</v>
      </c>
      <c r="X242" s="23" t="str">
        <f>"－"</f>
        <v>－</v>
      </c>
      <c r="Y242" s="23"/>
      <c r="Z242" s="21" t="n">
        <f>105953</f>
        <v>105953.0</v>
      </c>
      <c r="AA242" s="21" t="n">
        <f>42620</f>
        <v>42620.0</v>
      </c>
      <c r="AB242" s="4" t="s">
        <v>146</v>
      </c>
      <c r="AC242" s="22" t="n">
        <f>58048</f>
        <v>58048.0</v>
      </c>
      <c r="AD242" s="5" t="s">
        <v>339</v>
      </c>
      <c r="AE242" s="23" t="n">
        <f>16381</f>
        <v>16381.0</v>
      </c>
    </row>
    <row r="243">
      <c r="A243" s="24" t="s">
        <v>707</v>
      </c>
      <c r="B243" s="25" t="s">
        <v>708</v>
      </c>
      <c r="C243" s="26"/>
      <c r="D243" s="27"/>
      <c r="E243" s="28" t="s">
        <v>95</v>
      </c>
      <c r="F243" s="20" t="n">
        <f>124</f>
        <v>124.0</v>
      </c>
      <c r="G243" s="21" t="n">
        <f>169963</f>
        <v>169963.0</v>
      </c>
      <c r="H243" s="21"/>
      <c r="I243" s="21" t="n">
        <f>169100</f>
        <v>169100.0</v>
      </c>
      <c r="J243" s="21" t="n">
        <f>1371</f>
        <v>1371.0</v>
      </c>
      <c r="K243" s="21" t="n">
        <f>1364</f>
        <v>1364.0</v>
      </c>
      <c r="L243" s="4" t="s">
        <v>274</v>
      </c>
      <c r="M243" s="22" t="n">
        <f>26217</f>
        <v>26217.0</v>
      </c>
      <c r="N243" s="5" t="s">
        <v>350</v>
      </c>
      <c r="O243" s="23" t="str">
        <f>"－"</f>
        <v>－</v>
      </c>
      <c r="P243" s="3" t="s">
        <v>762</v>
      </c>
      <c r="Q243" s="21"/>
      <c r="R243" s="3" t="s">
        <v>763</v>
      </c>
      <c r="S243" s="21" t="n">
        <f>2467739236</f>
        <v>2.467739236E9</v>
      </c>
      <c r="T243" s="21" t="n">
        <f>2454905163</f>
        <v>2.454905163E9</v>
      </c>
      <c r="U243" s="5" t="s">
        <v>274</v>
      </c>
      <c r="V243" s="23" t="n">
        <f>47548590100</f>
        <v>4.75485901E10</v>
      </c>
      <c r="W243" s="5" t="s">
        <v>350</v>
      </c>
      <c r="X243" s="23" t="str">
        <f>"－"</f>
        <v>－</v>
      </c>
      <c r="Y243" s="23"/>
      <c r="Z243" s="21" t="n">
        <f>93969</f>
        <v>93969.0</v>
      </c>
      <c r="AA243" s="21" t="n">
        <f>27969</f>
        <v>27969.0</v>
      </c>
      <c r="AB243" s="4" t="s">
        <v>764</v>
      </c>
      <c r="AC243" s="22" t="n">
        <f>43510</f>
        <v>43510.0</v>
      </c>
      <c r="AD243" s="5" t="s">
        <v>325</v>
      </c>
      <c r="AE243" s="23" t="n">
        <f>14063</f>
        <v>14063.0</v>
      </c>
    </row>
    <row r="244">
      <c r="A244" s="24" t="s">
        <v>707</v>
      </c>
      <c r="B244" s="25" t="s">
        <v>708</v>
      </c>
      <c r="C244" s="26"/>
      <c r="D244" s="27"/>
      <c r="E244" s="28" t="s">
        <v>101</v>
      </c>
      <c r="F244" s="20" t="n">
        <f>120</f>
        <v>120.0</v>
      </c>
      <c r="G244" s="21" t="n">
        <f>157234</f>
        <v>157234.0</v>
      </c>
      <c r="H244" s="21"/>
      <c r="I244" s="21" t="n">
        <f>156359</f>
        <v>156359.0</v>
      </c>
      <c r="J244" s="21" t="n">
        <f>1310</f>
        <v>1310.0</v>
      </c>
      <c r="K244" s="21" t="n">
        <f>1303</f>
        <v>1303.0</v>
      </c>
      <c r="L244" s="4" t="s">
        <v>138</v>
      </c>
      <c r="M244" s="22" t="n">
        <f>34702</f>
        <v>34702.0</v>
      </c>
      <c r="N244" s="5" t="s">
        <v>268</v>
      </c>
      <c r="O244" s="23" t="str">
        <f>"－"</f>
        <v>－</v>
      </c>
      <c r="P244" s="3" t="s">
        <v>765</v>
      </c>
      <c r="Q244" s="21"/>
      <c r="R244" s="3" t="s">
        <v>766</v>
      </c>
      <c r="S244" s="21" t="n">
        <f>2042712320</f>
        <v>2.04271232E9</v>
      </c>
      <c r="T244" s="21" t="n">
        <f>2030799570</f>
        <v>2.03079957E9</v>
      </c>
      <c r="U244" s="5" t="s">
        <v>138</v>
      </c>
      <c r="V244" s="23" t="n">
        <f>55103824000</f>
        <v>5.5103824E10</v>
      </c>
      <c r="W244" s="5" t="s">
        <v>268</v>
      </c>
      <c r="X244" s="23" t="str">
        <f>"－"</f>
        <v>－</v>
      </c>
      <c r="Y244" s="23"/>
      <c r="Z244" s="21" t="n">
        <f>17623</f>
        <v>17623.0</v>
      </c>
      <c r="AA244" s="21" t="n">
        <f>44895</f>
        <v>44895.0</v>
      </c>
      <c r="AB244" s="4" t="s">
        <v>146</v>
      </c>
      <c r="AC244" s="22" t="n">
        <f>71728</f>
        <v>71728.0</v>
      </c>
      <c r="AD244" s="5" t="s">
        <v>767</v>
      </c>
      <c r="AE244" s="23" t="n">
        <f>26594</f>
        <v>26594.0</v>
      </c>
    </row>
    <row r="245">
      <c r="A245" s="24" t="s">
        <v>707</v>
      </c>
      <c r="B245" s="25" t="s">
        <v>708</v>
      </c>
      <c r="C245" s="26"/>
      <c r="D245" s="27"/>
      <c r="E245" s="28" t="s">
        <v>106</v>
      </c>
      <c r="F245" s="20" t="n">
        <f>121</f>
        <v>121.0</v>
      </c>
      <c r="G245" s="21" t="n">
        <f>246256</f>
        <v>246256.0</v>
      </c>
      <c r="H245" s="21"/>
      <c r="I245" s="21" t="n">
        <f>246214</f>
        <v>246214.0</v>
      </c>
      <c r="J245" s="21" t="n">
        <f>2035</f>
        <v>2035.0</v>
      </c>
      <c r="K245" s="21" t="n">
        <f>2035</f>
        <v>2035.0</v>
      </c>
      <c r="L245" s="4" t="s">
        <v>281</v>
      </c>
      <c r="M245" s="22" t="n">
        <f>76698</f>
        <v>76698.0</v>
      </c>
      <c r="N245" s="5" t="s">
        <v>335</v>
      </c>
      <c r="O245" s="23" t="str">
        <f>"－"</f>
        <v>－</v>
      </c>
      <c r="P245" s="3" t="s">
        <v>768</v>
      </c>
      <c r="Q245" s="21"/>
      <c r="R245" s="3" t="s">
        <v>769</v>
      </c>
      <c r="S245" s="21" t="n">
        <f>2776097457</f>
        <v>2.776097457E9</v>
      </c>
      <c r="T245" s="21" t="n">
        <f>2775604961</f>
        <v>2.775604961E9</v>
      </c>
      <c r="U245" s="5" t="s">
        <v>281</v>
      </c>
      <c r="V245" s="23" t="n">
        <f>103352635000</f>
        <v>1.03352635E11</v>
      </c>
      <c r="W245" s="5" t="s">
        <v>335</v>
      </c>
      <c r="X245" s="23" t="str">
        <f>"－"</f>
        <v>－</v>
      </c>
      <c r="Y245" s="23"/>
      <c r="Z245" s="21" t="n">
        <f>18038</f>
        <v>18038.0</v>
      </c>
      <c r="AA245" s="21" t="n">
        <f>60271</f>
        <v>60271.0</v>
      </c>
      <c r="AB245" s="4" t="s">
        <v>281</v>
      </c>
      <c r="AC245" s="22" t="n">
        <f>82234</f>
        <v>82234.0</v>
      </c>
      <c r="AD245" s="5" t="s">
        <v>201</v>
      </c>
      <c r="AE245" s="23" t="n">
        <f>37870</f>
        <v>37870.0</v>
      </c>
    </row>
    <row r="246">
      <c r="A246" s="24" t="s">
        <v>707</v>
      </c>
      <c r="B246" s="25" t="s">
        <v>708</v>
      </c>
      <c r="C246" s="26"/>
      <c r="D246" s="27"/>
      <c r="E246" s="28" t="s">
        <v>112</v>
      </c>
      <c r="F246" s="20" t="n">
        <f>120</f>
        <v>120.0</v>
      </c>
      <c r="G246" s="21" t="n">
        <f>202156</f>
        <v>202156.0</v>
      </c>
      <c r="H246" s="21"/>
      <c r="I246" s="21" t="n">
        <f>202038</f>
        <v>202038.0</v>
      </c>
      <c r="J246" s="21" t="n">
        <f>1685</f>
        <v>1685.0</v>
      </c>
      <c r="K246" s="21" t="n">
        <f>1684</f>
        <v>1684.0</v>
      </c>
      <c r="L246" s="4" t="s">
        <v>90</v>
      </c>
      <c r="M246" s="22" t="n">
        <f>39300</f>
        <v>39300.0</v>
      </c>
      <c r="N246" s="5" t="s">
        <v>279</v>
      </c>
      <c r="O246" s="23" t="str">
        <f>"－"</f>
        <v>－</v>
      </c>
      <c r="P246" s="3" t="s">
        <v>770</v>
      </c>
      <c r="Q246" s="21"/>
      <c r="R246" s="3" t="s">
        <v>771</v>
      </c>
      <c r="S246" s="21" t="n">
        <f>2207784866</f>
        <v>2.207784866E9</v>
      </c>
      <c r="T246" s="21" t="n">
        <f>2206396124</f>
        <v>2.206396124E9</v>
      </c>
      <c r="U246" s="5" t="s">
        <v>90</v>
      </c>
      <c r="V246" s="23" t="n">
        <f>48244025000</f>
        <v>4.8244025E10</v>
      </c>
      <c r="W246" s="5" t="s">
        <v>279</v>
      </c>
      <c r="X246" s="23" t="str">
        <f>"－"</f>
        <v>－</v>
      </c>
      <c r="Y246" s="23"/>
      <c r="Z246" s="21" t="n">
        <f>17400</f>
        <v>17400.0</v>
      </c>
      <c r="AA246" s="21" t="n">
        <f>39299</f>
        <v>39299.0</v>
      </c>
      <c r="AB246" s="4" t="s">
        <v>49</v>
      </c>
      <c r="AC246" s="22" t="n">
        <f>65238</f>
        <v>65238.0</v>
      </c>
      <c r="AD246" s="5" t="s">
        <v>55</v>
      </c>
      <c r="AE246" s="23" t="n">
        <f>39299</f>
        <v>39299.0</v>
      </c>
    </row>
    <row r="247">
      <c r="A247" s="24" t="s">
        <v>707</v>
      </c>
      <c r="B247" s="25" t="s">
        <v>708</v>
      </c>
      <c r="C247" s="26"/>
      <c r="D247" s="27"/>
      <c r="E247" s="28" t="s">
        <v>118</v>
      </c>
      <c r="F247" s="20" t="n">
        <f>122</f>
        <v>122.0</v>
      </c>
      <c r="G247" s="21" t="n">
        <f>165857</f>
        <v>165857.0</v>
      </c>
      <c r="H247" s="21"/>
      <c r="I247" s="21" t="n">
        <f>165442</f>
        <v>165442.0</v>
      </c>
      <c r="J247" s="21" t="n">
        <f>1359</f>
        <v>1359.0</v>
      </c>
      <c r="K247" s="21" t="n">
        <f>1356</f>
        <v>1356.0</v>
      </c>
      <c r="L247" s="4" t="s">
        <v>119</v>
      </c>
      <c r="M247" s="22" t="n">
        <f>51420</f>
        <v>51420.0</v>
      </c>
      <c r="N247" s="5" t="s">
        <v>335</v>
      </c>
      <c r="O247" s="23" t="str">
        <f>"－"</f>
        <v>－</v>
      </c>
      <c r="P247" s="3" t="s">
        <v>772</v>
      </c>
      <c r="Q247" s="21"/>
      <c r="R247" s="3" t="s">
        <v>773</v>
      </c>
      <c r="S247" s="21" t="n">
        <f>1654947266</f>
        <v>1.654947266E9</v>
      </c>
      <c r="T247" s="21" t="n">
        <f>1650939930</f>
        <v>1.65093993E9</v>
      </c>
      <c r="U247" s="5" t="s">
        <v>119</v>
      </c>
      <c r="V247" s="23" t="n">
        <f>60673226400</f>
        <v>6.06732264E10</v>
      </c>
      <c r="W247" s="5" t="s">
        <v>335</v>
      </c>
      <c r="X247" s="23" t="str">
        <f>"－"</f>
        <v>－</v>
      </c>
      <c r="Y247" s="23"/>
      <c r="Z247" s="21" t="n">
        <f>17400</f>
        <v>17400.0</v>
      </c>
      <c r="AA247" s="21" t="n">
        <f>41348</f>
        <v>41348.0</v>
      </c>
      <c r="AB247" s="4" t="s">
        <v>119</v>
      </c>
      <c r="AC247" s="22" t="n">
        <f>46288</f>
        <v>46288.0</v>
      </c>
      <c r="AD247" s="5" t="s">
        <v>205</v>
      </c>
      <c r="AE247" s="23" t="n">
        <f>20485</f>
        <v>20485.0</v>
      </c>
    </row>
    <row r="248">
      <c r="A248" s="24" t="s">
        <v>707</v>
      </c>
      <c r="B248" s="25" t="s">
        <v>708</v>
      </c>
      <c r="C248" s="26"/>
      <c r="D248" s="27"/>
      <c r="E248" s="28" t="s">
        <v>124</v>
      </c>
      <c r="F248" s="20" t="n">
        <f>123</f>
        <v>123.0</v>
      </c>
      <c r="G248" s="21" t="n">
        <f>212972</f>
        <v>212972.0</v>
      </c>
      <c r="H248" s="21"/>
      <c r="I248" s="21" t="n">
        <f>212972</f>
        <v>212972.0</v>
      </c>
      <c r="J248" s="21" t="n">
        <f>1731</f>
        <v>1731.0</v>
      </c>
      <c r="K248" s="21" t="n">
        <f>1731</f>
        <v>1731.0</v>
      </c>
      <c r="L248" s="4" t="s">
        <v>81</v>
      </c>
      <c r="M248" s="22" t="n">
        <f>58588</f>
        <v>58588.0</v>
      </c>
      <c r="N248" s="5" t="s">
        <v>279</v>
      </c>
      <c r="O248" s="23" t="str">
        <f>"－"</f>
        <v>－</v>
      </c>
      <c r="P248" s="3" t="s">
        <v>774</v>
      </c>
      <c r="Q248" s="21"/>
      <c r="R248" s="3" t="s">
        <v>774</v>
      </c>
      <c r="S248" s="21" t="n">
        <f>2325348759</f>
        <v>2.325348759E9</v>
      </c>
      <c r="T248" s="21" t="n">
        <f>2325348759</f>
        <v>2.325348759E9</v>
      </c>
      <c r="U248" s="5" t="s">
        <v>93</v>
      </c>
      <c r="V248" s="23" t="n">
        <f>75794930392</f>
        <v>7.5794930392E10</v>
      </c>
      <c r="W248" s="5" t="s">
        <v>279</v>
      </c>
      <c r="X248" s="23" t="str">
        <f>"－"</f>
        <v>－</v>
      </c>
      <c r="Y248" s="23"/>
      <c r="Z248" s="21" t="n">
        <f>17775</f>
        <v>17775.0</v>
      </c>
      <c r="AA248" s="21" t="n">
        <f>55678</f>
        <v>55678.0</v>
      </c>
      <c r="AB248" s="4" t="s">
        <v>187</v>
      </c>
      <c r="AC248" s="22" t="n">
        <f>65652</f>
        <v>65652.0</v>
      </c>
      <c r="AD248" s="5" t="s">
        <v>212</v>
      </c>
      <c r="AE248" s="23" t="n">
        <f>38118</f>
        <v>38118.0</v>
      </c>
    </row>
    <row r="249">
      <c r="A249" s="24" t="s">
        <v>707</v>
      </c>
      <c r="B249" s="25" t="s">
        <v>708</v>
      </c>
      <c r="C249" s="26"/>
      <c r="D249" s="27"/>
      <c r="E249" s="28" t="s">
        <v>127</v>
      </c>
      <c r="F249" s="20" t="n">
        <f>122</f>
        <v>122.0</v>
      </c>
      <c r="G249" s="21" t="n">
        <f>210462</f>
        <v>210462.0</v>
      </c>
      <c r="H249" s="21"/>
      <c r="I249" s="21" t="n">
        <f>210423</f>
        <v>210423.0</v>
      </c>
      <c r="J249" s="21" t="n">
        <f>1725</f>
        <v>1725.0</v>
      </c>
      <c r="K249" s="21" t="n">
        <f>1725</f>
        <v>1725.0</v>
      </c>
      <c r="L249" s="4" t="s">
        <v>71</v>
      </c>
      <c r="M249" s="22" t="n">
        <f>62404</f>
        <v>62404.0</v>
      </c>
      <c r="N249" s="5" t="s">
        <v>263</v>
      </c>
      <c r="O249" s="23" t="str">
        <f>"－"</f>
        <v>－</v>
      </c>
      <c r="P249" s="3" t="s">
        <v>775</v>
      </c>
      <c r="Q249" s="21"/>
      <c r="R249" s="3" t="s">
        <v>776</v>
      </c>
      <c r="S249" s="21" t="n">
        <f>2531512169</f>
        <v>2.531512169E9</v>
      </c>
      <c r="T249" s="21" t="n">
        <f>2531035316</f>
        <v>2.531035316E9</v>
      </c>
      <c r="U249" s="5" t="s">
        <v>71</v>
      </c>
      <c r="V249" s="23" t="n">
        <f>93576000000</f>
        <v>9.3576E10</v>
      </c>
      <c r="W249" s="5" t="s">
        <v>263</v>
      </c>
      <c r="X249" s="23" t="str">
        <f>"－"</f>
        <v>－</v>
      </c>
      <c r="Y249" s="23"/>
      <c r="Z249" s="21" t="n">
        <f>13775</f>
        <v>13775.0</v>
      </c>
      <c r="AA249" s="21" t="n">
        <f>46397</f>
        <v>46397.0</v>
      </c>
      <c r="AB249" s="4" t="s">
        <v>193</v>
      </c>
      <c r="AC249" s="22" t="n">
        <f>75054</f>
        <v>75054.0</v>
      </c>
      <c r="AD249" s="5" t="s">
        <v>76</v>
      </c>
      <c r="AE249" s="23" t="n">
        <f>46079</f>
        <v>46079.0</v>
      </c>
    </row>
    <row r="250">
      <c r="A250" s="24" t="s">
        <v>707</v>
      </c>
      <c r="B250" s="25" t="s">
        <v>708</v>
      </c>
      <c r="C250" s="26"/>
      <c r="D250" s="27"/>
      <c r="E250" s="28" t="s">
        <v>133</v>
      </c>
      <c r="F250" s="20" t="n">
        <f>122</f>
        <v>122.0</v>
      </c>
      <c r="G250" s="21" t="n">
        <f>188547</f>
        <v>188547.0</v>
      </c>
      <c r="H250" s="21"/>
      <c r="I250" s="21" t="n">
        <f>186932</f>
        <v>186932.0</v>
      </c>
      <c r="J250" s="21" t="n">
        <f>1545</f>
        <v>1545.0</v>
      </c>
      <c r="K250" s="21" t="n">
        <f>1532</f>
        <v>1532.0</v>
      </c>
      <c r="L250" s="4" t="s">
        <v>93</v>
      </c>
      <c r="M250" s="22" t="n">
        <f>81354</f>
        <v>81354.0</v>
      </c>
      <c r="N250" s="5" t="s">
        <v>279</v>
      </c>
      <c r="O250" s="23" t="str">
        <f>"－"</f>
        <v>－</v>
      </c>
      <c r="P250" s="3" t="s">
        <v>777</v>
      </c>
      <c r="Q250" s="21"/>
      <c r="R250" s="3" t="s">
        <v>778</v>
      </c>
      <c r="S250" s="21" t="n">
        <f>2267310050</f>
        <v>2.26731005E9</v>
      </c>
      <c r="T250" s="21" t="n">
        <f>2246572386</f>
        <v>2.246572386E9</v>
      </c>
      <c r="U250" s="5" t="s">
        <v>93</v>
      </c>
      <c r="V250" s="23" t="n">
        <f>118391786700</f>
        <v>1.183917867E11</v>
      </c>
      <c r="W250" s="5" t="s">
        <v>279</v>
      </c>
      <c r="X250" s="23" t="str">
        <f>"－"</f>
        <v>－</v>
      </c>
      <c r="Y250" s="23"/>
      <c r="Z250" s="21" t="n">
        <f>6592</f>
        <v>6592.0</v>
      </c>
      <c r="AA250" s="21" t="n">
        <f>36578</f>
        <v>36578.0</v>
      </c>
      <c r="AB250" s="4" t="s">
        <v>197</v>
      </c>
      <c r="AC250" s="22" t="n">
        <f>75869</f>
        <v>75869.0</v>
      </c>
      <c r="AD250" s="5" t="s">
        <v>138</v>
      </c>
      <c r="AE250" s="23" t="n">
        <f>30719</f>
        <v>30719.0</v>
      </c>
    </row>
    <row r="251">
      <c r="A251" s="24" t="s">
        <v>707</v>
      </c>
      <c r="B251" s="25" t="s">
        <v>708</v>
      </c>
      <c r="C251" s="26"/>
      <c r="D251" s="27"/>
      <c r="E251" s="28" t="s">
        <v>139</v>
      </c>
      <c r="F251" s="20" t="n">
        <f>123</f>
        <v>123.0</v>
      </c>
      <c r="G251" s="21" t="n">
        <f>225845</f>
        <v>225845.0</v>
      </c>
      <c r="H251" s="21"/>
      <c r="I251" s="21" t="n">
        <f>225130</f>
        <v>225130.0</v>
      </c>
      <c r="J251" s="21" t="n">
        <f>1836</f>
        <v>1836.0</v>
      </c>
      <c r="K251" s="21" t="n">
        <f>1830</f>
        <v>1830.0</v>
      </c>
      <c r="L251" s="4" t="s">
        <v>442</v>
      </c>
      <c r="M251" s="22" t="n">
        <f>96000</f>
        <v>96000.0</v>
      </c>
      <c r="N251" s="5" t="s">
        <v>335</v>
      </c>
      <c r="O251" s="23" t="str">
        <f>"－"</f>
        <v>－</v>
      </c>
      <c r="P251" s="3" t="s">
        <v>779</v>
      </c>
      <c r="Q251" s="21"/>
      <c r="R251" s="3" t="s">
        <v>780</v>
      </c>
      <c r="S251" s="21" t="n">
        <f>2905650442</f>
        <v>2.905650442E9</v>
      </c>
      <c r="T251" s="21" t="n">
        <f>2896502946</f>
        <v>2.896502946E9</v>
      </c>
      <c r="U251" s="5" t="s">
        <v>442</v>
      </c>
      <c r="V251" s="23" t="n">
        <f>151948000000</f>
        <v>1.51948E11</v>
      </c>
      <c r="W251" s="5" t="s">
        <v>335</v>
      </c>
      <c r="X251" s="23" t="str">
        <f>"－"</f>
        <v>－</v>
      </c>
      <c r="Y251" s="23"/>
      <c r="Z251" s="21" t="n">
        <f>4623</f>
        <v>4623.0</v>
      </c>
      <c r="AA251" s="21" t="n">
        <f>70888</f>
        <v>70888.0</v>
      </c>
      <c r="AB251" s="4" t="s">
        <v>84</v>
      </c>
      <c r="AC251" s="22" t="n">
        <f>84424</f>
        <v>84424.0</v>
      </c>
      <c r="AD251" s="5" t="s">
        <v>781</v>
      </c>
      <c r="AE251" s="23" t="n">
        <f>36348</f>
        <v>36348.0</v>
      </c>
    </row>
    <row r="252">
      <c r="A252" s="24" t="s">
        <v>707</v>
      </c>
      <c r="B252" s="25" t="s">
        <v>708</v>
      </c>
      <c r="C252" s="26"/>
      <c r="D252" s="27"/>
      <c r="E252" s="28" t="s">
        <v>145</v>
      </c>
      <c r="F252" s="20" t="n">
        <f>122</f>
        <v>122.0</v>
      </c>
      <c r="G252" s="21" t="n">
        <f>515170</f>
        <v>515170.0</v>
      </c>
      <c r="H252" s="21"/>
      <c r="I252" s="21" t="n">
        <f>512859</f>
        <v>512859.0</v>
      </c>
      <c r="J252" s="21" t="n">
        <f>4223</f>
        <v>4223.0</v>
      </c>
      <c r="K252" s="21" t="n">
        <f>4204</f>
        <v>4204.0</v>
      </c>
      <c r="L252" s="4" t="s">
        <v>146</v>
      </c>
      <c r="M252" s="22" t="n">
        <f>55848</f>
        <v>55848.0</v>
      </c>
      <c r="N252" s="5" t="s">
        <v>82</v>
      </c>
      <c r="O252" s="23" t="str">
        <f>"－"</f>
        <v>－</v>
      </c>
      <c r="P252" s="3" t="s">
        <v>782</v>
      </c>
      <c r="Q252" s="21"/>
      <c r="R252" s="3" t="s">
        <v>783</v>
      </c>
      <c r="S252" s="21" t="n">
        <f>8071051814</f>
        <v>8.071051814E9</v>
      </c>
      <c r="T252" s="21" t="n">
        <f>8034248371</f>
        <v>8.034248371E9</v>
      </c>
      <c r="U252" s="5" t="s">
        <v>146</v>
      </c>
      <c r="V252" s="23" t="n">
        <f>119033540000</f>
        <v>1.1903354E11</v>
      </c>
      <c r="W252" s="5" t="s">
        <v>82</v>
      </c>
      <c r="X252" s="23" t="str">
        <f>"－"</f>
        <v>－</v>
      </c>
      <c r="Y252" s="23"/>
      <c r="Z252" s="21" t="n">
        <f>152708</f>
        <v>152708.0</v>
      </c>
      <c r="AA252" s="21" t="n">
        <f>57730</f>
        <v>57730.0</v>
      </c>
      <c r="AB252" s="4" t="s">
        <v>90</v>
      </c>
      <c r="AC252" s="22" t="n">
        <f>129794</f>
        <v>129794.0</v>
      </c>
      <c r="AD252" s="5" t="s">
        <v>585</v>
      </c>
      <c r="AE252" s="23" t="n">
        <f>57722</f>
        <v>57722.0</v>
      </c>
    </row>
    <row r="253">
      <c r="A253" s="24" t="s">
        <v>707</v>
      </c>
      <c r="B253" s="25" t="s">
        <v>708</v>
      </c>
      <c r="C253" s="26"/>
      <c r="D253" s="27"/>
      <c r="E253" s="28" t="s">
        <v>150</v>
      </c>
      <c r="F253" s="20" t="n">
        <f>124</f>
        <v>124.0</v>
      </c>
      <c r="G253" s="21" t="n">
        <f>360789</f>
        <v>360789.0</v>
      </c>
      <c r="H253" s="21"/>
      <c r="I253" s="21" t="n">
        <f>359323</f>
        <v>359323.0</v>
      </c>
      <c r="J253" s="21" t="n">
        <f>2910</f>
        <v>2910.0</v>
      </c>
      <c r="K253" s="21" t="n">
        <f>2898</f>
        <v>2898.0</v>
      </c>
      <c r="L253" s="4" t="s">
        <v>302</v>
      </c>
      <c r="M253" s="22" t="n">
        <f>68860</f>
        <v>68860.0</v>
      </c>
      <c r="N253" s="5" t="s">
        <v>784</v>
      </c>
      <c r="O253" s="23" t="str">
        <f>"－"</f>
        <v>－</v>
      </c>
      <c r="P253" s="3" t="s">
        <v>785</v>
      </c>
      <c r="Q253" s="21"/>
      <c r="R253" s="3" t="s">
        <v>786</v>
      </c>
      <c r="S253" s="21" t="n">
        <f>6657194867</f>
        <v>6.657194867E9</v>
      </c>
      <c r="T253" s="21" t="n">
        <f>6632146584</f>
        <v>6.632146584E9</v>
      </c>
      <c r="U253" s="5" t="s">
        <v>302</v>
      </c>
      <c r="V253" s="23" t="n">
        <f>170314204500</f>
        <v>1.703142045E11</v>
      </c>
      <c r="W253" s="5" t="s">
        <v>784</v>
      </c>
      <c r="X253" s="23" t="str">
        <f>"－"</f>
        <v>－</v>
      </c>
      <c r="Y253" s="23"/>
      <c r="Z253" s="21" t="n">
        <f>117286</f>
        <v>117286.0</v>
      </c>
      <c r="AA253" s="21" t="n">
        <f>69940</f>
        <v>69940.0</v>
      </c>
      <c r="AB253" s="4" t="s">
        <v>96</v>
      </c>
      <c r="AC253" s="22" t="n">
        <f>79299</f>
        <v>79299.0</v>
      </c>
      <c r="AD253" s="5" t="s">
        <v>656</v>
      </c>
      <c r="AE253" s="23" t="n">
        <f>47160</f>
        <v>47160.0</v>
      </c>
    </row>
    <row r="254">
      <c r="A254" s="24" t="s">
        <v>707</v>
      </c>
      <c r="B254" s="25" t="s">
        <v>708</v>
      </c>
      <c r="C254" s="26"/>
      <c r="D254" s="27"/>
      <c r="E254" s="28" t="s">
        <v>154</v>
      </c>
      <c r="F254" s="20" t="n">
        <f>120</f>
        <v>120.0</v>
      </c>
      <c r="G254" s="21" t="n">
        <f>394208</f>
        <v>394208.0</v>
      </c>
      <c r="H254" s="21"/>
      <c r="I254" s="21" t="n">
        <f>393705</f>
        <v>393705.0</v>
      </c>
      <c r="J254" s="21" t="n">
        <f>3285</f>
        <v>3285.0</v>
      </c>
      <c r="K254" s="21" t="n">
        <f>3281</f>
        <v>3281.0</v>
      </c>
      <c r="L254" s="4" t="s">
        <v>787</v>
      </c>
      <c r="M254" s="22" t="n">
        <f>69977</f>
        <v>69977.0</v>
      </c>
      <c r="N254" s="5" t="s">
        <v>82</v>
      </c>
      <c r="O254" s="23" t="str">
        <f>"－"</f>
        <v>－</v>
      </c>
      <c r="P254" s="3" t="s">
        <v>788</v>
      </c>
      <c r="Q254" s="21"/>
      <c r="R254" s="3" t="s">
        <v>789</v>
      </c>
      <c r="S254" s="21" t="n">
        <f>9245588100</f>
        <v>9.2455881E9</v>
      </c>
      <c r="T254" s="21" t="n">
        <f>9234503525</f>
        <v>9.234503525E9</v>
      </c>
      <c r="U254" s="5" t="s">
        <v>787</v>
      </c>
      <c r="V254" s="23" t="n">
        <f>210953768000</f>
        <v>2.10953768E11</v>
      </c>
      <c r="W254" s="5" t="s">
        <v>82</v>
      </c>
      <c r="X254" s="23" t="str">
        <f>"－"</f>
        <v>－</v>
      </c>
      <c r="Y254" s="23"/>
      <c r="Z254" s="21" t="n">
        <f>149837</f>
        <v>149837.0</v>
      </c>
      <c r="AA254" s="21" t="n">
        <f>74982</f>
        <v>74982.0</v>
      </c>
      <c r="AB254" s="4" t="s">
        <v>787</v>
      </c>
      <c r="AC254" s="22" t="n">
        <f>107382</f>
        <v>107382.0</v>
      </c>
      <c r="AD254" s="5" t="s">
        <v>241</v>
      </c>
      <c r="AE254" s="23" t="n">
        <f>36979</f>
        <v>36979.0</v>
      </c>
    </row>
    <row r="255">
      <c r="A255" s="24" t="s">
        <v>790</v>
      </c>
      <c r="B255" s="25" t="s">
        <v>791</v>
      </c>
      <c r="C255" s="26"/>
      <c r="D255" s="27"/>
      <c r="E255" s="28" t="s">
        <v>397</v>
      </c>
      <c r="F255" s="20" t="n">
        <f>74</f>
        <v>74.0</v>
      </c>
      <c r="G255" s="21" t="n">
        <f>47326</f>
        <v>47326.0</v>
      </c>
      <c r="H255" s="21"/>
      <c r="I255" s="21" t="n">
        <f>27235</f>
        <v>27235.0</v>
      </c>
      <c r="J255" s="21" t="n">
        <f>640</f>
        <v>640.0</v>
      </c>
      <c r="K255" s="21" t="n">
        <f>368</f>
        <v>368.0</v>
      </c>
      <c r="L255" s="4" t="s">
        <v>281</v>
      </c>
      <c r="M255" s="22" t="n">
        <f>9202</f>
        <v>9202.0</v>
      </c>
      <c r="N255" s="5" t="s">
        <v>792</v>
      </c>
      <c r="O255" s="23" t="str">
        <f>"－"</f>
        <v>－</v>
      </c>
      <c r="P255" s="3" t="s">
        <v>793</v>
      </c>
      <c r="Q255" s="21"/>
      <c r="R255" s="3" t="s">
        <v>794</v>
      </c>
      <c r="S255" s="21" t="n">
        <f>807931969</f>
        <v>8.07931969E8</v>
      </c>
      <c r="T255" s="21" t="n">
        <f>466289089</f>
        <v>4.66289089E8</v>
      </c>
      <c r="U255" s="5" t="s">
        <v>281</v>
      </c>
      <c r="V255" s="23" t="n">
        <f>10948010300</f>
        <v>1.09480103E10</v>
      </c>
      <c r="W255" s="5" t="s">
        <v>792</v>
      </c>
      <c r="X255" s="23" t="str">
        <f>"－"</f>
        <v>－</v>
      </c>
      <c r="Y255" s="23"/>
      <c r="Z255" s="21" t="str">
        <f>"－"</f>
        <v>－</v>
      </c>
      <c r="AA255" s="21" t="n">
        <f>9836</f>
        <v>9836.0</v>
      </c>
      <c r="AB255" s="4" t="s">
        <v>144</v>
      </c>
      <c r="AC255" s="22" t="n">
        <f>14125</f>
        <v>14125.0</v>
      </c>
      <c r="AD255" s="5" t="s">
        <v>62</v>
      </c>
      <c r="AE255" s="23" t="n">
        <f>141</f>
        <v>141.0</v>
      </c>
    </row>
    <row r="256">
      <c r="A256" s="24" t="s">
        <v>790</v>
      </c>
      <c r="B256" s="25" t="s">
        <v>791</v>
      </c>
      <c r="C256" s="26"/>
      <c r="D256" s="27"/>
      <c r="E256" s="28" t="s">
        <v>401</v>
      </c>
      <c r="F256" s="20" t="n">
        <f>120</f>
        <v>120.0</v>
      </c>
      <c r="G256" s="21" t="n">
        <f>53679</f>
        <v>53679.0</v>
      </c>
      <c r="H256" s="21"/>
      <c r="I256" s="21" t="n">
        <f>38524</f>
        <v>38524.0</v>
      </c>
      <c r="J256" s="21" t="n">
        <f>447</f>
        <v>447.0</v>
      </c>
      <c r="K256" s="21" t="n">
        <f>321</f>
        <v>321.0</v>
      </c>
      <c r="L256" s="4" t="s">
        <v>287</v>
      </c>
      <c r="M256" s="22" t="n">
        <f>8368</f>
        <v>8368.0</v>
      </c>
      <c r="N256" s="5" t="s">
        <v>321</v>
      </c>
      <c r="O256" s="23" t="str">
        <f>"－"</f>
        <v>－</v>
      </c>
      <c r="P256" s="3" t="s">
        <v>795</v>
      </c>
      <c r="Q256" s="21"/>
      <c r="R256" s="3" t="s">
        <v>796</v>
      </c>
      <c r="S256" s="21" t="n">
        <f>369145851</f>
        <v>3.69145851E8</v>
      </c>
      <c r="T256" s="21" t="n">
        <f>259158430</f>
        <v>2.5915843E8</v>
      </c>
      <c r="U256" s="5" t="s">
        <v>241</v>
      </c>
      <c r="V256" s="23" t="n">
        <f>6734195300</f>
        <v>6.7341953E9</v>
      </c>
      <c r="W256" s="5" t="s">
        <v>321</v>
      </c>
      <c r="X256" s="23" t="str">
        <f>"－"</f>
        <v>－</v>
      </c>
      <c r="Y256" s="23"/>
      <c r="Z256" s="21" t="str">
        <f>"－"</f>
        <v>－</v>
      </c>
      <c r="AA256" s="21" t="n">
        <f>3605</f>
        <v>3605.0</v>
      </c>
      <c r="AB256" s="4" t="s">
        <v>277</v>
      </c>
      <c r="AC256" s="22" t="n">
        <f>14224</f>
        <v>14224.0</v>
      </c>
      <c r="AD256" s="5" t="s">
        <v>55</v>
      </c>
      <c r="AE256" s="23" t="n">
        <f>3539</f>
        <v>3539.0</v>
      </c>
    </row>
    <row r="257">
      <c r="A257" s="24" t="s">
        <v>790</v>
      </c>
      <c r="B257" s="25" t="s">
        <v>791</v>
      </c>
      <c r="C257" s="26"/>
      <c r="D257" s="27"/>
      <c r="E257" s="28" t="s">
        <v>405</v>
      </c>
      <c r="F257" s="20" t="n">
        <f>123</f>
        <v>123.0</v>
      </c>
      <c r="G257" s="21" t="n">
        <f>30220</f>
        <v>30220.0</v>
      </c>
      <c r="H257" s="21"/>
      <c r="I257" s="21" t="n">
        <f>28890</f>
        <v>28890.0</v>
      </c>
      <c r="J257" s="21" t="n">
        <f>246</f>
        <v>246.0</v>
      </c>
      <c r="K257" s="21" t="n">
        <f>235</f>
        <v>235.0</v>
      </c>
      <c r="L257" s="4" t="s">
        <v>281</v>
      </c>
      <c r="M257" s="22" t="n">
        <f>5351</f>
        <v>5351.0</v>
      </c>
      <c r="N257" s="5" t="s">
        <v>510</v>
      </c>
      <c r="O257" s="23" t="str">
        <f>"－"</f>
        <v>－</v>
      </c>
      <c r="P257" s="3" t="s">
        <v>797</v>
      </c>
      <c r="Q257" s="21"/>
      <c r="R257" s="3" t="s">
        <v>798</v>
      </c>
      <c r="S257" s="21" t="n">
        <f>232356995</f>
        <v>2.32356995E8</v>
      </c>
      <c r="T257" s="21" t="n">
        <f>222217190</f>
        <v>2.2221719E8</v>
      </c>
      <c r="U257" s="5" t="s">
        <v>281</v>
      </c>
      <c r="V257" s="23" t="n">
        <f>5328305300</f>
        <v>5.3283053E9</v>
      </c>
      <c r="W257" s="5" t="s">
        <v>510</v>
      </c>
      <c r="X257" s="23" t="str">
        <f>"－"</f>
        <v>－</v>
      </c>
      <c r="Y257" s="23"/>
      <c r="Z257" s="21" t="str">
        <f>"－"</f>
        <v>－</v>
      </c>
      <c r="AA257" s="21" t="n">
        <f>6224</f>
        <v>6224.0</v>
      </c>
      <c r="AB257" s="4" t="s">
        <v>281</v>
      </c>
      <c r="AC257" s="22" t="n">
        <f>7739</f>
        <v>7739.0</v>
      </c>
      <c r="AD257" s="5" t="s">
        <v>335</v>
      </c>
      <c r="AE257" s="23" t="n">
        <f>3606</f>
        <v>3606.0</v>
      </c>
    </row>
    <row r="258">
      <c r="A258" s="24" t="s">
        <v>790</v>
      </c>
      <c r="B258" s="25" t="s">
        <v>791</v>
      </c>
      <c r="C258" s="26"/>
      <c r="D258" s="27"/>
      <c r="E258" s="28" t="s">
        <v>409</v>
      </c>
      <c r="F258" s="20" t="n">
        <f>121</f>
        <v>121.0</v>
      </c>
      <c r="G258" s="21" t="n">
        <f>21087</f>
        <v>21087.0</v>
      </c>
      <c r="H258" s="21"/>
      <c r="I258" s="21" t="n">
        <f>20936</f>
        <v>20936.0</v>
      </c>
      <c r="J258" s="21" t="n">
        <f>174</f>
        <v>174.0</v>
      </c>
      <c r="K258" s="21" t="n">
        <f>173</f>
        <v>173.0</v>
      </c>
      <c r="L258" s="4" t="s">
        <v>81</v>
      </c>
      <c r="M258" s="22" t="n">
        <f>7381</f>
        <v>7381.0</v>
      </c>
      <c r="N258" s="5" t="s">
        <v>339</v>
      </c>
      <c r="O258" s="23" t="str">
        <f>"－"</f>
        <v>－</v>
      </c>
      <c r="P258" s="3" t="s">
        <v>799</v>
      </c>
      <c r="Q258" s="21"/>
      <c r="R258" s="3" t="s">
        <v>800</v>
      </c>
      <c r="S258" s="21" t="n">
        <f>152443285</f>
        <v>1.52443285E8</v>
      </c>
      <c r="T258" s="21" t="n">
        <f>151328165</f>
        <v>1.51328165E8</v>
      </c>
      <c r="U258" s="5" t="s">
        <v>81</v>
      </c>
      <c r="V258" s="23" t="n">
        <f>6217074500</f>
        <v>6.2170745E9</v>
      </c>
      <c r="W258" s="5" t="s">
        <v>339</v>
      </c>
      <c r="X258" s="23" t="str">
        <f>"－"</f>
        <v>－</v>
      </c>
      <c r="Y258" s="23"/>
      <c r="Z258" s="21" t="str">
        <f>"－"</f>
        <v>－</v>
      </c>
      <c r="AA258" s="21" t="n">
        <f>3953</f>
        <v>3953.0</v>
      </c>
      <c r="AB258" s="4" t="s">
        <v>241</v>
      </c>
      <c r="AC258" s="22" t="n">
        <f>6725</f>
        <v>6725.0</v>
      </c>
      <c r="AD258" s="5" t="s">
        <v>568</v>
      </c>
      <c r="AE258" s="23" t="n">
        <f>3953</f>
        <v>3953.0</v>
      </c>
    </row>
    <row r="259">
      <c r="A259" s="24" t="s">
        <v>790</v>
      </c>
      <c r="B259" s="25" t="s">
        <v>791</v>
      </c>
      <c r="C259" s="26"/>
      <c r="D259" s="27"/>
      <c r="E259" s="28" t="s">
        <v>412</v>
      </c>
      <c r="F259" s="20" t="n">
        <f>124</f>
        <v>124.0</v>
      </c>
      <c r="G259" s="21" t="n">
        <f>21201</f>
        <v>21201.0</v>
      </c>
      <c r="H259" s="21"/>
      <c r="I259" s="21" t="n">
        <f>20812</f>
        <v>20812.0</v>
      </c>
      <c r="J259" s="21" t="n">
        <f>171</f>
        <v>171.0</v>
      </c>
      <c r="K259" s="21" t="n">
        <f>168</f>
        <v>168.0</v>
      </c>
      <c r="L259" s="4" t="s">
        <v>709</v>
      </c>
      <c r="M259" s="22" t="n">
        <f>7000</f>
        <v>7000.0</v>
      </c>
      <c r="N259" s="5" t="s">
        <v>335</v>
      </c>
      <c r="O259" s="23" t="str">
        <f>"－"</f>
        <v>－</v>
      </c>
      <c r="P259" s="3" t="s">
        <v>801</v>
      </c>
      <c r="Q259" s="21"/>
      <c r="R259" s="3" t="s">
        <v>802</v>
      </c>
      <c r="S259" s="21" t="n">
        <f>154064008</f>
        <v>1.54064008E8</v>
      </c>
      <c r="T259" s="21" t="n">
        <f>151217657</f>
        <v>1.51217657E8</v>
      </c>
      <c r="U259" s="5" t="s">
        <v>709</v>
      </c>
      <c r="V259" s="23" t="n">
        <f>6456100000</f>
        <v>6.4561E9</v>
      </c>
      <c r="W259" s="5" t="s">
        <v>335</v>
      </c>
      <c r="X259" s="23" t="str">
        <f>"－"</f>
        <v>－</v>
      </c>
      <c r="Y259" s="23"/>
      <c r="Z259" s="21" t="str">
        <f>"－"</f>
        <v>－</v>
      </c>
      <c r="AA259" s="21" t="n">
        <f>4276</f>
        <v>4276.0</v>
      </c>
      <c r="AB259" s="4" t="s">
        <v>88</v>
      </c>
      <c r="AC259" s="22" t="n">
        <f>5386</f>
        <v>5386.0</v>
      </c>
      <c r="AD259" s="5" t="s">
        <v>335</v>
      </c>
      <c r="AE259" s="23" t="n">
        <f>3953</f>
        <v>3953.0</v>
      </c>
    </row>
    <row r="260">
      <c r="A260" s="24" t="s">
        <v>790</v>
      </c>
      <c r="B260" s="25" t="s">
        <v>791</v>
      </c>
      <c r="C260" s="26"/>
      <c r="D260" s="27"/>
      <c r="E260" s="28" t="s">
        <v>415</v>
      </c>
      <c r="F260" s="20" t="n">
        <f>121</f>
        <v>121.0</v>
      </c>
      <c r="G260" s="21" t="n">
        <f>29853</f>
        <v>29853.0</v>
      </c>
      <c r="H260" s="21"/>
      <c r="I260" s="21" t="n">
        <f>29592</f>
        <v>29592.0</v>
      </c>
      <c r="J260" s="21" t="n">
        <f>247</f>
        <v>247.0</v>
      </c>
      <c r="K260" s="21" t="n">
        <f>245</f>
        <v>245.0</v>
      </c>
      <c r="L260" s="4" t="s">
        <v>93</v>
      </c>
      <c r="M260" s="22" t="n">
        <f>9408</f>
        <v>9408.0</v>
      </c>
      <c r="N260" s="5" t="s">
        <v>279</v>
      </c>
      <c r="O260" s="23" t="str">
        <f>"－"</f>
        <v>－</v>
      </c>
      <c r="P260" s="3" t="s">
        <v>803</v>
      </c>
      <c r="Q260" s="21"/>
      <c r="R260" s="3" t="s">
        <v>804</v>
      </c>
      <c r="S260" s="21" t="n">
        <f>263470299</f>
        <v>2.63470299E8</v>
      </c>
      <c r="T260" s="21" t="n">
        <f>261245849</f>
        <v>2.61245849E8</v>
      </c>
      <c r="U260" s="5" t="s">
        <v>93</v>
      </c>
      <c r="V260" s="23" t="n">
        <f>10321287400</f>
        <v>1.03212874E10</v>
      </c>
      <c r="W260" s="5" t="s">
        <v>279</v>
      </c>
      <c r="X260" s="23" t="str">
        <f>"－"</f>
        <v>－</v>
      </c>
      <c r="Y260" s="23"/>
      <c r="Z260" s="21" t="n">
        <f>1100</f>
        <v>1100.0</v>
      </c>
      <c r="AA260" s="21" t="n">
        <f>5025</f>
        <v>5025.0</v>
      </c>
      <c r="AB260" s="4" t="s">
        <v>81</v>
      </c>
      <c r="AC260" s="22" t="n">
        <f>6362</f>
        <v>6362.0</v>
      </c>
      <c r="AD260" s="5" t="s">
        <v>208</v>
      </c>
      <c r="AE260" s="23" t="n">
        <f>4120</f>
        <v>4120.0</v>
      </c>
    </row>
    <row r="261">
      <c r="A261" s="24" t="s">
        <v>790</v>
      </c>
      <c r="B261" s="25" t="s">
        <v>791</v>
      </c>
      <c r="C261" s="26"/>
      <c r="D261" s="27"/>
      <c r="E261" s="28" t="s">
        <v>418</v>
      </c>
      <c r="F261" s="20" t="n">
        <f>124</f>
        <v>124.0</v>
      </c>
      <c r="G261" s="21" t="n">
        <f>25512</f>
        <v>25512.0</v>
      </c>
      <c r="H261" s="21"/>
      <c r="I261" s="21" t="n">
        <f>25499</f>
        <v>25499.0</v>
      </c>
      <c r="J261" s="21" t="n">
        <f>206</f>
        <v>206.0</v>
      </c>
      <c r="K261" s="21" t="n">
        <f>206</f>
        <v>206.0</v>
      </c>
      <c r="L261" s="4" t="s">
        <v>96</v>
      </c>
      <c r="M261" s="22" t="n">
        <f>9332</f>
        <v>9332.0</v>
      </c>
      <c r="N261" s="5" t="s">
        <v>751</v>
      </c>
      <c r="O261" s="23" t="str">
        <f>"－"</f>
        <v>－</v>
      </c>
      <c r="P261" s="3" t="s">
        <v>805</v>
      </c>
      <c r="Q261" s="21"/>
      <c r="R261" s="3" t="s">
        <v>806</v>
      </c>
      <c r="S261" s="21" t="n">
        <f>207284746</f>
        <v>2.07284746E8</v>
      </c>
      <c r="T261" s="21" t="n">
        <f>207174827</f>
        <v>2.07174827E8</v>
      </c>
      <c r="U261" s="5" t="s">
        <v>96</v>
      </c>
      <c r="V261" s="23" t="n">
        <f>9765480000</f>
        <v>9.76548E9</v>
      </c>
      <c r="W261" s="5" t="s">
        <v>751</v>
      </c>
      <c r="X261" s="23" t="str">
        <f>"－"</f>
        <v>－</v>
      </c>
      <c r="Y261" s="23"/>
      <c r="Z261" s="21" t="n">
        <f>331</f>
        <v>331.0</v>
      </c>
      <c r="AA261" s="21" t="n">
        <f>4141</f>
        <v>4141.0</v>
      </c>
      <c r="AB261" s="4" t="s">
        <v>128</v>
      </c>
      <c r="AC261" s="22" t="n">
        <f>7429</f>
        <v>7429.0</v>
      </c>
      <c r="AD261" s="5" t="s">
        <v>192</v>
      </c>
      <c r="AE261" s="23" t="n">
        <f>4019</f>
        <v>4019.0</v>
      </c>
    </row>
    <row r="262">
      <c r="A262" s="24" t="s">
        <v>790</v>
      </c>
      <c r="B262" s="25" t="s">
        <v>791</v>
      </c>
      <c r="C262" s="26"/>
      <c r="D262" s="27"/>
      <c r="E262" s="28" t="s">
        <v>422</v>
      </c>
      <c r="F262" s="20" t="n">
        <f>122</f>
        <v>122.0</v>
      </c>
      <c r="G262" s="21" t="n">
        <f>25339</f>
        <v>25339.0</v>
      </c>
      <c r="H262" s="21"/>
      <c r="I262" s="21" t="n">
        <f>25310</f>
        <v>25310.0</v>
      </c>
      <c r="J262" s="21" t="n">
        <f>208</f>
        <v>208.0</v>
      </c>
      <c r="K262" s="21" t="n">
        <f>207</f>
        <v>207.0</v>
      </c>
      <c r="L262" s="4" t="s">
        <v>78</v>
      </c>
      <c r="M262" s="22" t="n">
        <f>8610</f>
        <v>8610.0</v>
      </c>
      <c r="N262" s="5" t="s">
        <v>82</v>
      </c>
      <c r="O262" s="23" t="str">
        <f>"－"</f>
        <v>－</v>
      </c>
      <c r="P262" s="3" t="s">
        <v>807</v>
      </c>
      <c r="Q262" s="21"/>
      <c r="R262" s="3" t="s">
        <v>808</v>
      </c>
      <c r="S262" s="21" t="n">
        <f>184595436</f>
        <v>1.84595436E8</v>
      </c>
      <c r="T262" s="21" t="n">
        <f>184398420</f>
        <v>1.8439842E8</v>
      </c>
      <c r="U262" s="5" t="s">
        <v>78</v>
      </c>
      <c r="V262" s="23" t="n">
        <f>7298710700</f>
        <v>7.2987107E9</v>
      </c>
      <c r="W262" s="5" t="s">
        <v>82</v>
      </c>
      <c r="X262" s="23" t="str">
        <f>"－"</f>
        <v>－</v>
      </c>
      <c r="Y262" s="23"/>
      <c r="Z262" s="21" t="n">
        <f>763</f>
        <v>763.0</v>
      </c>
      <c r="AA262" s="21" t="n">
        <f>4916</f>
        <v>4916.0</v>
      </c>
      <c r="AB262" s="4" t="s">
        <v>146</v>
      </c>
      <c r="AC262" s="22" t="n">
        <f>5463</f>
        <v>5463.0</v>
      </c>
      <c r="AD262" s="5" t="s">
        <v>809</v>
      </c>
      <c r="AE262" s="23" t="n">
        <f>3804</f>
        <v>3804.0</v>
      </c>
    </row>
    <row r="263">
      <c r="A263" s="24" t="s">
        <v>790</v>
      </c>
      <c r="B263" s="25" t="s">
        <v>791</v>
      </c>
      <c r="C263" s="26"/>
      <c r="D263" s="27"/>
      <c r="E263" s="28" t="s">
        <v>425</v>
      </c>
      <c r="F263" s="20" t="n">
        <f>125</f>
        <v>125.0</v>
      </c>
      <c r="G263" s="21" t="n">
        <f>29528</f>
        <v>29528.0</v>
      </c>
      <c r="H263" s="21"/>
      <c r="I263" s="21" t="n">
        <f>29096</f>
        <v>29096.0</v>
      </c>
      <c r="J263" s="21" t="n">
        <f>236</f>
        <v>236.0</v>
      </c>
      <c r="K263" s="21" t="n">
        <f>233</f>
        <v>233.0</v>
      </c>
      <c r="L263" s="4" t="s">
        <v>61</v>
      </c>
      <c r="M263" s="22" t="n">
        <f>5870</f>
        <v>5870.0</v>
      </c>
      <c r="N263" s="5" t="s">
        <v>263</v>
      </c>
      <c r="O263" s="23" t="str">
        <f>"－"</f>
        <v>－</v>
      </c>
      <c r="P263" s="3" t="s">
        <v>810</v>
      </c>
      <c r="Q263" s="21"/>
      <c r="R263" s="3" t="s">
        <v>811</v>
      </c>
      <c r="S263" s="21" t="n">
        <f>221087572</f>
        <v>2.21087572E8</v>
      </c>
      <c r="T263" s="21" t="n">
        <f>217737126</f>
        <v>2.17737126E8</v>
      </c>
      <c r="U263" s="5" t="s">
        <v>61</v>
      </c>
      <c r="V263" s="23" t="n">
        <f>5677720200</f>
        <v>5.6777202E9</v>
      </c>
      <c r="W263" s="5" t="s">
        <v>263</v>
      </c>
      <c r="X263" s="23" t="str">
        <f>"－"</f>
        <v>－</v>
      </c>
      <c r="Y263" s="23"/>
      <c r="Z263" s="21" t="n">
        <f>7483</f>
        <v>7483.0</v>
      </c>
      <c r="AA263" s="21" t="n">
        <f>4466</f>
        <v>4466.0</v>
      </c>
      <c r="AB263" s="4" t="s">
        <v>96</v>
      </c>
      <c r="AC263" s="22" t="n">
        <f>7498</f>
        <v>7498.0</v>
      </c>
      <c r="AD263" s="5" t="s">
        <v>193</v>
      </c>
      <c r="AE263" s="23" t="n">
        <f>3367</f>
        <v>3367.0</v>
      </c>
    </row>
    <row r="264">
      <c r="A264" s="24" t="s">
        <v>790</v>
      </c>
      <c r="B264" s="25" t="s">
        <v>791</v>
      </c>
      <c r="C264" s="26"/>
      <c r="D264" s="27"/>
      <c r="E264" s="28" t="s">
        <v>428</v>
      </c>
      <c r="F264" s="20" t="n">
        <f>120</f>
        <v>120.0</v>
      </c>
      <c r="G264" s="21" t="n">
        <f>38410</f>
        <v>38410.0</v>
      </c>
      <c r="H264" s="21"/>
      <c r="I264" s="21" t="n">
        <f>34873</f>
        <v>34873.0</v>
      </c>
      <c r="J264" s="21" t="n">
        <f>320</f>
        <v>320.0</v>
      </c>
      <c r="K264" s="21" t="n">
        <f>291</f>
        <v>291.0</v>
      </c>
      <c r="L264" s="4" t="s">
        <v>54</v>
      </c>
      <c r="M264" s="22" t="n">
        <f>8368</f>
        <v>8368.0</v>
      </c>
      <c r="N264" s="5" t="s">
        <v>231</v>
      </c>
      <c r="O264" s="23" t="str">
        <f>"－"</f>
        <v>－</v>
      </c>
      <c r="P264" s="3" t="s">
        <v>812</v>
      </c>
      <c r="Q264" s="21"/>
      <c r="R264" s="3" t="s">
        <v>813</v>
      </c>
      <c r="S264" s="21" t="n">
        <f>390498929</f>
        <v>3.90498929E8</v>
      </c>
      <c r="T264" s="21" t="n">
        <f>353562250</f>
        <v>3.5356225E8</v>
      </c>
      <c r="U264" s="5" t="s">
        <v>54</v>
      </c>
      <c r="V264" s="23" t="n">
        <f>8712601500</f>
        <v>8.7126015E9</v>
      </c>
      <c r="W264" s="5" t="s">
        <v>231</v>
      </c>
      <c r="X264" s="23" t="str">
        <f>"－"</f>
        <v>－</v>
      </c>
      <c r="Y264" s="23"/>
      <c r="Z264" s="21" t="n">
        <f>10558</f>
        <v>10558.0</v>
      </c>
      <c r="AA264" s="21" t="n">
        <f>3726</f>
        <v>3726.0</v>
      </c>
      <c r="AB264" s="4" t="s">
        <v>93</v>
      </c>
      <c r="AC264" s="22" t="n">
        <f>7879</f>
        <v>7879.0</v>
      </c>
      <c r="AD264" s="5" t="s">
        <v>585</v>
      </c>
      <c r="AE264" s="23" t="n">
        <f>3721</f>
        <v>3721.0</v>
      </c>
    </row>
    <row r="265">
      <c r="A265" s="24" t="s">
        <v>790</v>
      </c>
      <c r="B265" s="25" t="s">
        <v>791</v>
      </c>
      <c r="C265" s="26"/>
      <c r="D265" s="27"/>
      <c r="E265" s="28" t="s">
        <v>433</v>
      </c>
      <c r="F265" s="20" t="n">
        <f>125</f>
        <v>125.0</v>
      </c>
      <c r="G265" s="21" t="n">
        <f>37712</f>
        <v>37712.0</v>
      </c>
      <c r="H265" s="21"/>
      <c r="I265" s="21" t="n">
        <f>32791</f>
        <v>32791.0</v>
      </c>
      <c r="J265" s="21" t="n">
        <f>302</f>
        <v>302.0</v>
      </c>
      <c r="K265" s="21" t="n">
        <f>262</f>
        <v>262.0</v>
      </c>
      <c r="L265" s="4" t="s">
        <v>193</v>
      </c>
      <c r="M265" s="22" t="n">
        <f>5013</f>
        <v>5013.0</v>
      </c>
      <c r="N265" s="5" t="s">
        <v>140</v>
      </c>
      <c r="O265" s="23" t="str">
        <f>"－"</f>
        <v>－</v>
      </c>
      <c r="P265" s="3" t="s">
        <v>814</v>
      </c>
      <c r="Q265" s="21"/>
      <c r="R265" s="3" t="s">
        <v>815</v>
      </c>
      <c r="S265" s="21" t="n">
        <f>416916372</f>
        <v>4.16916372E8</v>
      </c>
      <c r="T265" s="21" t="n">
        <f>364758854</f>
        <v>3.64758854E8</v>
      </c>
      <c r="U265" s="5" t="s">
        <v>193</v>
      </c>
      <c r="V265" s="23" t="n">
        <f>6479214700</f>
        <v>6.4792147E9</v>
      </c>
      <c r="W265" s="5" t="s">
        <v>140</v>
      </c>
      <c r="X265" s="23" t="str">
        <f>"－"</f>
        <v>－</v>
      </c>
      <c r="Y265" s="23"/>
      <c r="Z265" s="21" t="n">
        <f>160</f>
        <v>160.0</v>
      </c>
      <c r="AA265" s="21" t="n">
        <f>4148</f>
        <v>4148.0</v>
      </c>
      <c r="AB265" s="4" t="s">
        <v>319</v>
      </c>
      <c r="AC265" s="22" t="n">
        <f>6169</f>
        <v>6169.0</v>
      </c>
      <c r="AD265" s="5" t="s">
        <v>335</v>
      </c>
      <c r="AE265" s="23" t="n">
        <f>3713</f>
        <v>3713.0</v>
      </c>
    </row>
    <row r="266">
      <c r="A266" s="24" t="s">
        <v>790</v>
      </c>
      <c r="B266" s="25" t="s">
        <v>791</v>
      </c>
      <c r="C266" s="26"/>
      <c r="D266" s="27"/>
      <c r="E266" s="28" t="s">
        <v>437</v>
      </c>
      <c r="F266" s="20" t="n">
        <f>120</f>
        <v>120.0</v>
      </c>
      <c r="G266" s="21" t="n">
        <f>36523</f>
        <v>36523.0</v>
      </c>
      <c r="H266" s="21"/>
      <c r="I266" s="21" t="n">
        <f>32223</f>
        <v>32223.0</v>
      </c>
      <c r="J266" s="21" t="n">
        <f>304</f>
        <v>304.0</v>
      </c>
      <c r="K266" s="21" t="n">
        <f>269</f>
        <v>269.0</v>
      </c>
      <c r="L266" s="4" t="s">
        <v>197</v>
      </c>
      <c r="M266" s="22" t="n">
        <f>10370</f>
        <v>10370.0</v>
      </c>
      <c r="N266" s="5" t="s">
        <v>221</v>
      </c>
      <c r="O266" s="23" t="str">
        <f>"－"</f>
        <v>－</v>
      </c>
      <c r="P266" s="3" t="s">
        <v>816</v>
      </c>
      <c r="Q266" s="21"/>
      <c r="R266" s="3" t="s">
        <v>817</v>
      </c>
      <c r="S266" s="21" t="n">
        <f>444013979</f>
        <v>4.44013979E8</v>
      </c>
      <c r="T266" s="21" t="n">
        <f>391798718</f>
        <v>3.91798718E8</v>
      </c>
      <c r="U266" s="5" t="s">
        <v>197</v>
      </c>
      <c r="V266" s="23" t="n">
        <f>15343533600</f>
        <v>1.53435336E10</v>
      </c>
      <c r="W266" s="5" t="s">
        <v>221</v>
      </c>
      <c r="X266" s="23" t="str">
        <f>"－"</f>
        <v>－</v>
      </c>
      <c r="Y266" s="23"/>
      <c r="Z266" s="21" t="str">
        <f>"－"</f>
        <v>－</v>
      </c>
      <c r="AA266" s="21" t="n">
        <f>6937</f>
        <v>6937.0</v>
      </c>
      <c r="AB266" s="4" t="s">
        <v>187</v>
      </c>
      <c r="AC266" s="22" t="n">
        <f>8358</f>
        <v>8358.0</v>
      </c>
      <c r="AD266" s="5" t="s">
        <v>82</v>
      </c>
      <c r="AE266" s="23" t="n">
        <f>4162</f>
        <v>4162.0</v>
      </c>
    </row>
    <row r="267">
      <c r="A267" s="24" t="s">
        <v>790</v>
      </c>
      <c r="B267" s="25" t="s">
        <v>791</v>
      </c>
      <c r="C267" s="26"/>
      <c r="D267" s="27"/>
      <c r="E267" s="28" t="s">
        <v>441</v>
      </c>
      <c r="F267" s="20" t="n">
        <f>125</f>
        <v>125.0</v>
      </c>
      <c r="G267" s="21" t="n">
        <f>71675</f>
        <v>71675.0</v>
      </c>
      <c r="H267" s="21"/>
      <c r="I267" s="21" t="n">
        <f>70602</f>
        <v>70602.0</v>
      </c>
      <c r="J267" s="21" t="n">
        <f>573</f>
        <v>573.0</v>
      </c>
      <c r="K267" s="21" t="n">
        <f>565</f>
        <v>565.0</v>
      </c>
      <c r="L267" s="4" t="s">
        <v>281</v>
      </c>
      <c r="M267" s="22" t="n">
        <f>16026</f>
        <v>16026.0</v>
      </c>
      <c r="N267" s="5" t="s">
        <v>818</v>
      </c>
      <c r="O267" s="23" t="str">
        <f>"－"</f>
        <v>－</v>
      </c>
      <c r="P267" s="3" t="s">
        <v>819</v>
      </c>
      <c r="Q267" s="21"/>
      <c r="R267" s="3" t="s">
        <v>820</v>
      </c>
      <c r="S267" s="21" t="n">
        <f>901792490</f>
        <v>9.0179249E8</v>
      </c>
      <c r="T267" s="21" t="n">
        <f>888210978</f>
        <v>8.88210978E8</v>
      </c>
      <c r="U267" s="5" t="s">
        <v>281</v>
      </c>
      <c r="V267" s="23" t="n">
        <f>25835458500</f>
        <v>2.58354585E10</v>
      </c>
      <c r="W267" s="5" t="s">
        <v>818</v>
      </c>
      <c r="X267" s="23" t="str">
        <f>"－"</f>
        <v>－</v>
      </c>
      <c r="Y267" s="23"/>
      <c r="Z267" s="21" t="str">
        <f>"－"</f>
        <v>－</v>
      </c>
      <c r="AA267" s="21" t="n">
        <f>10121</f>
        <v>10121.0</v>
      </c>
      <c r="AB267" s="4" t="s">
        <v>281</v>
      </c>
      <c r="AC267" s="22" t="n">
        <f>14997</f>
        <v>14997.0</v>
      </c>
      <c r="AD267" s="5" t="s">
        <v>510</v>
      </c>
      <c r="AE267" s="23" t="n">
        <f>6909</f>
        <v>6909.0</v>
      </c>
    </row>
    <row r="268">
      <c r="A268" s="24" t="s">
        <v>790</v>
      </c>
      <c r="B268" s="25" t="s">
        <v>791</v>
      </c>
      <c r="C268" s="26"/>
      <c r="D268" s="27"/>
      <c r="E268" s="28" t="s">
        <v>48</v>
      </c>
      <c r="F268" s="20" t="n">
        <f>121</f>
        <v>121.0</v>
      </c>
      <c r="G268" s="21" t="n">
        <f>82050</f>
        <v>82050.0</v>
      </c>
      <c r="H268" s="21"/>
      <c r="I268" s="21" t="n">
        <f>75380</f>
        <v>75380.0</v>
      </c>
      <c r="J268" s="21" t="n">
        <f>678</f>
        <v>678.0</v>
      </c>
      <c r="K268" s="21" t="n">
        <f>623</f>
        <v>623.0</v>
      </c>
      <c r="L268" s="4" t="s">
        <v>197</v>
      </c>
      <c r="M268" s="22" t="n">
        <f>13404</f>
        <v>13404.0</v>
      </c>
      <c r="N268" s="5" t="s">
        <v>287</v>
      </c>
      <c r="O268" s="23" t="n">
        <f>5</f>
        <v>5.0</v>
      </c>
      <c r="P268" s="3" t="s">
        <v>821</v>
      </c>
      <c r="Q268" s="21"/>
      <c r="R268" s="3" t="s">
        <v>822</v>
      </c>
      <c r="S268" s="21" t="n">
        <f>1237904507</f>
        <v>1.237904507E9</v>
      </c>
      <c r="T268" s="21" t="n">
        <f>1137542687</f>
        <v>1.137542687E9</v>
      </c>
      <c r="U268" s="5" t="s">
        <v>197</v>
      </c>
      <c r="V268" s="23" t="n">
        <f>24287895400</f>
        <v>2.42878954E10</v>
      </c>
      <c r="W268" s="5" t="s">
        <v>287</v>
      </c>
      <c r="X268" s="23" t="n">
        <f>8233000</f>
        <v>8233000.0</v>
      </c>
      <c r="Y268" s="23"/>
      <c r="Z268" s="21" t="n">
        <f>234</f>
        <v>234.0</v>
      </c>
      <c r="AA268" s="21" t="n">
        <f>10921</f>
        <v>10921.0</v>
      </c>
      <c r="AB268" s="4" t="s">
        <v>241</v>
      </c>
      <c r="AC268" s="22" t="n">
        <f>15518</f>
        <v>15518.0</v>
      </c>
      <c r="AD268" s="5" t="s">
        <v>279</v>
      </c>
      <c r="AE268" s="23" t="n">
        <f>10118</f>
        <v>10118.0</v>
      </c>
    </row>
    <row r="269">
      <c r="A269" s="24" t="s">
        <v>790</v>
      </c>
      <c r="B269" s="25" t="s">
        <v>791</v>
      </c>
      <c r="C269" s="26"/>
      <c r="D269" s="27"/>
      <c r="E269" s="28" t="s">
        <v>56</v>
      </c>
      <c r="F269" s="20" t="n">
        <f>123</f>
        <v>123.0</v>
      </c>
      <c r="G269" s="21" t="n">
        <f>92589</f>
        <v>92589.0</v>
      </c>
      <c r="H269" s="21"/>
      <c r="I269" s="21" t="n">
        <f>83921</f>
        <v>83921.0</v>
      </c>
      <c r="J269" s="21" t="n">
        <f>753</f>
        <v>753.0</v>
      </c>
      <c r="K269" s="21" t="n">
        <f>682</f>
        <v>682.0</v>
      </c>
      <c r="L269" s="4" t="s">
        <v>183</v>
      </c>
      <c r="M269" s="22" t="n">
        <f>9158</f>
        <v>9158.0</v>
      </c>
      <c r="N269" s="5" t="s">
        <v>823</v>
      </c>
      <c r="O269" s="23" t="n">
        <f>9</f>
        <v>9.0</v>
      </c>
      <c r="P269" s="3" t="s">
        <v>824</v>
      </c>
      <c r="Q269" s="21"/>
      <c r="R269" s="3" t="s">
        <v>825</v>
      </c>
      <c r="S269" s="21" t="n">
        <f>1284235893</f>
        <v>1.284235893E9</v>
      </c>
      <c r="T269" s="21" t="n">
        <f>1161711728</f>
        <v>1.161711728E9</v>
      </c>
      <c r="U269" s="5" t="s">
        <v>75</v>
      </c>
      <c r="V269" s="23" t="n">
        <f>15001482900</f>
        <v>1.50014829E10</v>
      </c>
      <c r="W269" s="5" t="s">
        <v>823</v>
      </c>
      <c r="X269" s="23" t="n">
        <f>16725000</f>
        <v>1.6725E7</v>
      </c>
      <c r="Y269" s="23"/>
      <c r="Z269" s="21" t="n">
        <f>204</f>
        <v>204.0</v>
      </c>
      <c r="AA269" s="21" t="n">
        <f>11289</f>
        <v>11289.0</v>
      </c>
      <c r="AB269" s="4" t="s">
        <v>119</v>
      </c>
      <c r="AC269" s="22" t="n">
        <f>14251</f>
        <v>14251.0</v>
      </c>
      <c r="AD269" s="5" t="s">
        <v>213</v>
      </c>
      <c r="AE269" s="23" t="n">
        <f>8923</f>
        <v>8923.0</v>
      </c>
    </row>
    <row r="270">
      <c r="A270" s="24" t="s">
        <v>790</v>
      </c>
      <c r="B270" s="25" t="s">
        <v>791</v>
      </c>
      <c r="C270" s="26"/>
      <c r="D270" s="27"/>
      <c r="E270" s="28" t="s">
        <v>63</v>
      </c>
      <c r="F270" s="20" t="n">
        <f>122</f>
        <v>122.0</v>
      </c>
      <c r="G270" s="21" t="n">
        <f>111311</f>
        <v>111311.0</v>
      </c>
      <c r="H270" s="21"/>
      <c r="I270" s="21" t="n">
        <f>102690</f>
        <v>102690.0</v>
      </c>
      <c r="J270" s="21" t="n">
        <f>912</f>
        <v>912.0</v>
      </c>
      <c r="K270" s="21" t="n">
        <f>842</f>
        <v>842.0</v>
      </c>
      <c r="L270" s="4" t="s">
        <v>64</v>
      </c>
      <c r="M270" s="22" t="n">
        <f>16830</f>
        <v>16830.0</v>
      </c>
      <c r="N270" s="5" t="s">
        <v>404</v>
      </c>
      <c r="O270" s="23" t="n">
        <f>1</f>
        <v>1.0</v>
      </c>
      <c r="P270" s="3" t="s">
        <v>826</v>
      </c>
      <c r="Q270" s="21"/>
      <c r="R270" s="3" t="s">
        <v>827</v>
      </c>
      <c r="S270" s="21" t="n">
        <f>1637091720</f>
        <v>1.63709172E9</v>
      </c>
      <c r="T270" s="21" t="n">
        <f>1512492460</f>
        <v>1.51249246E9</v>
      </c>
      <c r="U270" s="5" t="s">
        <v>64</v>
      </c>
      <c r="V270" s="23" t="n">
        <f>29150206800</f>
        <v>2.91502068E10</v>
      </c>
      <c r="W270" s="5" t="s">
        <v>404</v>
      </c>
      <c r="X270" s="23" t="n">
        <f>1730000</f>
        <v>1730000.0</v>
      </c>
      <c r="Y270" s="23"/>
      <c r="Z270" s="21" t="n">
        <f>172</f>
        <v>172.0</v>
      </c>
      <c r="AA270" s="21" t="n">
        <f>20057</f>
        <v>20057.0</v>
      </c>
      <c r="AB270" s="4" t="s">
        <v>68</v>
      </c>
      <c r="AC270" s="22" t="n">
        <f>27504</f>
        <v>27504.0</v>
      </c>
      <c r="AD270" s="5" t="s">
        <v>828</v>
      </c>
      <c r="AE270" s="23" t="n">
        <f>9882</f>
        <v>9882.0</v>
      </c>
    </row>
    <row r="271">
      <c r="A271" s="24" t="s">
        <v>790</v>
      </c>
      <c r="B271" s="25" t="s">
        <v>791</v>
      </c>
      <c r="C271" s="26"/>
      <c r="D271" s="27"/>
      <c r="E271" s="28" t="s">
        <v>70</v>
      </c>
      <c r="F271" s="20" t="n">
        <f>123</f>
        <v>123.0</v>
      </c>
      <c r="G271" s="21" t="n">
        <f>120975</f>
        <v>120975.0</v>
      </c>
      <c r="H271" s="21"/>
      <c r="I271" s="21" t="n">
        <f>109188</f>
        <v>109188.0</v>
      </c>
      <c r="J271" s="21" t="n">
        <f>984</f>
        <v>984.0</v>
      </c>
      <c r="K271" s="21" t="n">
        <f>888</f>
        <v>888.0</v>
      </c>
      <c r="L271" s="4" t="s">
        <v>84</v>
      </c>
      <c r="M271" s="22" t="n">
        <f>23348</f>
        <v>23348.0</v>
      </c>
      <c r="N271" s="5" t="s">
        <v>829</v>
      </c>
      <c r="O271" s="23" t="n">
        <f>3</f>
        <v>3.0</v>
      </c>
      <c r="P271" s="3" t="s">
        <v>830</v>
      </c>
      <c r="Q271" s="21"/>
      <c r="R271" s="3" t="s">
        <v>831</v>
      </c>
      <c r="S271" s="21" t="n">
        <f>1819328014</f>
        <v>1.819328014E9</v>
      </c>
      <c r="T271" s="21" t="n">
        <f>1642585113</f>
        <v>1.642585113E9</v>
      </c>
      <c r="U271" s="5" t="s">
        <v>84</v>
      </c>
      <c r="V271" s="23" t="n">
        <f>42529776660</f>
        <v>4.252977666E10</v>
      </c>
      <c r="W271" s="5" t="s">
        <v>829</v>
      </c>
      <c r="X271" s="23" t="n">
        <f>5508000</f>
        <v>5508000.0</v>
      </c>
      <c r="Y271" s="23"/>
      <c r="Z271" s="21" t="n">
        <f>2361</f>
        <v>2361.0</v>
      </c>
      <c r="AA271" s="21" t="n">
        <f>17421</f>
        <v>17421.0</v>
      </c>
      <c r="AB271" s="4" t="s">
        <v>75</v>
      </c>
      <c r="AC271" s="22" t="n">
        <f>40435</f>
        <v>40435.0</v>
      </c>
      <c r="AD271" s="5" t="s">
        <v>631</v>
      </c>
      <c r="AE271" s="23" t="n">
        <f>16854</f>
        <v>16854.0</v>
      </c>
    </row>
    <row r="272">
      <c r="A272" s="24" t="s">
        <v>790</v>
      </c>
      <c r="B272" s="25" t="s">
        <v>791</v>
      </c>
      <c r="C272" s="26"/>
      <c r="D272" s="27"/>
      <c r="E272" s="28" t="s">
        <v>77</v>
      </c>
      <c r="F272" s="20" t="n">
        <f>122</f>
        <v>122.0</v>
      </c>
      <c r="G272" s="21" t="n">
        <f>132720</f>
        <v>132720.0</v>
      </c>
      <c r="H272" s="21"/>
      <c r="I272" s="21" t="n">
        <f>111197</f>
        <v>111197.0</v>
      </c>
      <c r="J272" s="21" t="n">
        <f>1088</f>
        <v>1088.0</v>
      </c>
      <c r="K272" s="21" t="n">
        <f>911</f>
        <v>911.0</v>
      </c>
      <c r="L272" s="4" t="s">
        <v>298</v>
      </c>
      <c r="M272" s="22" t="n">
        <f>19563</f>
        <v>19563.0</v>
      </c>
      <c r="N272" s="5" t="s">
        <v>726</v>
      </c>
      <c r="O272" s="23" t="n">
        <f>3</f>
        <v>3.0</v>
      </c>
      <c r="P272" s="3" t="s">
        <v>832</v>
      </c>
      <c r="Q272" s="21"/>
      <c r="R272" s="3" t="s">
        <v>833</v>
      </c>
      <c r="S272" s="21" t="n">
        <f>1944603387</f>
        <v>1.944603387E9</v>
      </c>
      <c r="T272" s="21" t="n">
        <f>1629519895</f>
        <v>1.629519895E9</v>
      </c>
      <c r="U272" s="5" t="s">
        <v>298</v>
      </c>
      <c r="V272" s="23" t="n">
        <f>34673091180</f>
        <v>3.467309118E10</v>
      </c>
      <c r="W272" s="5" t="s">
        <v>726</v>
      </c>
      <c r="X272" s="23" t="n">
        <f>5354000</f>
        <v>5354000.0</v>
      </c>
      <c r="Y272" s="23"/>
      <c r="Z272" s="21" t="n">
        <f>959</f>
        <v>959.0</v>
      </c>
      <c r="AA272" s="21" t="n">
        <f>19883</f>
        <v>19883.0</v>
      </c>
      <c r="AB272" s="4" t="s">
        <v>78</v>
      </c>
      <c r="AC272" s="22" t="n">
        <f>26305</f>
        <v>26305.0</v>
      </c>
      <c r="AD272" s="5" t="s">
        <v>634</v>
      </c>
      <c r="AE272" s="23" t="n">
        <f>16220</f>
        <v>16220.0</v>
      </c>
    </row>
    <row r="273">
      <c r="A273" s="24" t="s">
        <v>790</v>
      </c>
      <c r="B273" s="25" t="s">
        <v>791</v>
      </c>
      <c r="C273" s="26"/>
      <c r="D273" s="27"/>
      <c r="E273" s="28" t="s">
        <v>83</v>
      </c>
      <c r="F273" s="20" t="n">
        <f>124</f>
        <v>124.0</v>
      </c>
      <c r="G273" s="21" t="n">
        <f>155035</f>
        <v>155035.0</v>
      </c>
      <c r="H273" s="21"/>
      <c r="I273" s="21" t="n">
        <f>131652</f>
        <v>131652.0</v>
      </c>
      <c r="J273" s="21" t="n">
        <f>1250</f>
        <v>1250.0</v>
      </c>
      <c r="K273" s="21" t="n">
        <f>1062</f>
        <v>1062.0</v>
      </c>
      <c r="L273" s="4" t="s">
        <v>458</v>
      </c>
      <c r="M273" s="22" t="n">
        <f>31498</f>
        <v>31498.0</v>
      </c>
      <c r="N273" s="5" t="s">
        <v>834</v>
      </c>
      <c r="O273" s="23" t="n">
        <f>12</f>
        <v>12.0</v>
      </c>
      <c r="P273" s="3" t="s">
        <v>835</v>
      </c>
      <c r="Q273" s="21"/>
      <c r="R273" s="3" t="s">
        <v>836</v>
      </c>
      <c r="S273" s="21" t="n">
        <f>2125668718</f>
        <v>2.125668718E9</v>
      </c>
      <c r="T273" s="21" t="n">
        <f>1807422550</f>
        <v>1.80742255E9</v>
      </c>
      <c r="U273" s="5" t="s">
        <v>458</v>
      </c>
      <c r="V273" s="23" t="n">
        <f>52379030240</f>
        <v>5.237903024E10</v>
      </c>
      <c r="W273" s="5" t="s">
        <v>834</v>
      </c>
      <c r="X273" s="23" t="n">
        <f>20481000</f>
        <v>2.0481E7</v>
      </c>
      <c r="Y273" s="23"/>
      <c r="Z273" s="21" t="n">
        <f>9464</f>
        <v>9464.0</v>
      </c>
      <c r="AA273" s="21" t="n">
        <f>23746</f>
        <v>23746.0</v>
      </c>
      <c r="AB273" s="4" t="s">
        <v>183</v>
      </c>
      <c r="AC273" s="22" t="n">
        <f>37409</f>
        <v>37409.0</v>
      </c>
      <c r="AD273" s="5" t="s">
        <v>672</v>
      </c>
      <c r="AE273" s="23" t="n">
        <f>19888</f>
        <v>19888.0</v>
      </c>
    </row>
    <row r="274">
      <c r="A274" s="24" t="s">
        <v>790</v>
      </c>
      <c r="B274" s="25" t="s">
        <v>791</v>
      </c>
      <c r="C274" s="26"/>
      <c r="D274" s="27"/>
      <c r="E274" s="28" t="s">
        <v>89</v>
      </c>
      <c r="F274" s="20" t="n">
        <f>121</f>
        <v>121.0</v>
      </c>
      <c r="G274" s="21" t="n">
        <f>166477</f>
        <v>166477.0</v>
      </c>
      <c r="H274" s="21"/>
      <c r="I274" s="21" t="n">
        <f>133319</f>
        <v>133319.0</v>
      </c>
      <c r="J274" s="21" t="n">
        <f>1376</f>
        <v>1376.0</v>
      </c>
      <c r="K274" s="21" t="n">
        <f>1102</f>
        <v>1102.0</v>
      </c>
      <c r="L274" s="4" t="s">
        <v>298</v>
      </c>
      <c r="M274" s="22" t="n">
        <f>39325</f>
        <v>39325.0</v>
      </c>
      <c r="N274" s="5" t="s">
        <v>285</v>
      </c>
      <c r="O274" s="23" t="str">
        <f>"－"</f>
        <v>－</v>
      </c>
      <c r="P274" s="3" t="s">
        <v>837</v>
      </c>
      <c r="Q274" s="21"/>
      <c r="R274" s="3" t="s">
        <v>838</v>
      </c>
      <c r="S274" s="21" t="n">
        <f>2283203737</f>
        <v>2.283203737E9</v>
      </c>
      <c r="T274" s="21" t="n">
        <f>1828772402</f>
        <v>1.828772402E9</v>
      </c>
      <c r="U274" s="5" t="s">
        <v>298</v>
      </c>
      <c r="V274" s="23" t="n">
        <f>64925184600</f>
        <v>6.49251846E10</v>
      </c>
      <c r="W274" s="5" t="s">
        <v>285</v>
      </c>
      <c r="X274" s="23" t="str">
        <f>"－"</f>
        <v>－</v>
      </c>
      <c r="Y274" s="23"/>
      <c r="Z274" s="21" t="n">
        <f>10318</f>
        <v>10318.0</v>
      </c>
      <c r="AA274" s="21" t="n">
        <f>23461</f>
        <v>23461.0</v>
      </c>
      <c r="AB274" s="4" t="s">
        <v>93</v>
      </c>
      <c r="AC274" s="22" t="n">
        <f>39950</f>
        <v>39950.0</v>
      </c>
      <c r="AD274" s="5" t="s">
        <v>323</v>
      </c>
      <c r="AE274" s="23" t="n">
        <f>23072</f>
        <v>23072.0</v>
      </c>
    </row>
    <row r="275">
      <c r="A275" s="24" t="s">
        <v>790</v>
      </c>
      <c r="B275" s="25" t="s">
        <v>791</v>
      </c>
      <c r="C275" s="26"/>
      <c r="D275" s="27"/>
      <c r="E275" s="28" t="s">
        <v>95</v>
      </c>
      <c r="F275" s="20" t="n">
        <f>124</f>
        <v>124.0</v>
      </c>
      <c r="G275" s="21" t="n">
        <f>164196</f>
        <v>164196.0</v>
      </c>
      <c r="H275" s="21"/>
      <c r="I275" s="21" t="n">
        <f>140299</f>
        <v>140299.0</v>
      </c>
      <c r="J275" s="21" t="n">
        <f>1324</f>
        <v>1324.0</v>
      </c>
      <c r="K275" s="21" t="n">
        <f>1131</f>
        <v>1131.0</v>
      </c>
      <c r="L275" s="4" t="s">
        <v>61</v>
      </c>
      <c r="M275" s="22" t="n">
        <f>35375</f>
        <v>35375.0</v>
      </c>
      <c r="N275" s="5" t="s">
        <v>217</v>
      </c>
      <c r="O275" s="23" t="n">
        <f>1</f>
        <v>1.0</v>
      </c>
      <c r="P275" s="3" t="s">
        <v>839</v>
      </c>
      <c r="Q275" s="21"/>
      <c r="R275" s="3" t="s">
        <v>840</v>
      </c>
      <c r="S275" s="21" t="n">
        <f>2292655590</f>
        <v>2.29265559E9</v>
      </c>
      <c r="T275" s="21" t="n">
        <f>1960859737</f>
        <v>1.960859737E9</v>
      </c>
      <c r="U275" s="5" t="s">
        <v>61</v>
      </c>
      <c r="V275" s="23" t="n">
        <f>61427935250</f>
        <v>6.142793525E10</v>
      </c>
      <c r="W275" s="5" t="s">
        <v>217</v>
      </c>
      <c r="X275" s="23" t="n">
        <f>1764300</f>
        <v>1764300.0</v>
      </c>
      <c r="Y275" s="23"/>
      <c r="Z275" s="21" t="n">
        <f>6396</f>
        <v>6396.0</v>
      </c>
      <c r="AA275" s="21" t="n">
        <f>28249</f>
        <v>28249.0</v>
      </c>
      <c r="AB275" s="4" t="s">
        <v>76</v>
      </c>
      <c r="AC275" s="22" t="n">
        <f>47676</f>
        <v>47676.0</v>
      </c>
      <c r="AD275" s="5" t="s">
        <v>712</v>
      </c>
      <c r="AE275" s="23" t="n">
        <f>21196</f>
        <v>21196.0</v>
      </c>
    </row>
    <row r="276">
      <c r="A276" s="24" t="s">
        <v>790</v>
      </c>
      <c r="B276" s="25" t="s">
        <v>791</v>
      </c>
      <c r="C276" s="26"/>
      <c r="D276" s="27"/>
      <c r="E276" s="28" t="s">
        <v>101</v>
      </c>
      <c r="F276" s="20" t="n">
        <f>120</f>
        <v>120.0</v>
      </c>
      <c r="G276" s="21" t="n">
        <f>188206</f>
        <v>188206.0</v>
      </c>
      <c r="H276" s="21"/>
      <c r="I276" s="21" t="n">
        <f>155383</f>
        <v>155383.0</v>
      </c>
      <c r="J276" s="21" t="n">
        <f>1568</f>
        <v>1568.0</v>
      </c>
      <c r="K276" s="21" t="n">
        <f>1295</f>
        <v>1295.0</v>
      </c>
      <c r="L276" s="4" t="s">
        <v>155</v>
      </c>
      <c r="M276" s="22" t="n">
        <f>30476</f>
        <v>30476.0</v>
      </c>
      <c r="N276" s="5" t="s">
        <v>82</v>
      </c>
      <c r="O276" s="23" t="str">
        <f>"－"</f>
        <v>－</v>
      </c>
      <c r="P276" s="3" t="s">
        <v>841</v>
      </c>
      <c r="Q276" s="21"/>
      <c r="R276" s="3" t="s">
        <v>842</v>
      </c>
      <c r="S276" s="21" t="n">
        <f>2843060521</f>
        <v>2.843060521E9</v>
      </c>
      <c r="T276" s="21" t="n">
        <f>2342718572</f>
        <v>2.342718572E9</v>
      </c>
      <c r="U276" s="5" t="s">
        <v>155</v>
      </c>
      <c r="V276" s="23" t="n">
        <f>56317428910</f>
        <v>5.631742891E10</v>
      </c>
      <c r="W276" s="5" t="s">
        <v>82</v>
      </c>
      <c r="X276" s="23" t="str">
        <f>"－"</f>
        <v>－</v>
      </c>
      <c r="Y276" s="23"/>
      <c r="Z276" s="21" t="n">
        <f>8389</f>
        <v>8389.0</v>
      </c>
      <c r="AA276" s="21" t="n">
        <f>32212</f>
        <v>32212.0</v>
      </c>
      <c r="AB276" s="4" t="s">
        <v>658</v>
      </c>
      <c r="AC276" s="22" t="n">
        <f>50766</f>
        <v>50766.0</v>
      </c>
      <c r="AD276" s="5" t="s">
        <v>843</v>
      </c>
      <c r="AE276" s="23" t="n">
        <f>27680</f>
        <v>27680.0</v>
      </c>
    </row>
    <row r="277">
      <c r="A277" s="24" t="s">
        <v>790</v>
      </c>
      <c r="B277" s="25" t="s">
        <v>791</v>
      </c>
      <c r="C277" s="26"/>
      <c r="D277" s="27"/>
      <c r="E277" s="28" t="s">
        <v>106</v>
      </c>
      <c r="F277" s="20" t="n">
        <f>121</f>
        <v>121.0</v>
      </c>
      <c r="G277" s="21" t="n">
        <f>392629</f>
        <v>392629.0</v>
      </c>
      <c r="H277" s="21"/>
      <c r="I277" s="21" t="n">
        <f>323892</f>
        <v>323892.0</v>
      </c>
      <c r="J277" s="21" t="n">
        <f>3245</f>
        <v>3245.0</v>
      </c>
      <c r="K277" s="21" t="n">
        <f>2677</f>
        <v>2677.0</v>
      </c>
      <c r="L277" s="4" t="s">
        <v>96</v>
      </c>
      <c r="M277" s="22" t="n">
        <f>47700</f>
        <v>47700.0</v>
      </c>
      <c r="N277" s="5" t="s">
        <v>818</v>
      </c>
      <c r="O277" s="23" t="n">
        <f>61</f>
        <v>61.0</v>
      </c>
      <c r="P277" s="3" t="s">
        <v>844</v>
      </c>
      <c r="Q277" s="21"/>
      <c r="R277" s="3" t="s">
        <v>845</v>
      </c>
      <c r="S277" s="21" t="n">
        <f>6545097776</f>
        <v>6.545097776E9</v>
      </c>
      <c r="T277" s="21" t="n">
        <f>5392926440</f>
        <v>5.39292644E9</v>
      </c>
      <c r="U277" s="5" t="s">
        <v>96</v>
      </c>
      <c r="V277" s="23" t="n">
        <f>90527008630</f>
        <v>9.052700863E10</v>
      </c>
      <c r="W277" s="5" t="s">
        <v>818</v>
      </c>
      <c r="X277" s="23" t="n">
        <f>114566000</f>
        <v>1.14566E8</v>
      </c>
      <c r="Y277" s="23"/>
      <c r="Z277" s="21" t="n">
        <f>5098</f>
        <v>5098.0</v>
      </c>
      <c r="AA277" s="21" t="n">
        <f>70109</f>
        <v>70109.0</v>
      </c>
      <c r="AB277" s="4" t="s">
        <v>281</v>
      </c>
      <c r="AC277" s="22" t="n">
        <f>87860</f>
        <v>87860.0</v>
      </c>
      <c r="AD277" s="5" t="s">
        <v>335</v>
      </c>
      <c r="AE277" s="23" t="n">
        <f>32230</f>
        <v>32230.0</v>
      </c>
    </row>
    <row r="278">
      <c r="A278" s="24" t="s">
        <v>790</v>
      </c>
      <c r="B278" s="25" t="s">
        <v>791</v>
      </c>
      <c r="C278" s="26"/>
      <c r="D278" s="27"/>
      <c r="E278" s="28" t="s">
        <v>112</v>
      </c>
      <c r="F278" s="20" t="n">
        <f>120</f>
        <v>120.0</v>
      </c>
      <c r="G278" s="21" t="n">
        <f>629813</f>
        <v>629813.0</v>
      </c>
      <c r="H278" s="21"/>
      <c r="I278" s="21" t="n">
        <f>451062</f>
        <v>451062.0</v>
      </c>
      <c r="J278" s="21" t="n">
        <f>5248</f>
        <v>5248.0</v>
      </c>
      <c r="K278" s="21" t="n">
        <f>3759</f>
        <v>3759.0</v>
      </c>
      <c r="L278" s="4" t="s">
        <v>53</v>
      </c>
      <c r="M278" s="22" t="n">
        <f>61450</f>
        <v>61450.0</v>
      </c>
      <c r="N278" s="5" t="s">
        <v>314</v>
      </c>
      <c r="O278" s="23" t="n">
        <f>306</f>
        <v>306.0</v>
      </c>
      <c r="P278" s="3" t="s">
        <v>846</v>
      </c>
      <c r="Q278" s="21"/>
      <c r="R278" s="3" t="s">
        <v>847</v>
      </c>
      <c r="S278" s="21" t="n">
        <f>10730079516</f>
        <v>1.0730079516E10</v>
      </c>
      <c r="T278" s="21" t="n">
        <f>7587650880</f>
        <v>7.58765088E9</v>
      </c>
      <c r="U278" s="5" t="s">
        <v>53</v>
      </c>
      <c r="V278" s="23" t="n">
        <f>112479136650</f>
        <v>1.1247913665E11</v>
      </c>
      <c r="W278" s="5" t="s">
        <v>314</v>
      </c>
      <c r="X278" s="23" t="n">
        <f>650795500</f>
        <v>6.507955E8</v>
      </c>
      <c r="Y278" s="23"/>
      <c r="Z278" s="21" t="n">
        <f>6943</f>
        <v>6943.0</v>
      </c>
      <c r="AA278" s="21" t="n">
        <f>71398</f>
        <v>71398.0</v>
      </c>
      <c r="AB278" s="4" t="s">
        <v>116</v>
      </c>
      <c r="AC278" s="22" t="n">
        <f>120536</f>
        <v>120536.0</v>
      </c>
      <c r="AD278" s="5" t="s">
        <v>55</v>
      </c>
      <c r="AE278" s="23" t="n">
        <f>65739</f>
        <v>65739.0</v>
      </c>
    </row>
    <row r="279">
      <c r="A279" s="24" t="s">
        <v>790</v>
      </c>
      <c r="B279" s="25" t="s">
        <v>791</v>
      </c>
      <c r="C279" s="26"/>
      <c r="D279" s="27"/>
      <c r="E279" s="28" t="s">
        <v>118</v>
      </c>
      <c r="F279" s="20" t="n">
        <f>122</f>
        <v>122.0</v>
      </c>
      <c r="G279" s="21" t="n">
        <f>459759</f>
        <v>459759.0</v>
      </c>
      <c r="H279" s="21"/>
      <c r="I279" s="21" t="n">
        <f>371378</f>
        <v>371378.0</v>
      </c>
      <c r="J279" s="21" t="n">
        <f>3769</f>
        <v>3769.0</v>
      </c>
      <c r="K279" s="21" t="n">
        <f>3044</f>
        <v>3044.0</v>
      </c>
      <c r="L279" s="4" t="s">
        <v>128</v>
      </c>
      <c r="M279" s="22" t="n">
        <f>68768</f>
        <v>68768.0</v>
      </c>
      <c r="N279" s="5" t="s">
        <v>848</v>
      </c>
      <c r="O279" s="23" t="n">
        <f>139</f>
        <v>139.0</v>
      </c>
      <c r="P279" s="3" t="s">
        <v>849</v>
      </c>
      <c r="Q279" s="21"/>
      <c r="R279" s="3" t="s">
        <v>850</v>
      </c>
      <c r="S279" s="21" t="n">
        <f>6408590475</f>
        <v>6.408590475E9</v>
      </c>
      <c r="T279" s="21" t="n">
        <f>5185623985</f>
        <v>5.185623985E9</v>
      </c>
      <c r="U279" s="5" t="s">
        <v>128</v>
      </c>
      <c r="V279" s="23" t="n">
        <f>118076126400</f>
        <v>1.180761264E11</v>
      </c>
      <c r="W279" s="5" t="s">
        <v>848</v>
      </c>
      <c r="X279" s="23" t="n">
        <f>213316570</f>
        <v>2.1331657E8</v>
      </c>
      <c r="Y279" s="23"/>
      <c r="Z279" s="21" t="n">
        <f>4465</f>
        <v>4465.0</v>
      </c>
      <c r="AA279" s="21" t="n">
        <f>64196</f>
        <v>64196.0</v>
      </c>
      <c r="AB279" s="4" t="s">
        <v>88</v>
      </c>
      <c r="AC279" s="22" t="n">
        <f>110019</f>
        <v>110019.0</v>
      </c>
      <c r="AD279" s="5" t="s">
        <v>120</v>
      </c>
      <c r="AE279" s="23" t="n">
        <f>59331</f>
        <v>59331.0</v>
      </c>
    </row>
    <row r="280">
      <c r="A280" s="24" t="s">
        <v>790</v>
      </c>
      <c r="B280" s="25" t="s">
        <v>791</v>
      </c>
      <c r="C280" s="26"/>
      <c r="D280" s="27"/>
      <c r="E280" s="28" t="s">
        <v>124</v>
      </c>
      <c r="F280" s="20" t="n">
        <f>123</f>
        <v>123.0</v>
      </c>
      <c r="G280" s="21" t="n">
        <f>462727</f>
        <v>462727.0</v>
      </c>
      <c r="H280" s="21"/>
      <c r="I280" s="21" t="n">
        <f>339542</f>
        <v>339542.0</v>
      </c>
      <c r="J280" s="21" t="n">
        <f>3762</f>
        <v>3762.0</v>
      </c>
      <c r="K280" s="21" t="n">
        <f>2761</f>
        <v>2761.0</v>
      </c>
      <c r="L280" s="4" t="s">
        <v>64</v>
      </c>
      <c r="M280" s="22" t="n">
        <f>81784</f>
        <v>81784.0</v>
      </c>
      <c r="N280" s="5" t="s">
        <v>843</v>
      </c>
      <c r="O280" s="23" t="n">
        <f>69</f>
        <v>69.0</v>
      </c>
      <c r="P280" s="3" t="s">
        <v>851</v>
      </c>
      <c r="Q280" s="21"/>
      <c r="R280" s="3" t="s">
        <v>852</v>
      </c>
      <c r="S280" s="21" t="n">
        <f>6739730194</f>
        <v>6.739730194E9</v>
      </c>
      <c r="T280" s="21" t="n">
        <f>4940282458</f>
        <v>4.940282458E9</v>
      </c>
      <c r="U280" s="5" t="s">
        <v>64</v>
      </c>
      <c r="V280" s="23" t="n">
        <f>137580586480</f>
        <v>1.3758058648E11</v>
      </c>
      <c r="W280" s="5" t="s">
        <v>843</v>
      </c>
      <c r="X280" s="23" t="n">
        <f>116447000</f>
        <v>1.16447E8</v>
      </c>
      <c r="Y280" s="23"/>
      <c r="Z280" s="21" t="n">
        <f>17859</f>
        <v>17859.0</v>
      </c>
      <c r="AA280" s="21" t="n">
        <f>57020</f>
        <v>57020.0</v>
      </c>
      <c r="AB280" s="4" t="s">
        <v>197</v>
      </c>
      <c r="AC280" s="22" t="n">
        <f>95748</f>
        <v>95748.0</v>
      </c>
      <c r="AD280" s="5" t="s">
        <v>94</v>
      </c>
      <c r="AE280" s="23" t="n">
        <f>56679</f>
        <v>56679.0</v>
      </c>
    </row>
    <row r="281">
      <c r="A281" s="24" t="s">
        <v>790</v>
      </c>
      <c r="B281" s="25" t="s">
        <v>791</v>
      </c>
      <c r="C281" s="26"/>
      <c r="D281" s="27"/>
      <c r="E281" s="28" t="s">
        <v>127</v>
      </c>
      <c r="F281" s="20" t="n">
        <f>122</f>
        <v>122.0</v>
      </c>
      <c r="G281" s="21" t="n">
        <f>390439</f>
        <v>390439.0</v>
      </c>
      <c r="H281" s="21"/>
      <c r="I281" s="21" t="n">
        <f>332770</f>
        <v>332770.0</v>
      </c>
      <c r="J281" s="21" t="n">
        <f>3200</f>
        <v>3200.0</v>
      </c>
      <c r="K281" s="21" t="n">
        <f>2728</f>
        <v>2728.0</v>
      </c>
      <c r="L281" s="4" t="s">
        <v>128</v>
      </c>
      <c r="M281" s="22" t="n">
        <f>51044</f>
        <v>51044.0</v>
      </c>
      <c r="N281" s="5" t="s">
        <v>853</v>
      </c>
      <c r="O281" s="23" t="n">
        <f>41</f>
        <v>41.0</v>
      </c>
      <c r="P281" s="3" t="s">
        <v>854</v>
      </c>
      <c r="Q281" s="21"/>
      <c r="R281" s="3" t="s">
        <v>855</v>
      </c>
      <c r="S281" s="21" t="n">
        <f>6787934420</f>
        <v>6.78793442E9</v>
      </c>
      <c r="T281" s="21" t="n">
        <f>5795907021</f>
        <v>5.795907021E9</v>
      </c>
      <c r="U281" s="5" t="s">
        <v>128</v>
      </c>
      <c r="V281" s="23" t="n">
        <f>109517767870</f>
        <v>1.0951776787E11</v>
      </c>
      <c r="W281" s="5" t="s">
        <v>853</v>
      </c>
      <c r="X281" s="23" t="n">
        <f>87361840</f>
        <v>8.736184E7</v>
      </c>
      <c r="Y281" s="23"/>
      <c r="Z281" s="21" t="n">
        <f>6279</f>
        <v>6279.0</v>
      </c>
      <c r="AA281" s="21" t="n">
        <f>66284</f>
        <v>66284.0</v>
      </c>
      <c r="AB281" s="4" t="s">
        <v>88</v>
      </c>
      <c r="AC281" s="22" t="n">
        <f>78381</f>
        <v>78381.0</v>
      </c>
      <c r="AD281" s="5" t="s">
        <v>856</v>
      </c>
      <c r="AE281" s="23" t="n">
        <f>57241</f>
        <v>57241.0</v>
      </c>
    </row>
    <row r="282">
      <c r="A282" s="24" t="s">
        <v>790</v>
      </c>
      <c r="B282" s="25" t="s">
        <v>791</v>
      </c>
      <c r="C282" s="26"/>
      <c r="D282" s="27"/>
      <c r="E282" s="28" t="s">
        <v>133</v>
      </c>
      <c r="F282" s="20" t="n">
        <f>122</f>
        <v>122.0</v>
      </c>
      <c r="G282" s="21" t="n">
        <f>465273</f>
        <v>465273.0</v>
      </c>
      <c r="H282" s="21"/>
      <c r="I282" s="21" t="n">
        <f>396785</f>
        <v>396785.0</v>
      </c>
      <c r="J282" s="21" t="n">
        <f>3814</f>
        <v>3814.0</v>
      </c>
      <c r="K282" s="21" t="n">
        <f>3252</f>
        <v>3252.0</v>
      </c>
      <c r="L282" s="4" t="s">
        <v>146</v>
      </c>
      <c r="M282" s="22" t="n">
        <f>69258</f>
        <v>69258.0</v>
      </c>
      <c r="N282" s="5" t="s">
        <v>178</v>
      </c>
      <c r="O282" s="23" t="n">
        <f>132</f>
        <v>132.0</v>
      </c>
      <c r="P282" s="3" t="s">
        <v>857</v>
      </c>
      <c r="Q282" s="21"/>
      <c r="R282" s="3" t="s">
        <v>858</v>
      </c>
      <c r="S282" s="21" t="n">
        <f>7433842052</f>
        <v>7.433842052E9</v>
      </c>
      <c r="T282" s="21" t="n">
        <f>6326435942</f>
        <v>6.326435942E9</v>
      </c>
      <c r="U282" s="5" t="s">
        <v>146</v>
      </c>
      <c r="V282" s="23" t="n">
        <f>130058875240</f>
        <v>1.3005887524E11</v>
      </c>
      <c r="W282" s="5" t="s">
        <v>178</v>
      </c>
      <c r="X282" s="23" t="n">
        <f>263407510</f>
        <v>2.6340751E8</v>
      </c>
      <c r="Y282" s="23"/>
      <c r="Z282" s="21" t="n">
        <f>4072</f>
        <v>4072.0</v>
      </c>
      <c r="AA282" s="21" t="n">
        <f>73190</f>
        <v>73190.0</v>
      </c>
      <c r="AB282" s="4" t="s">
        <v>68</v>
      </c>
      <c r="AC282" s="22" t="n">
        <f>86004</f>
        <v>86004.0</v>
      </c>
      <c r="AD282" s="5" t="s">
        <v>212</v>
      </c>
      <c r="AE282" s="23" t="n">
        <f>66364</f>
        <v>66364.0</v>
      </c>
    </row>
    <row r="283">
      <c r="A283" s="24" t="s">
        <v>790</v>
      </c>
      <c r="B283" s="25" t="s">
        <v>791</v>
      </c>
      <c r="C283" s="26"/>
      <c r="D283" s="27"/>
      <c r="E283" s="28" t="s">
        <v>139</v>
      </c>
      <c r="F283" s="20" t="n">
        <f>123</f>
        <v>123.0</v>
      </c>
      <c r="G283" s="21" t="n">
        <f>461567</f>
        <v>461567.0</v>
      </c>
      <c r="H283" s="21"/>
      <c r="I283" s="21" t="n">
        <f>398773</f>
        <v>398773.0</v>
      </c>
      <c r="J283" s="21" t="n">
        <f>3753</f>
        <v>3753.0</v>
      </c>
      <c r="K283" s="21" t="n">
        <f>3242</f>
        <v>3242.0</v>
      </c>
      <c r="L283" s="4" t="s">
        <v>84</v>
      </c>
      <c r="M283" s="22" t="n">
        <f>73217</f>
        <v>73217.0</v>
      </c>
      <c r="N283" s="5" t="s">
        <v>859</v>
      </c>
      <c r="O283" s="23" t="n">
        <f>52</f>
        <v>52.0</v>
      </c>
      <c r="P283" s="3" t="s">
        <v>860</v>
      </c>
      <c r="Q283" s="21"/>
      <c r="R283" s="3" t="s">
        <v>861</v>
      </c>
      <c r="S283" s="21" t="n">
        <f>7487581982</f>
        <v>7.487581982E9</v>
      </c>
      <c r="T283" s="21" t="n">
        <f>6472390278</f>
        <v>6.472390278E9</v>
      </c>
      <c r="U283" s="5" t="s">
        <v>84</v>
      </c>
      <c r="V283" s="23" t="n">
        <f>147449600010</f>
        <v>1.4744960001E11</v>
      </c>
      <c r="W283" s="5" t="s">
        <v>859</v>
      </c>
      <c r="X283" s="23" t="n">
        <f>101013000</f>
        <v>1.01013E8</v>
      </c>
      <c r="Y283" s="23"/>
      <c r="Z283" s="21" t="n">
        <f>13876</f>
        <v>13876.0</v>
      </c>
      <c r="AA283" s="21" t="n">
        <f>61775</f>
        <v>61775.0</v>
      </c>
      <c r="AB283" s="4" t="s">
        <v>71</v>
      </c>
      <c r="AC283" s="22" t="n">
        <f>88469</f>
        <v>88469.0</v>
      </c>
      <c r="AD283" s="5" t="s">
        <v>853</v>
      </c>
      <c r="AE283" s="23" t="n">
        <f>60471</f>
        <v>60471.0</v>
      </c>
    </row>
    <row r="284">
      <c r="A284" s="24" t="s">
        <v>790</v>
      </c>
      <c r="B284" s="25" t="s">
        <v>791</v>
      </c>
      <c r="C284" s="26"/>
      <c r="D284" s="27"/>
      <c r="E284" s="28" t="s">
        <v>145</v>
      </c>
      <c r="F284" s="20" t="n">
        <f>122</f>
        <v>122.0</v>
      </c>
      <c r="G284" s="21" t="n">
        <f>595254</f>
        <v>595254.0</v>
      </c>
      <c r="H284" s="21"/>
      <c r="I284" s="21" t="n">
        <f>520887</f>
        <v>520887.0</v>
      </c>
      <c r="J284" s="21" t="n">
        <f>4879</f>
        <v>4879.0</v>
      </c>
      <c r="K284" s="21" t="n">
        <f>4270</f>
        <v>4270.0</v>
      </c>
      <c r="L284" s="4" t="s">
        <v>146</v>
      </c>
      <c r="M284" s="22" t="n">
        <f>73130</f>
        <v>73130.0</v>
      </c>
      <c r="N284" s="5" t="s">
        <v>862</v>
      </c>
      <c r="O284" s="23" t="n">
        <f>64</f>
        <v>64.0</v>
      </c>
      <c r="P284" s="3" t="s">
        <v>863</v>
      </c>
      <c r="Q284" s="21"/>
      <c r="R284" s="3" t="s">
        <v>864</v>
      </c>
      <c r="S284" s="21" t="n">
        <f>9117838942</f>
        <v>9.117838942E9</v>
      </c>
      <c r="T284" s="21" t="n">
        <f>7973837036</f>
        <v>7.973837036E9</v>
      </c>
      <c r="U284" s="5" t="s">
        <v>146</v>
      </c>
      <c r="V284" s="23" t="n">
        <f>133332952312</f>
        <v>1.33332952312E11</v>
      </c>
      <c r="W284" s="5" t="s">
        <v>862</v>
      </c>
      <c r="X284" s="23" t="n">
        <f>128073000</f>
        <v>1.28073E8</v>
      </c>
      <c r="Y284" s="23"/>
      <c r="Z284" s="21" t="n">
        <f>9062</f>
        <v>9062.0</v>
      </c>
      <c r="AA284" s="21" t="n">
        <f>98661</f>
        <v>98661.0</v>
      </c>
      <c r="AB284" s="4" t="s">
        <v>300</v>
      </c>
      <c r="AC284" s="22" t="n">
        <f>118319</f>
        <v>118319.0</v>
      </c>
      <c r="AD284" s="5" t="s">
        <v>865</v>
      </c>
      <c r="AE284" s="23" t="n">
        <f>58147</f>
        <v>58147.0</v>
      </c>
    </row>
    <row r="285">
      <c r="A285" s="24" t="s">
        <v>790</v>
      </c>
      <c r="B285" s="25" t="s">
        <v>791</v>
      </c>
      <c r="C285" s="26"/>
      <c r="D285" s="27"/>
      <c r="E285" s="28" t="s">
        <v>150</v>
      </c>
      <c r="F285" s="20" t="n">
        <f>124</f>
        <v>124.0</v>
      </c>
      <c r="G285" s="21" t="n">
        <f>616451</f>
        <v>616451.0</v>
      </c>
      <c r="H285" s="21"/>
      <c r="I285" s="21" t="n">
        <f>531863</f>
        <v>531863.0</v>
      </c>
      <c r="J285" s="21" t="n">
        <f>4971</f>
        <v>4971.0</v>
      </c>
      <c r="K285" s="21" t="n">
        <f>4289</f>
        <v>4289.0</v>
      </c>
      <c r="L285" s="4" t="s">
        <v>458</v>
      </c>
      <c r="M285" s="22" t="n">
        <f>94702</f>
        <v>94702.0</v>
      </c>
      <c r="N285" s="5" t="s">
        <v>319</v>
      </c>
      <c r="O285" s="23" t="n">
        <f>50</f>
        <v>50.0</v>
      </c>
      <c r="P285" s="3" t="s">
        <v>866</v>
      </c>
      <c r="Q285" s="21"/>
      <c r="R285" s="3" t="s">
        <v>867</v>
      </c>
      <c r="S285" s="21" t="n">
        <f>9304821501</f>
        <v>9.304821501E9</v>
      </c>
      <c r="T285" s="21" t="n">
        <f>8032207796</f>
        <v>8.032207796E9</v>
      </c>
      <c r="U285" s="5" t="s">
        <v>458</v>
      </c>
      <c r="V285" s="23" t="n">
        <f>179978503320</f>
        <v>1.7997850332E11</v>
      </c>
      <c r="W285" s="5" t="s">
        <v>319</v>
      </c>
      <c r="X285" s="23" t="n">
        <f>91760000</f>
        <v>9.176E7</v>
      </c>
      <c r="Y285" s="23"/>
      <c r="Z285" s="21" t="n">
        <f>9109</f>
        <v>9109.0</v>
      </c>
      <c r="AA285" s="21" t="n">
        <f>91976</f>
        <v>91976.0</v>
      </c>
      <c r="AB285" s="4" t="s">
        <v>868</v>
      </c>
      <c r="AC285" s="22" t="n">
        <f>122050</f>
        <v>122050.0</v>
      </c>
      <c r="AD285" s="5" t="s">
        <v>869</v>
      </c>
      <c r="AE285" s="23" t="n">
        <f>88349</f>
        <v>88349.0</v>
      </c>
    </row>
    <row r="286">
      <c r="A286" s="24" t="s">
        <v>790</v>
      </c>
      <c r="B286" s="25" t="s">
        <v>791</v>
      </c>
      <c r="C286" s="26"/>
      <c r="D286" s="27"/>
      <c r="E286" s="28" t="s">
        <v>154</v>
      </c>
      <c r="F286" s="20" t="n">
        <f>120</f>
        <v>120.0</v>
      </c>
      <c r="G286" s="21" t="n">
        <f>711407</f>
        <v>711407.0</v>
      </c>
      <c r="H286" s="21"/>
      <c r="I286" s="21" t="n">
        <f>594594</f>
        <v>594594.0</v>
      </c>
      <c r="J286" s="21" t="n">
        <f>5928</f>
        <v>5928.0</v>
      </c>
      <c r="K286" s="21" t="n">
        <f>4955</f>
        <v>4955.0</v>
      </c>
      <c r="L286" s="4" t="s">
        <v>155</v>
      </c>
      <c r="M286" s="22" t="n">
        <f>101661</f>
        <v>101661.0</v>
      </c>
      <c r="N286" s="5" t="s">
        <v>167</v>
      </c>
      <c r="O286" s="23" t="n">
        <f>92</f>
        <v>92.0</v>
      </c>
      <c r="P286" s="3" t="s">
        <v>870</v>
      </c>
      <c r="Q286" s="21"/>
      <c r="R286" s="3" t="s">
        <v>871</v>
      </c>
      <c r="S286" s="21" t="n">
        <f>10435220142</f>
        <v>1.0435220142E10</v>
      </c>
      <c r="T286" s="21" t="n">
        <f>8714335819</f>
        <v>8.714335819E9</v>
      </c>
      <c r="U286" s="5" t="s">
        <v>155</v>
      </c>
      <c r="V286" s="23" t="n">
        <f>172438531420</f>
        <v>1.7243853142E11</v>
      </c>
      <c r="W286" s="5" t="s">
        <v>167</v>
      </c>
      <c r="X286" s="23" t="n">
        <f>167329560</f>
        <v>1.6732956E8</v>
      </c>
      <c r="Y286" s="23"/>
      <c r="Z286" s="21" t="n">
        <f>43604</f>
        <v>43604.0</v>
      </c>
      <c r="AA286" s="21" t="n">
        <f>71864</f>
        <v>71864.0</v>
      </c>
      <c r="AB286" s="4" t="s">
        <v>872</v>
      </c>
      <c r="AC286" s="22" t="n">
        <f>123421</f>
        <v>123421.0</v>
      </c>
      <c r="AD286" s="5" t="s">
        <v>252</v>
      </c>
      <c r="AE286" s="23" t="n">
        <f>71041</f>
        <v>71041.0</v>
      </c>
    </row>
    <row r="287">
      <c r="A287" s="24" t="s">
        <v>873</v>
      </c>
      <c r="B287" s="25" t="s">
        <v>874</v>
      </c>
      <c r="C287" s="26"/>
      <c r="D287" s="27"/>
      <c r="E287" s="28" t="s">
        <v>48</v>
      </c>
      <c r="F287" s="20" t="n">
        <f>81</f>
        <v>81.0</v>
      </c>
      <c r="G287" s="21" t="str">
        <f>"－"</f>
        <v>－</v>
      </c>
      <c r="H287" s="21"/>
      <c r="I287" s="21" t="str">
        <f>"－"</f>
        <v>－</v>
      </c>
      <c r="J287" s="21" t="str">
        <f>"－"</f>
        <v>－</v>
      </c>
      <c r="K287" s="21" t="str">
        <f>"－"</f>
        <v>－</v>
      </c>
      <c r="L287" s="4" t="s">
        <v>872</v>
      </c>
      <c r="M287" s="22" t="str">
        <f>"－"</f>
        <v>－</v>
      </c>
      <c r="N287" s="5" t="s">
        <v>872</v>
      </c>
      <c r="O287" s="23" t="str">
        <f>"－"</f>
        <v>－</v>
      </c>
      <c r="P287" s="3" t="s">
        <v>247</v>
      </c>
      <c r="Q287" s="21"/>
      <c r="R287" s="3" t="s">
        <v>247</v>
      </c>
      <c r="S287" s="21" t="str">
        <f>"－"</f>
        <v>－</v>
      </c>
      <c r="T287" s="21" t="str">
        <f>"－"</f>
        <v>－</v>
      </c>
      <c r="U287" s="5" t="s">
        <v>872</v>
      </c>
      <c r="V287" s="23" t="str">
        <f>"－"</f>
        <v>－</v>
      </c>
      <c r="W287" s="5" t="s">
        <v>872</v>
      </c>
      <c r="X287" s="23" t="str">
        <f>"－"</f>
        <v>－</v>
      </c>
      <c r="Y287" s="23"/>
      <c r="Z287" s="21" t="str">
        <f>"－"</f>
        <v>－</v>
      </c>
      <c r="AA287" s="21" t="str">
        <f>"－"</f>
        <v>－</v>
      </c>
      <c r="AB287" s="4" t="s">
        <v>872</v>
      </c>
      <c r="AC287" s="22" t="str">
        <f>"－"</f>
        <v>－</v>
      </c>
      <c r="AD287" s="5" t="s">
        <v>872</v>
      </c>
      <c r="AE287" s="23" t="str">
        <f>"－"</f>
        <v>－</v>
      </c>
    </row>
    <row r="288">
      <c r="A288" s="24" t="s">
        <v>873</v>
      </c>
      <c r="B288" s="25" t="s">
        <v>874</v>
      </c>
      <c r="C288" s="26"/>
      <c r="D288" s="27"/>
      <c r="E288" s="28" t="s">
        <v>56</v>
      </c>
      <c r="F288" s="20" t="n">
        <f>123</f>
        <v>123.0</v>
      </c>
      <c r="G288" s="21" t="str">
        <f>"－"</f>
        <v>－</v>
      </c>
      <c r="H288" s="21"/>
      <c r="I288" s="21" t="str">
        <f>"－"</f>
        <v>－</v>
      </c>
      <c r="J288" s="21" t="str">
        <f>"－"</f>
        <v>－</v>
      </c>
      <c r="K288" s="21" t="str">
        <f>"－"</f>
        <v>－</v>
      </c>
      <c r="L288" s="4" t="s">
        <v>335</v>
      </c>
      <c r="M288" s="22" t="str">
        <f>"－"</f>
        <v>－</v>
      </c>
      <c r="N288" s="5" t="s">
        <v>335</v>
      </c>
      <c r="O288" s="23" t="str">
        <f>"－"</f>
        <v>－</v>
      </c>
      <c r="P288" s="3" t="s">
        <v>247</v>
      </c>
      <c r="Q288" s="21"/>
      <c r="R288" s="3" t="s">
        <v>247</v>
      </c>
      <c r="S288" s="21" t="str">
        <f>"－"</f>
        <v>－</v>
      </c>
      <c r="T288" s="21" t="str">
        <f>"－"</f>
        <v>－</v>
      </c>
      <c r="U288" s="5" t="s">
        <v>335</v>
      </c>
      <c r="V288" s="23" t="str">
        <f>"－"</f>
        <v>－</v>
      </c>
      <c r="W288" s="5" t="s">
        <v>335</v>
      </c>
      <c r="X288" s="23" t="str">
        <f>"－"</f>
        <v>－</v>
      </c>
      <c r="Y288" s="23"/>
      <c r="Z288" s="21" t="str">
        <f>"－"</f>
        <v>－</v>
      </c>
      <c r="AA288" s="21" t="str">
        <f>"－"</f>
        <v>－</v>
      </c>
      <c r="AB288" s="4" t="s">
        <v>335</v>
      </c>
      <c r="AC288" s="22" t="str">
        <f>"－"</f>
        <v>－</v>
      </c>
      <c r="AD288" s="5" t="s">
        <v>335</v>
      </c>
      <c r="AE288" s="23" t="str">
        <f>"－"</f>
        <v>－</v>
      </c>
    </row>
    <row r="289">
      <c r="A289" s="24" t="s">
        <v>873</v>
      </c>
      <c r="B289" s="25" t="s">
        <v>874</v>
      </c>
      <c r="C289" s="26"/>
      <c r="D289" s="27"/>
      <c r="E289" s="28" t="s">
        <v>63</v>
      </c>
      <c r="F289" s="20" t="n">
        <f>122</f>
        <v>122.0</v>
      </c>
      <c r="G289" s="21" t="str">
        <f>"－"</f>
        <v>－</v>
      </c>
      <c r="H289" s="21"/>
      <c r="I289" s="21" t="str">
        <f>"－"</f>
        <v>－</v>
      </c>
      <c r="J289" s="21" t="str">
        <f>"－"</f>
        <v>－</v>
      </c>
      <c r="K289" s="21" t="str">
        <f>"－"</f>
        <v>－</v>
      </c>
      <c r="L289" s="4" t="s">
        <v>279</v>
      </c>
      <c r="M289" s="22" t="str">
        <f>"－"</f>
        <v>－</v>
      </c>
      <c r="N289" s="5" t="s">
        <v>279</v>
      </c>
      <c r="O289" s="23" t="str">
        <f>"－"</f>
        <v>－</v>
      </c>
      <c r="P289" s="3" t="s">
        <v>247</v>
      </c>
      <c r="Q289" s="21"/>
      <c r="R289" s="3" t="s">
        <v>247</v>
      </c>
      <c r="S289" s="21" t="str">
        <f>"－"</f>
        <v>－</v>
      </c>
      <c r="T289" s="21" t="str">
        <f>"－"</f>
        <v>－</v>
      </c>
      <c r="U289" s="5" t="s">
        <v>279</v>
      </c>
      <c r="V289" s="23" t="str">
        <f>"－"</f>
        <v>－</v>
      </c>
      <c r="W289" s="5" t="s">
        <v>279</v>
      </c>
      <c r="X289" s="23" t="str">
        <f>"－"</f>
        <v>－</v>
      </c>
      <c r="Y289" s="23"/>
      <c r="Z289" s="21" t="str">
        <f>"－"</f>
        <v>－</v>
      </c>
      <c r="AA289" s="21" t="str">
        <f>"－"</f>
        <v>－</v>
      </c>
      <c r="AB289" s="4" t="s">
        <v>279</v>
      </c>
      <c r="AC289" s="22" t="str">
        <f>"－"</f>
        <v>－</v>
      </c>
      <c r="AD289" s="5" t="s">
        <v>279</v>
      </c>
      <c r="AE289" s="23" t="str">
        <f>"－"</f>
        <v>－</v>
      </c>
    </row>
    <row r="290">
      <c r="A290" s="24" t="s">
        <v>873</v>
      </c>
      <c r="B290" s="25" t="s">
        <v>874</v>
      </c>
      <c r="C290" s="26"/>
      <c r="D290" s="27"/>
      <c r="E290" s="28" t="s">
        <v>70</v>
      </c>
      <c r="F290" s="20" t="n">
        <f>123</f>
        <v>123.0</v>
      </c>
      <c r="G290" s="21" t="str">
        <f>"－"</f>
        <v>－</v>
      </c>
      <c r="H290" s="21"/>
      <c r="I290" s="21" t="str">
        <f>"－"</f>
        <v>－</v>
      </c>
      <c r="J290" s="21" t="str">
        <f>"－"</f>
        <v>－</v>
      </c>
      <c r="K290" s="21" t="str">
        <f>"－"</f>
        <v>－</v>
      </c>
      <c r="L290" s="4" t="s">
        <v>335</v>
      </c>
      <c r="M290" s="22" t="str">
        <f>"－"</f>
        <v>－</v>
      </c>
      <c r="N290" s="5" t="s">
        <v>335</v>
      </c>
      <c r="O290" s="23" t="str">
        <f>"－"</f>
        <v>－</v>
      </c>
      <c r="P290" s="3" t="s">
        <v>247</v>
      </c>
      <c r="Q290" s="21"/>
      <c r="R290" s="3" t="s">
        <v>247</v>
      </c>
      <c r="S290" s="21" t="str">
        <f>"－"</f>
        <v>－</v>
      </c>
      <c r="T290" s="21" t="str">
        <f>"－"</f>
        <v>－</v>
      </c>
      <c r="U290" s="5" t="s">
        <v>335</v>
      </c>
      <c r="V290" s="23" t="str">
        <f>"－"</f>
        <v>－</v>
      </c>
      <c r="W290" s="5" t="s">
        <v>335</v>
      </c>
      <c r="X290" s="23" t="str">
        <f>"－"</f>
        <v>－</v>
      </c>
      <c r="Y290" s="23"/>
      <c r="Z290" s="21" t="str">
        <f>"－"</f>
        <v>－</v>
      </c>
      <c r="AA290" s="21" t="str">
        <f>"－"</f>
        <v>－</v>
      </c>
      <c r="AB290" s="4" t="s">
        <v>335</v>
      </c>
      <c r="AC290" s="22" t="str">
        <f>"－"</f>
        <v>－</v>
      </c>
      <c r="AD290" s="5" t="s">
        <v>335</v>
      </c>
      <c r="AE290" s="23" t="str">
        <f>"－"</f>
        <v>－</v>
      </c>
    </row>
    <row r="291">
      <c r="A291" s="24" t="s">
        <v>873</v>
      </c>
      <c r="B291" s="25" t="s">
        <v>874</v>
      </c>
      <c r="C291" s="26"/>
      <c r="D291" s="27"/>
      <c r="E291" s="28" t="s">
        <v>77</v>
      </c>
      <c r="F291" s="20" t="n">
        <f>122</f>
        <v>122.0</v>
      </c>
      <c r="G291" s="21" t="str">
        <f>"－"</f>
        <v>－</v>
      </c>
      <c r="H291" s="21"/>
      <c r="I291" s="21" t="str">
        <f>"－"</f>
        <v>－</v>
      </c>
      <c r="J291" s="21" t="str">
        <f>"－"</f>
        <v>－</v>
      </c>
      <c r="K291" s="21" t="str">
        <f>"－"</f>
        <v>－</v>
      </c>
      <c r="L291" s="4" t="s">
        <v>82</v>
      </c>
      <c r="M291" s="22" t="str">
        <f>"－"</f>
        <v>－</v>
      </c>
      <c r="N291" s="5" t="s">
        <v>82</v>
      </c>
      <c r="O291" s="23" t="str">
        <f>"－"</f>
        <v>－</v>
      </c>
      <c r="P291" s="3" t="s">
        <v>247</v>
      </c>
      <c r="Q291" s="21"/>
      <c r="R291" s="3" t="s">
        <v>247</v>
      </c>
      <c r="S291" s="21" t="str">
        <f>"－"</f>
        <v>－</v>
      </c>
      <c r="T291" s="21" t="str">
        <f>"－"</f>
        <v>－</v>
      </c>
      <c r="U291" s="5" t="s">
        <v>82</v>
      </c>
      <c r="V291" s="23" t="str">
        <f>"－"</f>
        <v>－</v>
      </c>
      <c r="W291" s="5" t="s">
        <v>82</v>
      </c>
      <c r="X291" s="23" t="str">
        <f>"－"</f>
        <v>－</v>
      </c>
      <c r="Y291" s="23"/>
      <c r="Z291" s="21" t="str">
        <f>"－"</f>
        <v>－</v>
      </c>
      <c r="AA291" s="21" t="str">
        <f>"－"</f>
        <v>－</v>
      </c>
      <c r="AB291" s="4" t="s">
        <v>82</v>
      </c>
      <c r="AC291" s="22" t="str">
        <f>"－"</f>
        <v>－</v>
      </c>
      <c r="AD291" s="5" t="s">
        <v>82</v>
      </c>
      <c r="AE291" s="23" t="str">
        <f>"－"</f>
        <v>－</v>
      </c>
    </row>
    <row r="292">
      <c r="A292" s="24" t="s">
        <v>873</v>
      </c>
      <c r="B292" s="25" t="s">
        <v>874</v>
      </c>
      <c r="C292" s="26"/>
      <c r="D292" s="27"/>
      <c r="E292" s="28" t="s">
        <v>83</v>
      </c>
      <c r="F292" s="20" t="n">
        <f>124</f>
        <v>124.0</v>
      </c>
      <c r="G292" s="21" t="str">
        <f>"－"</f>
        <v>－</v>
      </c>
      <c r="H292" s="21"/>
      <c r="I292" s="21" t="str">
        <f>"－"</f>
        <v>－</v>
      </c>
      <c r="J292" s="21" t="str">
        <f>"－"</f>
        <v>－</v>
      </c>
      <c r="K292" s="21" t="str">
        <f>"－"</f>
        <v>－</v>
      </c>
      <c r="L292" s="4" t="s">
        <v>666</v>
      </c>
      <c r="M292" s="22" t="str">
        <f>"－"</f>
        <v>－</v>
      </c>
      <c r="N292" s="5" t="s">
        <v>666</v>
      </c>
      <c r="O292" s="23" t="str">
        <f>"－"</f>
        <v>－</v>
      </c>
      <c r="P292" s="3" t="s">
        <v>247</v>
      </c>
      <c r="Q292" s="21"/>
      <c r="R292" s="3" t="s">
        <v>247</v>
      </c>
      <c r="S292" s="21" t="str">
        <f>"－"</f>
        <v>－</v>
      </c>
      <c r="T292" s="21" t="str">
        <f>"－"</f>
        <v>－</v>
      </c>
      <c r="U292" s="5" t="s">
        <v>666</v>
      </c>
      <c r="V292" s="23" t="str">
        <f>"－"</f>
        <v>－</v>
      </c>
      <c r="W292" s="5" t="s">
        <v>666</v>
      </c>
      <c r="X292" s="23" t="str">
        <f>"－"</f>
        <v>－</v>
      </c>
      <c r="Y292" s="23"/>
      <c r="Z292" s="21" t="str">
        <f>"－"</f>
        <v>－</v>
      </c>
      <c r="AA292" s="21" t="str">
        <f>"－"</f>
        <v>－</v>
      </c>
      <c r="AB292" s="4" t="s">
        <v>666</v>
      </c>
      <c r="AC292" s="22" t="str">
        <f>"－"</f>
        <v>－</v>
      </c>
      <c r="AD292" s="5" t="s">
        <v>666</v>
      </c>
      <c r="AE292" s="23" t="str">
        <f>"－"</f>
        <v>－</v>
      </c>
    </row>
    <row r="293">
      <c r="A293" s="24" t="s">
        <v>873</v>
      </c>
      <c r="B293" s="25" t="s">
        <v>874</v>
      </c>
      <c r="C293" s="26"/>
      <c r="D293" s="27"/>
      <c r="E293" s="28" t="s">
        <v>89</v>
      </c>
      <c r="F293" s="20" t="n">
        <f>121</f>
        <v>121.0</v>
      </c>
      <c r="G293" s="21" t="str">
        <f>"－"</f>
        <v>－</v>
      </c>
      <c r="H293" s="21"/>
      <c r="I293" s="21" t="str">
        <f>"－"</f>
        <v>－</v>
      </c>
      <c r="J293" s="21" t="str">
        <f>"－"</f>
        <v>－</v>
      </c>
      <c r="K293" s="21" t="str">
        <f>"－"</f>
        <v>－</v>
      </c>
      <c r="L293" s="4" t="s">
        <v>268</v>
      </c>
      <c r="M293" s="22" t="str">
        <f>"－"</f>
        <v>－</v>
      </c>
      <c r="N293" s="5" t="s">
        <v>268</v>
      </c>
      <c r="O293" s="23" t="str">
        <f>"－"</f>
        <v>－</v>
      </c>
      <c r="P293" s="3" t="s">
        <v>247</v>
      </c>
      <c r="Q293" s="21"/>
      <c r="R293" s="3" t="s">
        <v>247</v>
      </c>
      <c r="S293" s="21" t="str">
        <f>"－"</f>
        <v>－</v>
      </c>
      <c r="T293" s="21" t="str">
        <f>"－"</f>
        <v>－</v>
      </c>
      <c r="U293" s="5" t="s">
        <v>268</v>
      </c>
      <c r="V293" s="23" t="str">
        <f>"－"</f>
        <v>－</v>
      </c>
      <c r="W293" s="5" t="s">
        <v>268</v>
      </c>
      <c r="X293" s="23" t="str">
        <f>"－"</f>
        <v>－</v>
      </c>
      <c r="Y293" s="23"/>
      <c r="Z293" s="21" t="str">
        <f>"－"</f>
        <v>－</v>
      </c>
      <c r="AA293" s="21" t="str">
        <f>"－"</f>
        <v>－</v>
      </c>
      <c r="AB293" s="4" t="s">
        <v>268</v>
      </c>
      <c r="AC293" s="22" t="str">
        <f>"－"</f>
        <v>－</v>
      </c>
      <c r="AD293" s="5" t="s">
        <v>268</v>
      </c>
      <c r="AE293" s="23" t="str">
        <f>"－"</f>
        <v>－</v>
      </c>
    </row>
    <row r="294">
      <c r="A294" s="24" t="s">
        <v>873</v>
      </c>
      <c r="B294" s="25" t="s">
        <v>874</v>
      </c>
      <c r="C294" s="26"/>
      <c r="D294" s="27"/>
      <c r="E294" s="28" t="s">
        <v>95</v>
      </c>
      <c r="F294" s="20" t="n">
        <f>124</f>
        <v>124.0</v>
      </c>
      <c r="G294" s="21" t="str">
        <f>"－"</f>
        <v>－</v>
      </c>
      <c r="H294" s="21"/>
      <c r="I294" s="21" t="str">
        <f>"－"</f>
        <v>－</v>
      </c>
      <c r="J294" s="21" t="str">
        <f>"－"</f>
        <v>－</v>
      </c>
      <c r="K294" s="21" t="str">
        <f>"－"</f>
        <v>－</v>
      </c>
      <c r="L294" s="4" t="s">
        <v>263</v>
      </c>
      <c r="M294" s="22" t="str">
        <f>"－"</f>
        <v>－</v>
      </c>
      <c r="N294" s="5" t="s">
        <v>263</v>
      </c>
      <c r="O294" s="23" t="str">
        <f>"－"</f>
        <v>－</v>
      </c>
      <c r="P294" s="3" t="s">
        <v>247</v>
      </c>
      <c r="Q294" s="21"/>
      <c r="R294" s="3" t="s">
        <v>247</v>
      </c>
      <c r="S294" s="21" t="str">
        <f>"－"</f>
        <v>－</v>
      </c>
      <c r="T294" s="21" t="str">
        <f>"－"</f>
        <v>－</v>
      </c>
      <c r="U294" s="5" t="s">
        <v>263</v>
      </c>
      <c r="V294" s="23" t="str">
        <f>"－"</f>
        <v>－</v>
      </c>
      <c r="W294" s="5" t="s">
        <v>263</v>
      </c>
      <c r="X294" s="23" t="str">
        <f>"－"</f>
        <v>－</v>
      </c>
      <c r="Y294" s="23"/>
      <c r="Z294" s="21" t="str">
        <f>"－"</f>
        <v>－</v>
      </c>
      <c r="AA294" s="21" t="str">
        <f>"－"</f>
        <v>－</v>
      </c>
      <c r="AB294" s="4" t="s">
        <v>263</v>
      </c>
      <c r="AC294" s="22" t="str">
        <f>"－"</f>
        <v>－</v>
      </c>
      <c r="AD294" s="5" t="s">
        <v>263</v>
      </c>
      <c r="AE294" s="23" t="str">
        <f>"－"</f>
        <v>－</v>
      </c>
    </row>
    <row r="295">
      <c r="A295" s="24" t="s">
        <v>873</v>
      </c>
      <c r="B295" s="25" t="s">
        <v>874</v>
      </c>
      <c r="C295" s="26"/>
      <c r="D295" s="27"/>
      <c r="E295" s="28" t="s">
        <v>101</v>
      </c>
      <c r="F295" s="20" t="n">
        <f>120</f>
        <v>120.0</v>
      </c>
      <c r="G295" s="21" t="str">
        <f>"－"</f>
        <v>－</v>
      </c>
      <c r="H295" s="21"/>
      <c r="I295" s="21" t="str">
        <f>"－"</f>
        <v>－</v>
      </c>
      <c r="J295" s="21" t="str">
        <f>"－"</f>
        <v>－</v>
      </c>
      <c r="K295" s="21" t="str">
        <f>"－"</f>
        <v>－</v>
      </c>
      <c r="L295" s="4" t="s">
        <v>279</v>
      </c>
      <c r="M295" s="22" t="str">
        <f>"－"</f>
        <v>－</v>
      </c>
      <c r="N295" s="5" t="s">
        <v>279</v>
      </c>
      <c r="O295" s="23" t="str">
        <f>"－"</f>
        <v>－</v>
      </c>
      <c r="P295" s="3" t="s">
        <v>247</v>
      </c>
      <c r="Q295" s="21"/>
      <c r="R295" s="3" t="s">
        <v>247</v>
      </c>
      <c r="S295" s="21" t="str">
        <f>"－"</f>
        <v>－</v>
      </c>
      <c r="T295" s="21" t="str">
        <f>"－"</f>
        <v>－</v>
      </c>
      <c r="U295" s="5" t="s">
        <v>279</v>
      </c>
      <c r="V295" s="23" t="str">
        <f>"－"</f>
        <v>－</v>
      </c>
      <c r="W295" s="5" t="s">
        <v>279</v>
      </c>
      <c r="X295" s="23" t="str">
        <f>"－"</f>
        <v>－</v>
      </c>
      <c r="Y295" s="23"/>
      <c r="Z295" s="21" t="str">
        <f>"－"</f>
        <v>－</v>
      </c>
      <c r="AA295" s="21" t="str">
        <f>"－"</f>
        <v>－</v>
      </c>
      <c r="AB295" s="4" t="s">
        <v>279</v>
      </c>
      <c r="AC295" s="22" t="str">
        <f>"－"</f>
        <v>－</v>
      </c>
      <c r="AD295" s="5" t="s">
        <v>279</v>
      </c>
      <c r="AE295" s="23" t="str">
        <f>"－"</f>
        <v>－</v>
      </c>
    </row>
    <row r="296">
      <c r="A296" s="24" t="s">
        <v>873</v>
      </c>
      <c r="B296" s="25" t="s">
        <v>874</v>
      </c>
      <c r="C296" s="26"/>
      <c r="D296" s="27"/>
      <c r="E296" s="28" t="s">
        <v>106</v>
      </c>
      <c r="F296" s="20" t="n">
        <f>121</f>
        <v>121.0</v>
      </c>
      <c r="G296" s="21" t="str">
        <f>"－"</f>
        <v>－</v>
      </c>
      <c r="H296" s="21"/>
      <c r="I296" s="21" t="str">
        <f>"－"</f>
        <v>－</v>
      </c>
      <c r="J296" s="21" t="str">
        <f>"－"</f>
        <v>－</v>
      </c>
      <c r="K296" s="21" t="str">
        <f>"－"</f>
        <v>－</v>
      </c>
      <c r="L296" s="4" t="s">
        <v>335</v>
      </c>
      <c r="M296" s="22" t="str">
        <f>"－"</f>
        <v>－</v>
      </c>
      <c r="N296" s="5" t="s">
        <v>335</v>
      </c>
      <c r="O296" s="23" t="str">
        <f>"－"</f>
        <v>－</v>
      </c>
      <c r="P296" s="3" t="s">
        <v>247</v>
      </c>
      <c r="Q296" s="21"/>
      <c r="R296" s="3" t="s">
        <v>247</v>
      </c>
      <c r="S296" s="21" t="str">
        <f>"－"</f>
        <v>－</v>
      </c>
      <c r="T296" s="21" t="str">
        <f>"－"</f>
        <v>－</v>
      </c>
      <c r="U296" s="5" t="s">
        <v>335</v>
      </c>
      <c r="V296" s="23" t="str">
        <f>"－"</f>
        <v>－</v>
      </c>
      <c r="W296" s="5" t="s">
        <v>335</v>
      </c>
      <c r="X296" s="23" t="str">
        <f>"－"</f>
        <v>－</v>
      </c>
      <c r="Y296" s="23"/>
      <c r="Z296" s="21" t="str">
        <f>"－"</f>
        <v>－</v>
      </c>
      <c r="AA296" s="21" t="str">
        <f>"－"</f>
        <v>－</v>
      </c>
      <c r="AB296" s="4" t="s">
        <v>335</v>
      </c>
      <c r="AC296" s="22" t="str">
        <f>"－"</f>
        <v>－</v>
      </c>
      <c r="AD296" s="5" t="s">
        <v>335</v>
      </c>
      <c r="AE296" s="23" t="str">
        <f>"－"</f>
        <v>－</v>
      </c>
    </row>
    <row r="297">
      <c r="A297" s="24" t="s">
        <v>873</v>
      </c>
      <c r="B297" s="25" t="s">
        <v>874</v>
      </c>
      <c r="C297" s="26"/>
      <c r="D297" s="27"/>
      <c r="E297" s="28" t="s">
        <v>112</v>
      </c>
      <c r="F297" s="20" t="n">
        <f>120</f>
        <v>120.0</v>
      </c>
      <c r="G297" s="21" t="str">
        <f>"－"</f>
        <v>－</v>
      </c>
      <c r="H297" s="21"/>
      <c r="I297" s="21" t="str">
        <f>"－"</f>
        <v>－</v>
      </c>
      <c r="J297" s="21" t="str">
        <f>"－"</f>
        <v>－</v>
      </c>
      <c r="K297" s="21" t="str">
        <f>"－"</f>
        <v>－</v>
      </c>
      <c r="L297" s="4" t="s">
        <v>279</v>
      </c>
      <c r="M297" s="22" t="str">
        <f>"－"</f>
        <v>－</v>
      </c>
      <c r="N297" s="5" t="s">
        <v>279</v>
      </c>
      <c r="O297" s="23" t="str">
        <f>"－"</f>
        <v>－</v>
      </c>
      <c r="P297" s="3" t="s">
        <v>247</v>
      </c>
      <c r="Q297" s="21"/>
      <c r="R297" s="3" t="s">
        <v>247</v>
      </c>
      <c r="S297" s="21" t="str">
        <f>"－"</f>
        <v>－</v>
      </c>
      <c r="T297" s="21" t="str">
        <f>"－"</f>
        <v>－</v>
      </c>
      <c r="U297" s="5" t="s">
        <v>279</v>
      </c>
      <c r="V297" s="23" t="str">
        <f>"－"</f>
        <v>－</v>
      </c>
      <c r="W297" s="5" t="s">
        <v>279</v>
      </c>
      <c r="X297" s="23" t="str">
        <f>"－"</f>
        <v>－</v>
      </c>
      <c r="Y297" s="23"/>
      <c r="Z297" s="21" t="str">
        <f>"－"</f>
        <v>－</v>
      </c>
      <c r="AA297" s="21" t="str">
        <f>"－"</f>
        <v>－</v>
      </c>
      <c r="AB297" s="4" t="s">
        <v>279</v>
      </c>
      <c r="AC297" s="22" t="str">
        <f>"－"</f>
        <v>－</v>
      </c>
      <c r="AD297" s="5" t="s">
        <v>279</v>
      </c>
      <c r="AE297" s="23" t="str">
        <f>"－"</f>
        <v>－</v>
      </c>
    </row>
    <row r="298">
      <c r="A298" s="24" t="s">
        <v>873</v>
      </c>
      <c r="B298" s="25" t="s">
        <v>874</v>
      </c>
      <c r="C298" s="26"/>
      <c r="D298" s="27"/>
      <c r="E298" s="28" t="s">
        <v>118</v>
      </c>
      <c r="F298" s="20" t="n">
        <f>122</f>
        <v>122.0</v>
      </c>
      <c r="G298" s="21" t="str">
        <f>"－"</f>
        <v>－</v>
      </c>
      <c r="H298" s="21"/>
      <c r="I298" s="21" t="str">
        <f>"－"</f>
        <v>－</v>
      </c>
      <c r="J298" s="21" t="str">
        <f>"－"</f>
        <v>－</v>
      </c>
      <c r="K298" s="21" t="str">
        <f>"－"</f>
        <v>－</v>
      </c>
      <c r="L298" s="4" t="s">
        <v>335</v>
      </c>
      <c r="M298" s="22" t="str">
        <f>"－"</f>
        <v>－</v>
      </c>
      <c r="N298" s="5" t="s">
        <v>335</v>
      </c>
      <c r="O298" s="23" t="str">
        <f>"－"</f>
        <v>－</v>
      </c>
      <c r="P298" s="3" t="s">
        <v>247</v>
      </c>
      <c r="Q298" s="21"/>
      <c r="R298" s="3" t="s">
        <v>247</v>
      </c>
      <c r="S298" s="21" t="str">
        <f>"－"</f>
        <v>－</v>
      </c>
      <c r="T298" s="21" t="str">
        <f>"－"</f>
        <v>－</v>
      </c>
      <c r="U298" s="5" t="s">
        <v>335</v>
      </c>
      <c r="V298" s="23" t="str">
        <f>"－"</f>
        <v>－</v>
      </c>
      <c r="W298" s="5" t="s">
        <v>335</v>
      </c>
      <c r="X298" s="23" t="str">
        <f>"－"</f>
        <v>－</v>
      </c>
      <c r="Y298" s="23"/>
      <c r="Z298" s="21" t="str">
        <f>"－"</f>
        <v>－</v>
      </c>
      <c r="AA298" s="21" t="str">
        <f>"－"</f>
        <v>－</v>
      </c>
      <c r="AB298" s="4" t="s">
        <v>335</v>
      </c>
      <c r="AC298" s="22" t="str">
        <f>"－"</f>
        <v>－</v>
      </c>
      <c r="AD298" s="5" t="s">
        <v>335</v>
      </c>
      <c r="AE298" s="23" t="str">
        <f>"－"</f>
        <v>－</v>
      </c>
    </row>
    <row r="299">
      <c r="A299" s="24" t="s">
        <v>873</v>
      </c>
      <c r="B299" s="25" t="s">
        <v>874</v>
      </c>
      <c r="C299" s="26"/>
      <c r="D299" s="27"/>
      <c r="E299" s="28" t="s">
        <v>124</v>
      </c>
      <c r="F299" s="20" t="n">
        <f>123</f>
        <v>123.0</v>
      </c>
      <c r="G299" s="21" t="str">
        <f>"－"</f>
        <v>－</v>
      </c>
      <c r="H299" s="21"/>
      <c r="I299" s="21" t="str">
        <f>"－"</f>
        <v>－</v>
      </c>
      <c r="J299" s="21" t="str">
        <f>"－"</f>
        <v>－</v>
      </c>
      <c r="K299" s="21" t="str">
        <f>"－"</f>
        <v>－</v>
      </c>
      <c r="L299" s="4" t="s">
        <v>279</v>
      </c>
      <c r="M299" s="22" t="str">
        <f>"－"</f>
        <v>－</v>
      </c>
      <c r="N299" s="5" t="s">
        <v>279</v>
      </c>
      <c r="O299" s="23" t="str">
        <f>"－"</f>
        <v>－</v>
      </c>
      <c r="P299" s="3" t="s">
        <v>247</v>
      </c>
      <c r="Q299" s="21"/>
      <c r="R299" s="3" t="s">
        <v>247</v>
      </c>
      <c r="S299" s="21" t="str">
        <f>"－"</f>
        <v>－</v>
      </c>
      <c r="T299" s="21" t="str">
        <f>"－"</f>
        <v>－</v>
      </c>
      <c r="U299" s="5" t="s">
        <v>279</v>
      </c>
      <c r="V299" s="23" t="str">
        <f>"－"</f>
        <v>－</v>
      </c>
      <c r="W299" s="5" t="s">
        <v>279</v>
      </c>
      <c r="X299" s="23" t="str">
        <f>"－"</f>
        <v>－</v>
      </c>
      <c r="Y299" s="23"/>
      <c r="Z299" s="21" t="str">
        <f>"－"</f>
        <v>－</v>
      </c>
      <c r="AA299" s="21" t="str">
        <f>"－"</f>
        <v>－</v>
      </c>
      <c r="AB299" s="4" t="s">
        <v>279</v>
      </c>
      <c r="AC299" s="22" t="str">
        <f>"－"</f>
        <v>－</v>
      </c>
      <c r="AD299" s="5" t="s">
        <v>279</v>
      </c>
      <c r="AE299" s="23" t="str">
        <f>"－"</f>
        <v>－</v>
      </c>
    </row>
    <row r="300">
      <c r="A300" s="24" t="s">
        <v>873</v>
      </c>
      <c r="B300" s="25" t="s">
        <v>874</v>
      </c>
      <c r="C300" s="26"/>
      <c r="D300" s="27"/>
      <c r="E300" s="28" t="s">
        <v>127</v>
      </c>
      <c r="F300" s="20" t="n">
        <f>122</f>
        <v>122.0</v>
      </c>
      <c r="G300" s="21" t="str">
        <f>"－"</f>
        <v>－</v>
      </c>
      <c r="H300" s="21"/>
      <c r="I300" s="21" t="str">
        <f>"－"</f>
        <v>－</v>
      </c>
      <c r="J300" s="21" t="str">
        <f>"－"</f>
        <v>－</v>
      </c>
      <c r="K300" s="21" t="str">
        <f>"－"</f>
        <v>－</v>
      </c>
      <c r="L300" s="4" t="s">
        <v>335</v>
      </c>
      <c r="M300" s="22" t="str">
        <f>"－"</f>
        <v>－</v>
      </c>
      <c r="N300" s="5" t="s">
        <v>335</v>
      </c>
      <c r="O300" s="23" t="str">
        <f>"－"</f>
        <v>－</v>
      </c>
      <c r="P300" s="3" t="s">
        <v>247</v>
      </c>
      <c r="Q300" s="21"/>
      <c r="R300" s="3" t="s">
        <v>247</v>
      </c>
      <c r="S300" s="21" t="str">
        <f>"－"</f>
        <v>－</v>
      </c>
      <c r="T300" s="21" t="str">
        <f>"－"</f>
        <v>－</v>
      </c>
      <c r="U300" s="5" t="s">
        <v>335</v>
      </c>
      <c r="V300" s="23" t="str">
        <f>"－"</f>
        <v>－</v>
      </c>
      <c r="W300" s="5" t="s">
        <v>335</v>
      </c>
      <c r="X300" s="23" t="str">
        <f>"－"</f>
        <v>－</v>
      </c>
      <c r="Y300" s="23"/>
      <c r="Z300" s="21" t="str">
        <f>"－"</f>
        <v>－</v>
      </c>
      <c r="AA300" s="21" t="str">
        <f>"－"</f>
        <v>－</v>
      </c>
      <c r="AB300" s="4" t="s">
        <v>335</v>
      </c>
      <c r="AC300" s="22" t="str">
        <f>"－"</f>
        <v>－</v>
      </c>
      <c r="AD300" s="5" t="s">
        <v>335</v>
      </c>
      <c r="AE300" s="23" t="str">
        <f>"－"</f>
        <v>－</v>
      </c>
    </row>
    <row r="301">
      <c r="A301" s="24" t="s">
        <v>873</v>
      </c>
      <c r="B301" s="25" t="s">
        <v>874</v>
      </c>
      <c r="C301" s="26"/>
      <c r="D301" s="27"/>
      <c r="E301" s="28" t="s">
        <v>133</v>
      </c>
      <c r="F301" s="20" t="n">
        <f>122</f>
        <v>122.0</v>
      </c>
      <c r="G301" s="21" t="str">
        <f>"－"</f>
        <v>－</v>
      </c>
      <c r="H301" s="21"/>
      <c r="I301" s="21" t="str">
        <f>"－"</f>
        <v>－</v>
      </c>
      <c r="J301" s="21" t="str">
        <f>"－"</f>
        <v>－</v>
      </c>
      <c r="K301" s="21" t="str">
        <f>"－"</f>
        <v>－</v>
      </c>
      <c r="L301" s="4" t="s">
        <v>279</v>
      </c>
      <c r="M301" s="22" t="str">
        <f>"－"</f>
        <v>－</v>
      </c>
      <c r="N301" s="5" t="s">
        <v>279</v>
      </c>
      <c r="O301" s="23" t="str">
        <f>"－"</f>
        <v>－</v>
      </c>
      <c r="P301" s="3" t="s">
        <v>247</v>
      </c>
      <c r="Q301" s="21"/>
      <c r="R301" s="3" t="s">
        <v>247</v>
      </c>
      <c r="S301" s="21" t="str">
        <f>"－"</f>
        <v>－</v>
      </c>
      <c r="T301" s="21" t="str">
        <f>"－"</f>
        <v>－</v>
      </c>
      <c r="U301" s="5" t="s">
        <v>279</v>
      </c>
      <c r="V301" s="23" t="str">
        <f>"－"</f>
        <v>－</v>
      </c>
      <c r="W301" s="5" t="s">
        <v>279</v>
      </c>
      <c r="X301" s="23" t="str">
        <f>"－"</f>
        <v>－</v>
      </c>
      <c r="Y301" s="23"/>
      <c r="Z301" s="21" t="str">
        <f>"－"</f>
        <v>－</v>
      </c>
      <c r="AA301" s="21" t="str">
        <f>"－"</f>
        <v>－</v>
      </c>
      <c r="AB301" s="4" t="s">
        <v>279</v>
      </c>
      <c r="AC301" s="22" t="str">
        <f>"－"</f>
        <v>－</v>
      </c>
      <c r="AD301" s="5" t="s">
        <v>279</v>
      </c>
      <c r="AE301" s="23" t="str">
        <f>"－"</f>
        <v>－</v>
      </c>
    </row>
    <row r="302">
      <c r="A302" s="24" t="s">
        <v>873</v>
      </c>
      <c r="B302" s="25" t="s">
        <v>874</v>
      </c>
      <c r="C302" s="26"/>
      <c r="D302" s="27"/>
      <c r="E302" s="28" t="s">
        <v>139</v>
      </c>
      <c r="F302" s="20" t="n">
        <f>123</f>
        <v>123.0</v>
      </c>
      <c r="G302" s="21" t="str">
        <f>"－"</f>
        <v>－</v>
      </c>
      <c r="H302" s="21"/>
      <c r="I302" s="21" t="str">
        <f>"－"</f>
        <v>－</v>
      </c>
      <c r="J302" s="21" t="str">
        <f>"－"</f>
        <v>－</v>
      </c>
      <c r="K302" s="21" t="str">
        <f>"－"</f>
        <v>－</v>
      </c>
      <c r="L302" s="4" t="s">
        <v>335</v>
      </c>
      <c r="M302" s="22" t="str">
        <f>"－"</f>
        <v>－</v>
      </c>
      <c r="N302" s="5" t="s">
        <v>335</v>
      </c>
      <c r="O302" s="23" t="str">
        <f>"－"</f>
        <v>－</v>
      </c>
      <c r="P302" s="3" t="s">
        <v>247</v>
      </c>
      <c r="Q302" s="21"/>
      <c r="R302" s="3" t="s">
        <v>247</v>
      </c>
      <c r="S302" s="21" t="str">
        <f>"－"</f>
        <v>－</v>
      </c>
      <c r="T302" s="21" t="str">
        <f>"－"</f>
        <v>－</v>
      </c>
      <c r="U302" s="5" t="s">
        <v>335</v>
      </c>
      <c r="V302" s="23" t="str">
        <f>"－"</f>
        <v>－</v>
      </c>
      <c r="W302" s="5" t="s">
        <v>335</v>
      </c>
      <c r="X302" s="23" t="str">
        <f>"－"</f>
        <v>－</v>
      </c>
      <c r="Y302" s="23"/>
      <c r="Z302" s="21" t="str">
        <f>"－"</f>
        <v>－</v>
      </c>
      <c r="AA302" s="21" t="str">
        <f>"－"</f>
        <v>－</v>
      </c>
      <c r="AB302" s="4" t="s">
        <v>335</v>
      </c>
      <c r="AC302" s="22" t="str">
        <f>"－"</f>
        <v>－</v>
      </c>
      <c r="AD302" s="5" t="s">
        <v>335</v>
      </c>
      <c r="AE302" s="23" t="str">
        <f>"－"</f>
        <v>－</v>
      </c>
    </row>
    <row r="303">
      <c r="A303" s="24" t="s">
        <v>873</v>
      </c>
      <c r="B303" s="25" t="s">
        <v>874</v>
      </c>
      <c r="C303" s="26"/>
      <c r="D303" s="27"/>
      <c r="E303" s="28" t="s">
        <v>145</v>
      </c>
      <c r="F303" s="20" t="n">
        <f>122</f>
        <v>122.0</v>
      </c>
      <c r="G303" s="21" t="str">
        <f>"－"</f>
        <v>－</v>
      </c>
      <c r="H303" s="21"/>
      <c r="I303" s="21" t="str">
        <f>"－"</f>
        <v>－</v>
      </c>
      <c r="J303" s="21" t="str">
        <f>"－"</f>
        <v>－</v>
      </c>
      <c r="K303" s="21" t="str">
        <f>"－"</f>
        <v>－</v>
      </c>
      <c r="L303" s="4" t="s">
        <v>82</v>
      </c>
      <c r="M303" s="22" t="str">
        <f>"－"</f>
        <v>－</v>
      </c>
      <c r="N303" s="5" t="s">
        <v>82</v>
      </c>
      <c r="O303" s="23" t="str">
        <f>"－"</f>
        <v>－</v>
      </c>
      <c r="P303" s="3" t="s">
        <v>247</v>
      </c>
      <c r="Q303" s="21"/>
      <c r="R303" s="3" t="s">
        <v>247</v>
      </c>
      <c r="S303" s="21" t="str">
        <f>"－"</f>
        <v>－</v>
      </c>
      <c r="T303" s="21" t="str">
        <f>"－"</f>
        <v>－</v>
      </c>
      <c r="U303" s="5" t="s">
        <v>82</v>
      </c>
      <c r="V303" s="23" t="str">
        <f>"－"</f>
        <v>－</v>
      </c>
      <c r="W303" s="5" t="s">
        <v>82</v>
      </c>
      <c r="X303" s="23" t="str">
        <f>"－"</f>
        <v>－</v>
      </c>
      <c r="Y303" s="23"/>
      <c r="Z303" s="21" t="str">
        <f>"－"</f>
        <v>－</v>
      </c>
      <c r="AA303" s="21" t="str">
        <f>"－"</f>
        <v>－</v>
      </c>
      <c r="AB303" s="4" t="s">
        <v>82</v>
      </c>
      <c r="AC303" s="22" t="str">
        <f>"－"</f>
        <v>－</v>
      </c>
      <c r="AD303" s="5" t="s">
        <v>82</v>
      </c>
      <c r="AE303" s="23" t="str">
        <f>"－"</f>
        <v>－</v>
      </c>
    </row>
    <row r="304">
      <c r="A304" s="24" t="s">
        <v>873</v>
      </c>
      <c r="B304" s="25" t="s">
        <v>874</v>
      </c>
      <c r="C304" s="26"/>
      <c r="D304" s="27"/>
      <c r="E304" s="28" t="s">
        <v>150</v>
      </c>
      <c r="F304" s="20" t="n">
        <f>124</f>
        <v>124.0</v>
      </c>
      <c r="G304" s="21" t="str">
        <f>"－"</f>
        <v>－</v>
      </c>
      <c r="H304" s="21"/>
      <c r="I304" s="21" t="str">
        <f>"－"</f>
        <v>－</v>
      </c>
      <c r="J304" s="21" t="str">
        <f>"－"</f>
        <v>－</v>
      </c>
      <c r="K304" s="21" t="str">
        <f>"－"</f>
        <v>－</v>
      </c>
      <c r="L304" s="4" t="s">
        <v>666</v>
      </c>
      <c r="M304" s="22" t="str">
        <f>"－"</f>
        <v>－</v>
      </c>
      <c r="N304" s="5" t="s">
        <v>666</v>
      </c>
      <c r="O304" s="23" t="str">
        <f>"－"</f>
        <v>－</v>
      </c>
      <c r="P304" s="3" t="s">
        <v>247</v>
      </c>
      <c r="Q304" s="21"/>
      <c r="R304" s="3" t="s">
        <v>247</v>
      </c>
      <c r="S304" s="21" t="str">
        <f>"－"</f>
        <v>－</v>
      </c>
      <c r="T304" s="21" t="str">
        <f>"－"</f>
        <v>－</v>
      </c>
      <c r="U304" s="5" t="s">
        <v>666</v>
      </c>
      <c r="V304" s="23" t="str">
        <f>"－"</f>
        <v>－</v>
      </c>
      <c r="W304" s="5" t="s">
        <v>666</v>
      </c>
      <c r="X304" s="23" t="str">
        <f>"－"</f>
        <v>－</v>
      </c>
      <c r="Y304" s="23"/>
      <c r="Z304" s="21" t="str">
        <f>"－"</f>
        <v>－</v>
      </c>
      <c r="AA304" s="21" t="str">
        <f>"－"</f>
        <v>－</v>
      </c>
      <c r="AB304" s="4" t="s">
        <v>666</v>
      </c>
      <c r="AC304" s="22" t="str">
        <f>"－"</f>
        <v>－</v>
      </c>
      <c r="AD304" s="5" t="s">
        <v>666</v>
      </c>
      <c r="AE304" s="23" t="str">
        <f>"－"</f>
        <v>－</v>
      </c>
    </row>
    <row r="305">
      <c r="A305" s="24" t="s">
        <v>873</v>
      </c>
      <c r="B305" s="25" t="s">
        <v>874</v>
      </c>
      <c r="C305" s="26"/>
      <c r="D305" s="27"/>
      <c r="E305" s="28" t="s">
        <v>154</v>
      </c>
      <c r="F305" s="20" t="n">
        <f>120</f>
        <v>120.0</v>
      </c>
      <c r="G305" s="21" t="str">
        <f>"－"</f>
        <v>－</v>
      </c>
      <c r="H305" s="21"/>
      <c r="I305" s="21" t="str">
        <f>"－"</f>
        <v>－</v>
      </c>
      <c r="J305" s="21" t="str">
        <f>"－"</f>
        <v>－</v>
      </c>
      <c r="K305" s="21" t="str">
        <f>"－"</f>
        <v>－</v>
      </c>
      <c r="L305" s="4" t="s">
        <v>268</v>
      </c>
      <c r="M305" s="22" t="str">
        <f>"－"</f>
        <v>－</v>
      </c>
      <c r="N305" s="5" t="s">
        <v>268</v>
      </c>
      <c r="O305" s="23" t="str">
        <f>"－"</f>
        <v>－</v>
      </c>
      <c r="P305" s="3" t="s">
        <v>247</v>
      </c>
      <c r="Q305" s="21"/>
      <c r="R305" s="3" t="s">
        <v>247</v>
      </c>
      <c r="S305" s="21" t="str">
        <f>"－"</f>
        <v>－</v>
      </c>
      <c r="T305" s="21" t="str">
        <f>"－"</f>
        <v>－</v>
      </c>
      <c r="U305" s="5" t="s">
        <v>268</v>
      </c>
      <c r="V305" s="23" t="str">
        <f>"－"</f>
        <v>－</v>
      </c>
      <c r="W305" s="5" t="s">
        <v>268</v>
      </c>
      <c r="X305" s="23" t="str">
        <f>"－"</f>
        <v>－</v>
      </c>
      <c r="Y305" s="23"/>
      <c r="Z305" s="21" t="str">
        <f>"－"</f>
        <v>－</v>
      </c>
      <c r="AA305" s="21" t="str">
        <f>"－"</f>
        <v>－</v>
      </c>
      <c r="AB305" s="4" t="s">
        <v>268</v>
      </c>
      <c r="AC305" s="22" t="str">
        <f>"－"</f>
        <v>－</v>
      </c>
      <c r="AD305" s="5" t="s">
        <v>268</v>
      </c>
      <c r="AE305" s="23" t="str">
        <f>"－"</f>
        <v>－</v>
      </c>
    </row>
    <row r="306">
      <c r="A306" s="24" t="s">
        <v>875</v>
      </c>
      <c r="B306" s="25" t="s">
        <v>876</v>
      </c>
      <c r="C306" s="26"/>
      <c r="D306" s="27"/>
      <c r="E306" s="28" t="s">
        <v>70</v>
      </c>
      <c r="F306" s="20" t="n">
        <f>51</f>
        <v>51.0</v>
      </c>
      <c r="G306" s="21" t="n">
        <f>32221</f>
        <v>32221.0</v>
      </c>
      <c r="H306" s="21"/>
      <c r="I306" s="21" t="n">
        <f>2741</f>
        <v>2741.0</v>
      </c>
      <c r="J306" s="21" t="n">
        <f>632</f>
        <v>632.0</v>
      </c>
      <c r="K306" s="21" t="n">
        <f>54</f>
        <v>54.0</v>
      </c>
      <c r="L306" s="4" t="s">
        <v>217</v>
      </c>
      <c r="M306" s="22" t="n">
        <f>3270</f>
        <v>3270.0</v>
      </c>
      <c r="N306" s="5" t="s">
        <v>120</v>
      </c>
      <c r="O306" s="23" t="n">
        <f>107</f>
        <v>107.0</v>
      </c>
      <c r="P306" s="3" t="s">
        <v>877</v>
      </c>
      <c r="Q306" s="21"/>
      <c r="R306" s="3" t="s">
        <v>878</v>
      </c>
      <c r="S306" s="21" t="n">
        <f>582625380</f>
        <v>5.8262538E8</v>
      </c>
      <c r="T306" s="21" t="n">
        <f>49795095</f>
        <v>4.9795095E7</v>
      </c>
      <c r="U306" s="5" t="s">
        <v>217</v>
      </c>
      <c r="V306" s="23" t="n">
        <f>3012875360</f>
        <v>3.01287536E9</v>
      </c>
      <c r="W306" s="5" t="s">
        <v>120</v>
      </c>
      <c r="X306" s="23" t="n">
        <f>96191500</f>
        <v>9.61915E7</v>
      </c>
      <c r="Y306" s="23"/>
      <c r="Z306" s="21" t="n">
        <f>1128</f>
        <v>1128.0</v>
      </c>
      <c r="AA306" s="21" t="n">
        <f>3342</f>
        <v>3342.0</v>
      </c>
      <c r="AB306" s="4" t="s">
        <v>119</v>
      </c>
      <c r="AC306" s="22" t="n">
        <f>3682</f>
        <v>3682.0</v>
      </c>
      <c r="AD306" s="5" t="s">
        <v>217</v>
      </c>
      <c r="AE306" s="23" t="n">
        <f>1384</f>
        <v>1384.0</v>
      </c>
    </row>
    <row r="307">
      <c r="A307" s="24" t="s">
        <v>875</v>
      </c>
      <c r="B307" s="25" t="s">
        <v>876</v>
      </c>
      <c r="C307" s="26"/>
      <c r="D307" s="27"/>
      <c r="E307" s="28" t="s">
        <v>77</v>
      </c>
      <c r="F307" s="20" t="n">
        <f>122</f>
        <v>122.0</v>
      </c>
      <c r="G307" s="21" t="n">
        <f>53298</f>
        <v>53298.0</v>
      </c>
      <c r="H307" s="21"/>
      <c r="I307" s="21" t="n">
        <f>6131</f>
        <v>6131.0</v>
      </c>
      <c r="J307" s="21" t="n">
        <f>437</f>
        <v>437.0</v>
      </c>
      <c r="K307" s="21" t="n">
        <f>50</f>
        <v>50.0</v>
      </c>
      <c r="L307" s="4" t="s">
        <v>93</v>
      </c>
      <c r="M307" s="22" t="n">
        <f>4642</f>
        <v>4642.0</v>
      </c>
      <c r="N307" s="5" t="s">
        <v>504</v>
      </c>
      <c r="O307" s="23" t="n">
        <f>35</f>
        <v>35.0</v>
      </c>
      <c r="P307" s="3" t="s">
        <v>879</v>
      </c>
      <c r="Q307" s="21"/>
      <c r="R307" s="3" t="s">
        <v>880</v>
      </c>
      <c r="S307" s="21" t="n">
        <f>428297712</f>
        <v>4.28297712E8</v>
      </c>
      <c r="T307" s="21" t="n">
        <f>48943570</f>
        <v>4.894357E7</v>
      </c>
      <c r="U307" s="5" t="s">
        <v>93</v>
      </c>
      <c r="V307" s="23" t="n">
        <f>4980810960</f>
        <v>4.98081096E9</v>
      </c>
      <c r="W307" s="5" t="s">
        <v>504</v>
      </c>
      <c r="X307" s="23" t="n">
        <f>32581500</f>
        <v>3.25815E7</v>
      </c>
      <c r="Y307" s="23"/>
      <c r="Z307" s="21" t="n">
        <f>8009</f>
        <v>8009.0</v>
      </c>
      <c r="AA307" s="21" t="n">
        <f>5446</f>
        <v>5446.0</v>
      </c>
      <c r="AB307" s="4" t="s">
        <v>53</v>
      </c>
      <c r="AC307" s="22" t="n">
        <f>7006</f>
        <v>7006.0</v>
      </c>
      <c r="AD307" s="5" t="s">
        <v>82</v>
      </c>
      <c r="AE307" s="23" t="n">
        <f>3343</f>
        <v>3343.0</v>
      </c>
    </row>
    <row r="308">
      <c r="A308" s="24" t="s">
        <v>875</v>
      </c>
      <c r="B308" s="25" t="s">
        <v>876</v>
      </c>
      <c r="C308" s="26"/>
      <c r="D308" s="27"/>
      <c r="E308" s="28" t="s">
        <v>83</v>
      </c>
      <c r="F308" s="20" t="n">
        <f>124</f>
        <v>124.0</v>
      </c>
      <c r="G308" s="21" t="n">
        <f>135553</f>
        <v>135553.0</v>
      </c>
      <c r="H308" s="21"/>
      <c r="I308" s="21" t="n">
        <f>8391</f>
        <v>8391.0</v>
      </c>
      <c r="J308" s="21" t="n">
        <f>1093</f>
        <v>1093.0</v>
      </c>
      <c r="K308" s="21" t="n">
        <f>68</f>
        <v>68.0</v>
      </c>
      <c r="L308" s="4" t="s">
        <v>84</v>
      </c>
      <c r="M308" s="22" t="n">
        <f>9748</f>
        <v>9748.0</v>
      </c>
      <c r="N308" s="5" t="s">
        <v>881</v>
      </c>
      <c r="O308" s="23" t="n">
        <f>58</f>
        <v>58.0</v>
      </c>
      <c r="P308" s="3" t="s">
        <v>882</v>
      </c>
      <c r="Q308" s="21"/>
      <c r="R308" s="3" t="s">
        <v>883</v>
      </c>
      <c r="S308" s="21" t="n">
        <f>1169575145</f>
        <v>1.169575145E9</v>
      </c>
      <c r="T308" s="21" t="n">
        <f>71139447</f>
        <v>7.1139447E7</v>
      </c>
      <c r="U308" s="5" t="s">
        <v>84</v>
      </c>
      <c r="V308" s="23" t="n">
        <f>9839320780</f>
        <v>9.83932078E9</v>
      </c>
      <c r="W308" s="5" t="s">
        <v>881</v>
      </c>
      <c r="X308" s="23" t="n">
        <f>61382610</f>
        <v>6.138261E7</v>
      </c>
      <c r="Y308" s="23"/>
      <c r="Z308" s="21" t="n">
        <f>2046</f>
        <v>2046.0</v>
      </c>
      <c r="AA308" s="21" t="n">
        <f>7018</f>
        <v>7018.0</v>
      </c>
      <c r="AB308" s="4" t="s">
        <v>183</v>
      </c>
      <c r="AC308" s="22" t="n">
        <f>8089</f>
        <v>8089.0</v>
      </c>
      <c r="AD308" s="5" t="s">
        <v>107</v>
      </c>
      <c r="AE308" s="23" t="n">
        <f>3269</f>
        <v>3269.0</v>
      </c>
    </row>
    <row r="309">
      <c r="A309" s="24" t="s">
        <v>875</v>
      </c>
      <c r="B309" s="25" t="s">
        <v>876</v>
      </c>
      <c r="C309" s="26"/>
      <c r="D309" s="27"/>
      <c r="E309" s="28" t="s">
        <v>89</v>
      </c>
      <c r="F309" s="20" t="n">
        <f>121</f>
        <v>121.0</v>
      </c>
      <c r="G309" s="21" t="n">
        <f>235701</f>
        <v>235701.0</v>
      </c>
      <c r="H309" s="21"/>
      <c r="I309" s="21" t="n">
        <f>19254</f>
        <v>19254.0</v>
      </c>
      <c r="J309" s="21" t="n">
        <f>1948</f>
        <v>1948.0</v>
      </c>
      <c r="K309" s="21" t="n">
        <f>159</f>
        <v>159.0</v>
      </c>
      <c r="L309" s="4" t="s">
        <v>146</v>
      </c>
      <c r="M309" s="22" t="n">
        <f>10423</f>
        <v>10423.0</v>
      </c>
      <c r="N309" s="5" t="s">
        <v>843</v>
      </c>
      <c r="O309" s="23" t="n">
        <f>554</f>
        <v>554.0</v>
      </c>
      <c r="P309" s="3" t="s">
        <v>884</v>
      </c>
      <c r="Q309" s="21"/>
      <c r="R309" s="3" t="s">
        <v>885</v>
      </c>
      <c r="S309" s="21" t="n">
        <f>2310302317</f>
        <v>2.310302317E9</v>
      </c>
      <c r="T309" s="21" t="n">
        <f>185113729</f>
        <v>1.85113729E8</v>
      </c>
      <c r="U309" s="5" t="s">
        <v>146</v>
      </c>
      <c r="V309" s="23" t="n">
        <f>12166855200</f>
        <v>1.21668552E10</v>
      </c>
      <c r="W309" s="5" t="s">
        <v>447</v>
      </c>
      <c r="X309" s="23" t="n">
        <f>612308950</f>
        <v>6.1230895E8</v>
      </c>
      <c r="Y309" s="23"/>
      <c r="Z309" s="21" t="n">
        <f>6242</f>
        <v>6242.0</v>
      </c>
      <c r="AA309" s="21" t="n">
        <f>9878</f>
        <v>9878.0</v>
      </c>
      <c r="AB309" s="4" t="s">
        <v>202</v>
      </c>
      <c r="AC309" s="22" t="n">
        <f>13842</f>
        <v>13842.0</v>
      </c>
      <c r="AD309" s="5" t="s">
        <v>241</v>
      </c>
      <c r="AE309" s="23" t="n">
        <f>6151</f>
        <v>6151.0</v>
      </c>
    </row>
    <row r="310">
      <c r="A310" s="24" t="s">
        <v>875</v>
      </c>
      <c r="B310" s="25" t="s">
        <v>876</v>
      </c>
      <c r="C310" s="26"/>
      <c r="D310" s="27"/>
      <c r="E310" s="28" t="s">
        <v>95</v>
      </c>
      <c r="F310" s="20" t="n">
        <f>124</f>
        <v>124.0</v>
      </c>
      <c r="G310" s="21" t="n">
        <f>284259</f>
        <v>284259.0</v>
      </c>
      <c r="H310" s="21"/>
      <c r="I310" s="21" t="n">
        <f>40310</f>
        <v>40310.0</v>
      </c>
      <c r="J310" s="21" t="n">
        <f>2292</f>
        <v>2292.0</v>
      </c>
      <c r="K310" s="21" t="n">
        <f>325</f>
        <v>325.0</v>
      </c>
      <c r="L310" s="4" t="s">
        <v>144</v>
      </c>
      <c r="M310" s="22" t="n">
        <f>17106</f>
        <v>17106.0</v>
      </c>
      <c r="N310" s="5" t="s">
        <v>886</v>
      </c>
      <c r="O310" s="23" t="n">
        <f>583</f>
        <v>583.0</v>
      </c>
      <c r="P310" s="3" t="s">
        <v>887</v>
      </c>
      <c r="Q310" s="21"/>
      <c r="R310" s="3" t="s">
        <v>888</v>
      </c>
      <c r="S310" s="21" t="n">
        <f>2416891510</f>
        <v>2.41689151E9</v>
      </c>
      <c r="T310" s="21" t="n">
        <f>343539856</f>
        <v>3.43539856E8</v>
      </c>
      <c r="U310" s="5" t="s">
        <v>144</v>
      </c>
      <c r="V310" s="23" t="n">
        <f>17212943300</f>
        <v>1.72129433E10</v>
      </c>
      <c r="W310" s="5" t="s">
        <v>886</v>
      </c>
      <c r="X310" s="23" t="n">
        <f>663014720</f>
        <v>6.6301472E8</v>
      </c>
      <c r="Y310" s="23"/>
      <c r="Z310" s="21" t="n">
        <f>4422</f>
        <v>4422.0</v>
      </c>
      <c r="AA310" s="21" t="n">
        <f>13739</f>
        <v>13739.0</v>
      </c>
      <c r="AB310" s="4" t="s">
        <v>84</v>
      </c>
      <c r="AC310" s="22" t="n">
        <f>19930</f>
        <v>19930.0</v>
      </c>
      <c r="AD310" s="5" t="s">
        <v>193</v>
      </c>
      <c r="AE310" s="23" t="n">
        <f>9119</f>
        <v>9119.0</v>
      </c>
    </row>
    <row r="311">
      <c r="A311" s="24" t="s">
        <v>875</v>
      </c>
      <c r="B311" s="25" t="s">
        <v>876</v>
      </c>
      <c r="C311" s="26"/>
      <c r="D311" s="27"/>
      <c r="E311" s="28" t="s">
        <v>101</v>
      </c>
      <c r="F311" s="20" t="n">
        <f>120</f>
        <v>120.0</v>
      </c>
      <c r="G311" s="21" t="n">
        <f>440215</f>
        <v>440215.0</v>
      </c>
      <c r="H311" s="21"/>
      <c r="I311" s="21" t="n">
        <f>47659</f>
        <v>47659.0</v>
      </c>
      <c r="J311" s="21" t="n">
        <f>3668</f>
        <v>3668.0</v>
      </c>
      <c r="K311" s="21" t="n">
        <f>397</f>
        <v>397.0</v>
      </c>
      <c r="L311" s="4" t="s">
        <v>90</v>
      </c>
      <c r="M311" s="22" t="n">
        <f>15074</f>
        <v>15074.0</v>
      </c>
      <c r="N311" s="5" t="s">
        <v>889</v>
      </c>
      <c r="O311" s="23" t="n">
        <f>735</f>
        <v>735.0</v>
      </c>
      <c r="P311" s="3" t="s">
        <v>890</v>
      </c>
      <c r="Q311" s="21"/>
      <c r="R311" s="3" t="s">
        <v>891</v>
      </c>
      <c r="S311" s="21" t="n">
        <f>3349532862</f>
        <v>3.349532862E9</v>
      </c>
      <c r="T311" s="21" t="n">
        <f>372316695</f>
        <v>3.72316695E8</v>
      </c>
      <c r="U311" s="5" t="s">
        <v>90</v>
      </c>
      <c r="V311" s="23" t="n">
        <f>14080606500</f>
        <v>1.40806065E10</v>
      </c>
      <c r="W311" s="5" t="s">
        <v>889</v>
      </c>
      <c r="X311" s="23" t="n">
        <f>644819600</f>
        <v>6.448196E8</v>
      </c>
      <c r="Y311" s="23"/>
      <c r="Z311" s="21" t="n">
        <f>10145</f>
        <v>10145.0</v>
      </c>
      <c r="AA311" s="21" t="n">
        <f>12546</f>
        <v>12546.0</v>
      </c>
      <c r="AB311" s="4" t="s">
        <v>787</v>
      </c>
      <c r="AC311" s="22" t="n">
        <f>18596</f>
        <v>18596.0</v>
      </c>
      <c r="AD311" s="5" t="s">
        <v>105</v>
      </c>
      <c r="AE311" s="23" t="n">
        <f>9596</f>
        <v>9596.0</v>
      </c>
    </row>
    <row r="312">
      <c r="A312" s="24" t="s">
        <v>875</v>
      </c>
      <c r="B312" s="25" t="s">
        <v>876</v>
      </c>
      <c r="C312" s="26"/>
      <c r="D312" s="27"/>
      <c r="E312" s="28" t="s">
        <v>106</v>
      </c>
      <c r="F312" s="20" t="n">
        <f>121</f>
        <v>121.0</v>
      </c>
      <c r="G312" s="21" t="n">
        <f>220501</f>
        <v>220501.0</v>
      </c>
      <c r="H312" s="21"/>
      <c r="I312" s="21" t="n">
        <f>52300</f>
        <v>52300.0</v>
      </c>
      <c r="J312" s="21" t="n">
        <f>1822</f>
        <v>1822.0</v>
      </c>
      <c r="K312" s="21" t="n">
        <f>432</f>
        <v>432.0</v>
      </c>
      <c r="L312" s="4" t="s">
        <v>61</v>
      </c>
      <c r="M312" s="22" t="n">
        <f>19991</f>
        <v>19991.0</v>
      </c>
      <c r="N312" s="5" t="s">
        <v>892</v>
      </c>
      <c r="O312" s="23" t="n">
        <f>463</f>
        <v>463.0</v>
      </c>
      <c r="P312" s="3" t="s">
        <v>893</v>
      </c>
      <c r="Q312" s="21"/>
      <c r="R312" s="3" t="s">
        <v>894</v>
      </c>
      <c r="S312" s="21" t="n">
        <f>1602431453</f>
        <v>1.602431453E9</v>
      </c>
      <c r="T312" s="21" t="n">
        <f>375863465</f>
        <v>3.75863465E8</v>
      </c>
      <c r="U312" s="5" t="s">
        <v>61</v>
      </c>
      <c r="V312" s="23" t="n">
        <f>16936771200</f>
        <v>1.69367712E10</v>
      </c>
      <c r="W312" s="5" t="s">
        <v>892</v>
      </c>
      <c r="X312" s="23" t="n">
        <f>404801000</f>
        <v>4.04801E8</v>
      </c>
      <c r="Y312" s="23"/>
      <c r="Z312" s="21" t="n">
        <f>10276</f>
        <v>10276.0</v>
      </c>
      <c r="AA312" s="21" t="n">
        <f>11641</f>
        <v>11641.0</v>
      </c>
      <c r="AB312" s="4" t="s">
        <v>119</v>
      </c>
      <c r="AC312" s="22" t="n">
        <f>16255</f>
        <v>16255.0</v>
      </c>
      <c r="AD312" s="5" t="s">
        <v>895</v>
      </c>
      <c r="AE312" s="23" t="n">
        <f>11557</f>
        <v>11557.0</v>
      </c>
    </row>
    <row r="313">
      <c r="A313" s="24" t="s">
        <v>875</v>
      </c>
      <c r="B313" s="25" t="s">
        <v>876</v>
      </c>
      <c r="C313" s="26"/>
      <c r="D313" s="27"/>
      <c r="E313" s="28" t="s">
        <v>112</v>
      </c>
      <c r="F313" s="20" t="n">
        <f>120</f>
        <v>120.0</v>
      </c>
      <c r="G313" s="21" t="n">
        <f>377052</f>
        <v>377052.0</v>
      </c>
      <c r="H313" s="21"/>
      <c r="I313" s="21" t="n">
        <f>57254</f>
        <v>57254.0</v>
      </c>
      <c r="J313" s="21" t="n">
        <f>3142</f>
        <v>3142.0</v>
      </c>
      <c r="K313" s="21" t="n">
        <f>477</f>
        <v>477.0</v>
      </c>
      <c r="L313" s="4" t="s">
        <v>197</v>
      </c>
      <c r="M313" s="22" t="n">
        <f>28391</f>
        <v>28391.0</v>
      </c>
      <c r="N313" s="5" t="s">
        <v>896</v>
      </c>
      <c r="O313" s="23" t="n">
        <f>353</f>
        <v>353.0</v>
      </c>
      <c r="P313" s="3" t="s">
        <v>897</v>
      </c>
      <c r="Q313" s="21"/>
      <c r="R313" s="3" t="s">
        <v>898</v>
      </c>
      <c r="S313" s="21" t="n">
        <f>2334323463</f>
        <v>2.334323463E9</v>
      </c>
      <c r="T313" s="21" t="n">
        <f>365476896</f>
        <v>3.65476896E8</v>
      </c>
      <c r="U313" s="5" t="s">
        <v>197</v>
      </c>
      <c r="V313" s="23" t="n">
        <f>18656690750</f>
        <v>1.865669075E10</v>
      </c>
      <c r="W313" s="5" t="s">
        <v>896</v>
      </c>
      <c r="X313" s="23" t="n">
        <f>304884620</f>
        <v>3.0488462E8</v>
      </c>
      <c r="Y313" s="23"/>
      <c r="Z313" s="21" t="n">
        <f>18876</f>
        <v>18876.0</v>
      </c>
      <c r="AA313" s="21" t="n">
        <f>14473</f>
        <v>14473.0</v>
      </c>
      <c r="AB313" s="4" t="s">
        <v>53</v>
      </c>
      <c r="AC313" s="22" t="n">
        <f>20216</f>
        <v>20216.0</v>
      </c>
      <c r="AD313" s="5" t="s">
        <v>117</v>
      </c>
      <c r="AE313" s="23" t="n">
        <f>10875</f>
        <v>10875.0</v>
      </c>
    </row>
    <row r="314">
      <c r="A314" s="24" t="s">
        <v>875</v>
      </c>
      <c r="B314" s="25" t="s">
        <v>876</v>
      </c>
      <c r="C314" s="26"/>
      <c r="D314" s="27"/>
      <c r="E314" s="28" t="s">
        <v>118</v>
      </c>
      <c r="F314" s="20" t="n">
        <f>122</f>
        <v>122.0</v>
      </c>
      <c r="G314" s="21" t="n">
        <f>857665</f>
        <v>857665.0</v>
      </c>
      <c r="H314" s="21"/>
      <c r="I314" s="21" t="n">
        <f>73733</f>
        <v>73733.0</v>
      </c>
      <c r="J314" s="21" t="n">
        <f>7030</f>
        <v>7030.0</v>
      </c>
      <c r="K314" s="21" t="n">
        <f>604</f>
        <v>604.0</v>
      </c>
      <c r="L314" s="4" t="s">
        <v>119</v>
      </c>
      <c r="M314" s="22" t="n">
        <f>37516</f>
        <v>37516.0</v>
      </c>
      <c r="N314" s="5" t="s">
        <v>123</v>
      </c>
      <c r="O314" s="23" t="n">
        <f>1951</f>
        <v>1951.0</v>
      </c>
      <c r="P314" s="3" t="s">
        <v>899</v>
      </c>
      <c r="Q314" s="21"/>
      <c r="R314" s="3" t="s">
        <v>900</v>
      </c>
      <c r="S314" s="21" t="n">
        <f>6892297870</f>
        <v>6.89229787E9</v>
      </c>
      <c r="T314" s="21" t="n">
        <f>622951895</f>
        <v>6.22951895E8</v>
      </c>
      <c r="U314" s="5" t="s">
        <v>119</v>
      </c>
      <c r="V314" s="23" t="n">
        <f>41673037080</f>
        <v>4.167303708E10</v>
      </c>
      <c r="W314" s="5" t="s">
        <v>123</v>
      </c>
      <c r="X314" s="23" t="n">
        <f>1267845960</f>
        <v>1.26784596E9</v>
      </c>
      <c r="Y314" s="23"/>
      <c r="Z314" s="21" t="n">
        <f>26000</f>
        <v>26000.0</v>
      </c>
      <c r="AA314" s="21" t="n">
        <f>18977</f>
        <v>18977.0</v>
      </c>
      <c r="AB314" s="4" t="s">
        <v>119</v>
      </c>
      <c r="AC314" s="22" t="n">
        <f>28879</f>
        <v>28879.0</v>
      </c>
      <c r="AD314" s="5" t="s">
        <v>848</v>
      </c>
      <c r="AE314" s="23" t="n">
        <f>13015</f>
        <v>13015.0</v>
      </c>
    </row>
    <row r="315">
      <c r="A315" s="24" t="s">
        <v>875</v>
      </c>
      <c r="B315" s="25" t="s">
        <v>876</v>
      </c>
      <c r="C315" s="26"/>
      <c r="D315" s="27"/>
      <c r="E315" s="28" t="s">
        <v>124</v>
      </c>
      <c r="F315" s="20" t="n">
        <f>123</f>
        <v>123.0</v>
      </c>
      <c r="G315" s="21" t="n">
        <f>805761</f>
        <v>805761.0</v>
      </c>
      <c r="H315" s="21"/>
      <c r="I315" s="21" t="n">
        <f>86960</f>
        <v>86960.0</v>
      </c>
      <c r="J315" s="21" t="n">
        <f>6551</f>
        <v>6551.0</v>
      </c>
      <c r="K315" s="21" t="n">
        <f>707</f>
        <v>707.0</v>
      </c>
      <c r="L315" s="4" t="s">
        <v>81</v>
      </c>
      <c r="M315" s="22" t="n">
        <f>27272</f>
        <v>27272.0</v>
      </c>
      <c r="N315" s="5" t="s">
        <v>901</v>
      </c>
      <c r="O315" s="23" t="n">
        <f>1972</f>
        <v>1972.0</v>
      </c>
      <c r="P315" s="3" t="s">
        <v>902</v>
      </c>
      <c r="Q315" s="21"/>
      <c r="R315" s="3" t="s">
        <v>903</v>
      </c>
      <c r="S315" s="21" t="n">
        <f>7896696347</f>
        <v>7.896696347E9</v>
      </c>
      <c r="T315" s="21" t="n">
        <f>838267477</f>
        <v>8.38267477E8</v>
      </c>
      <c r="U315" s="5" t="s">
        <v>81</v>
      </c>
      <c r="V315" s="23" t="n">
        <f>31682341840</f>
        <v>3.168234184E10</v>
      </c>
      <c r="W315" s="5" t="s">
        <v>901</v>
      </c>
      <c r="X315" s="23" t="n">
        <f>2465975400</f>
        <v>2.4659754E9</v>
      </c>
      <c r="Y315" s="23"/>
      <c r="Z315" s="21" t="n">
        <f>64308</f>
        <v>64308.0</v>
      </c>
      <c r="AA315" s="21" t="n">
        <f>19381</f>
        <v>19381.0</v>
      </c>
      <c r="AB315" s="4" t="s">
        <v>64</v>
      </c>
      <c r="AC315" s="22" t="n">
        <f>37194</f>
        <v>37194.0</v>
      </c>
      <c r="AD315" s="5" t="s">
        <v>55</v>
      </c>
      <c r="AE315" s="23" t="n">
        <f>18764</f>
        <v>18764.0</v>
      </c>
    </row>
    <row r="316">
      <c r="A316" s="24" t="s">
        <v>875</v>
      </c>
      <c r="B316" s="25" t="s">
        <v>876</v>
      </c>
      <c r="C316" s="26"/>
      <c r="D316" s="27"/>
      <c r="E316" s="28" t="s">
        <v>127</v>
      </c>
      <c r="F316" s="20" t="n">
        <f>122</f>
        <v>122.0</v>
      </c>
      <c r="G316" s="21" t="n">
        <f>591029</f>
        <v>591029.0</v>
      </c>
      <c r="H316" s="21"/>
      <c r="I316" s="21" t="n">
        <f>119684</f>
        <v>119684.0</v>
      </c>
      <c r="J316" s="21" t="n">
        <f>4845</f>
        <v>4845.0</v>
      </c>
      <c r="K316" s="21" t="n">
        <f>981</f>
        <v>981.0</v>
      </c>
      <c r="L316" s="4" t="s">
        <v>128</v>
      </c>
      <c r="M316" s="22" t="n">
        <f>38220</f>
        <v>38220.0</v>
      </c>
      <c r="N316" s="5" t="s">
        <v>904</v>
      </c>
      <c r="O316" s="23" t="n">
        <f>1510</f>
        <v>1510.0</v>
      </c>
      <c r="P316" s="3" t="s">
        <v>905</v>
      </c>
      <c r="Q316" s="21"/>
      <c r="R316" s="3" t="s">
        <v>906</v>
      </c>
      <c r="S316" s="21" t="n">
        <f>5460001084</f>
        <v>5.460001084E9</v>
      </c>
      <c r="T316" s="21" t="n">
        <f>1113126743</f>
        <v>1.113126743E9</v>
      </c>
      <c r="U316" s="5" t="s">
        <v>128</v>
      </c>
      <c r="V316" s="23" t="n">
        <f>43501368500</f>
        <v>4.35013685E10</v>
      </c>
      <c r="W316" s="5" t="s">
        <v>859</v>
      </c>
      <c r="X316" s="23" t="n">
        <f>1774842960</f>
        <v>1.77484296E9</v>
      </c>
      <c r="Y316" s="23"/>
      <c r="Z316" s="21" t="n">
        <f>34484</f>
        <v>34484.0</v>
      </c>
      <c r="AA316" s="21" t="n">
        <f>20842</f>
        <v>20842.0</v>
      </c>
      <c r="AB316" s="4" t="s">
        <v>245</v>
      </c>
      <c r="AC316" s="22" t="n">
        <f>29802</f>
        <v>29802.0</v>
      </c>
      <c r="AD316" s="5" t="s">
        <v>848</v>
      </c>
      <c r="AE316" s="23" t="n">
        <f>18860</f>
        <v>18860.0</v>
      </c>
    </row>
    <row r="317">
      <c r="A317" s="24" t="s">
        <v>875</v>
      </c>
      <c r="B317" s="25" t="s">
        <v>876</v>
      </c>
      <c r="C317" s="26"/>
      <c r="D317" s="27"/>
      <c r="E317" s="28" t="s">
        <v>133</v>
      </c>
      <c r="F317" s="20" t="n">
        <f>122</f>
        <v>122.0</v>
      </c>
      <c r="G317" s="21" t="n">
        <f>1858801</f>
        <v>1858801.0</v>
      </c>
      <c r="H317" s="21"/>
      <c r="I317" s="21" t="n">
        <f>239591</f>
        <v>239591.0</v>
      </c>
      <c r="J317" s="21" t="n">
        <f>15236</f>
        <v>15236.0</v>
      </c>
      <c r="K317" s="21" t="n">
        <f>1964</f>
        <v>1964.0</v>
      </c>
      <c r="L317" s="4" t="s">
        <v>146</v>
      </c>
      <c r="M317" s="22" t="n">
        <f>71557</f>
        <v>71557.0</v>
      </c>
      <c r="N317" s="5" t="s">
        <v>504</v>
      </c>
      <c r="O317" s="23" t="n">
        <f>2337</f>
        <v>2337.0</v>
      </c>
      <c r="P317" s="3" t="s">
        <v>907</v>
      </c>
      <c r="Q317" s="21"/>
      <c r="R317" s="3" t="s">
        <v>908</v>
      </c>
      <c r="S317" s="21" t="n">
        <f>12344672651</f>
        <v>1.2344672651E10</v>
      </c>
      <c r="T317" s="21" t="n">
        <f>1588497524</f>
        <v>1.588497524E9</v>
      </c>
      <c r="U317" s="5" t="s">
        <v>146</v>
      </c>
      <c r="V317" s="23" t="n">
        <f>49571286400</f>
        <v>4.95712864E10</v>
      </c>
      <c r="W317" s="5" t="s">
        <v>504</v>
      </c>
      <c r="X317" s="23" t="n">
        <f>2590513060</f>
        <v>2.59051306E9</v>
      </c>
      <c r="Y317" s="23"/>
      <c r="Z317" s="21" t="n">
        <f>111412</f>
        <v>111412.0</v>
      </c>
      <c r="AA317" s="21" t="n">
        <f>34333</f>
        <v>34333.0</v>
      </c>
      <c r="AB317" s="4" t="s">
        <v>146</v>
      </c>
      <c r="AC317" s="22" t="n">
        <f>53440</f>
        <v>53440.0</v>
      </c>
      <c r="AD317" s="5" t="s">
        <v>138</v>
      </c>
      <c r="AE317" s="23" t="n">
        <f>19991</f>
        <v>19991.0</v>
      </c>
    </row>
    <row r="318">
      <c r="A318" s="24" t="s">
        <v>875</v>
      </c>
      <c r="B318" s="25" t="s">
        <v>876</v>
      </c>
      <c r="C318" s="26"/>
      <c r="D318" s="27"/>
      <c r="E318" s="28" t="s">
        <v>139</v>
      </c>
      <c r="F318" s="20" t="n">
        <f>123</f>
        <v>123.0</v>
      </c>
      <c r="G318" s="21" t="n">
        <f>1485334</f>
        <v>1485334.0</v>
      </c>
      <c r="H318" s="21"/>
      <c r="I318" s="21" t="n">
        <f>233215</f>
        <v>233215.0</v>
      </c>
      <c r="J318" s="21" t="n">
        <f>12076</f>
        <v>12076.0</v>
      </c>
      <c r="K318" s="21" t="n">
        <f>1896</f>
        <v>1896.0</v>
      </c>
      <c r="L318" s="4" t="s">
        <v>96</v>
      </c>
      <c r="M318" s="22" t="n">
        <f>74889</f>
        <v>74889.0</v>
      </c>
      <c r="N318" s="5" t="s">
        <v>909</v>
      </c>
      <c r="O318" s="23" t="n">
        <f>3601</f>
        <v>3601.0</v>
      </c>
      <c r="P318" s="3" t="s">
        <v>910</v>
      </c>
      <c r="Q318" s="21"/>
      <c r="R318" s="3" t="s">
        <v>911</v>
      </c>
      <c r="S318" s="21" t="n">
        <f>8435064832</f>
        <v>8.435064832E9</v>
      </c>
      <c r="T318" s="21" t="n">
        <f>1318384990</f>
        <v>1.31838499E9</v>
      </c>
      <c r="U318" s="5" t="s">
        <v>96</v>
      </c>
      <c r="V318" s="23" t="n">
        <f>50474027890</f>
        <v>5.047402789E10</v>
      </c>
      <c r="W318" s="5" t="s">
        <v>909</v>
      </c>
      <c r="X318" s="23" t="n">
        <f>2572660880</f>
        <v>2.57266088E9</v>
      </c>
      <c r="Y318" s="23"/>
      <c r="Z318" s="21" t="n">
        <f>118524</f>
        <v>118524.0</v>
      </c>
      <c r="AA318" s="21" t="n">
        <f>33416</f>
        <v>33416.0</v>
      </c>
      <c r="AB318" s="4" t="s">
        <v>96</v>
      </c>
      <c r="AC318" s="22" t="n">
        <f>66248</f>
        <v>66248.0</v>
      </c>
      <c r="AD318" s="5" t="s">
        <v>144</v>
      </c>
      <c r="AE318" s="23" t="n">
        <f>29940</f>
        <v>29940.0</v>
      </c>
    </row>
    <row r="319">
      <c r="A319" s="24" t="s">
        <v>875</v>
      </c>
      <c r="B319" s="25" t="s">
        <v>876</v>
      </c>
      <c r="C319" s="26"/>
      <c r="D319" s="27"/>
      <c r="E319" s="28" t="s">
        <v>145</v>
      </c>
      <c r="F319" s="20" t="n">
        <f>122</f>
        <v>122.0</v>
      </c>
      <c r="G319" s="21" t="n">
        <f>907160</f>
        <v>907160.0</v>
      </c>
      <c r="H319" s="21"/>
      <c r="I319" s="21" t="n">
        <f>172295</f>
        <v>172295.0</v>
      </c>
      <c r="J319" s="21" t="n">
        <f>7436</f>
        <v>7436.0</v>
      </c>
      <c r="K319" s="21" t="n">
        <f>1412</f>
        <v>1412.0</v>
      </c>
      <c r="L319" s="4" t="s">
        <v>541</v>
      </c>
      <c r="M319" s="22" t="n">
        <f>48179</f>
        <v>48179.0</v>
      </c>
      <c r="N319" s="5" t="s">
        <v>455</v>
      </c>
      <c r="O319" s="23" t="n">
        <f>2470</f>
        <v>2470.0</v>
      </c>
      <c r="P319" s="3" t="s">
        <v>912</v>
      </c>
      <c r="Q319" s="21"/>
      <c r="R319" s="3" t="s">
        <v>913</v>
      </c>
      <c r="S319" s="21" t="n">
        <f>5594490736</f>
        <v>5.594490736E9</v>
      </c>
      <c r="T319" s="21" t="n">
        <f>1088153953</f>
        <v>1.088153953E9</v>
      </c>
      <c r="U319" s="5" t="s">
        <v>541</v>
      </c>
      <c r="V319" s="23" t="n">
        <f>38457704200</f>
        <v>3.84577042E10</v>
      </c>
      <c r="W319" s="5" t="s">
        <v>455</v>
      </c>
      <c r="X319" s="23" t="n">
        <f>1890441250</f>
        <v>1.89044125E9</v>
      </c>
      <c r="Y319" s="23"/>
      <c r="Z319" s="21" t="n">
        <f>76251</f>
        <v>76251.0</v>
      </c>
      <c r="AA319" s="21" t="n">
        <f>30248</f>
        <v>30248.0</v>
      </c>
      <c r="AB319" s="4" t="s">
        <v>78</v>
      </c>
      <c r="AC319" s="22" t="n">
        <f>55090</f>
        <v>55090.0</v>
      </c>
      <c r="AD319" s="5" t="s">
        <v>914</v>
      </c>
      <c r="AE319" s="23" t="n">
        <f>28851</f>
        <v>28851.0</v>
      </c>
    </row>
    <row r="320">
      <c r="A320" s="24" t="s">
        <v>875</v>
      </c>
      <c r="B320" s="25" t="s">
        <v>876</v>
      </c>
      <c r="C320" s="26"/>
      <c r="D320" s="27"/>
      <c r="E320" s="28" t="s">
        <v>150</v>
      </c>
      <c r="F320" s="20" t="n">
        <f>124</f>
        <v>124.0</v>
      </c>
      <c r="G320" s="21" t="n">
        <f>978583</f>
        <v>978583.0</v>
      </c>
      <c r="H320" s="21"/>
      <c r="I320" s="21" t="n">
        <f>181183</f>
        <v>181183.0</v>
      </c>
      <c r="J320" s="21" t="n">
        <f>7892</f>
        <v>7892.0</v>
      </c>
      <c r="K320" s="21" t="n">
        <f>1461</f>
        <v>1461.0</v>
      </c>
      <c r="L320" s="4" t="s">
        <v>302</v>
      </c>
      <c r="M320" s="22" t="n">
        <f>51970</f>
        <v>51970.0</v>
      </c>
      <c r="N320" s="5" t="s">
        <v>818</v>
      </c>
      <c r="O320" s="23" t="n">
        <f>2618</f>
        <v>2618.0</v>
      </c>
      <c r="P320" s="3" t="s">
        <v>915</v>
      </c>
      <c r="Q320" s="21"/>
      <c r="R320" s="3" t="s">
        <v>916</v>
      </c>
      <c r="S320" s="21" t="n">
        <f>6045926960</f>
        <v>6.04592696E9</v>
      </c>
      <c r="T320" s="21" t="n">
        <f>1124262348</f>
        <v>1.124262348E9</v>
      </c>
      <c r="U320" s="5" t="s">
        <v>302</v>
      </c>
      <c r="V320" s="23" t="n">
        <f>39319622690</f>
        <v>3.931962269E10</v>
      </c>
      <c r="W320" s="5" t="s">
        <v>350</v>
      </c>
      <c r="X320" s="23" t="n">
        <f>1959445000</f>
        <v>1.959445E9</v>
      </c>
      <c r="Y320" s="23"/>
      <c r="Z320" s="21" t="n">
        <f>100506</f>
        <v>100506.0</v>
      </c>
      <c r="AA320" s="21" t="n">
        <f>37854</f>
        <v>37854.0</v>
      </c>
      <c r="AB320" s="4" t="s">
        <v>302</v>
      </c>
      <c r="AC320" s="22" t="n">
        <f>51378</f>
        <v>51378.0</v>
      </c>
      <c r="AD320" s="5" t="s">
        <v>666</v>
      </c>
      <c r="AE320" s="23" t="n">
        <f>30865</f>
        <v>30865.0</v>
      </c>
    </row>
    <row r="321">
      <c r="A321" s="24" t="s">
        <v>875</v>
      </c>
      <c r="B321" s="25" t="s">
        <v>876</v>
      </c>
      <c r="C321" s="26"/>
      <c r="D321" s="27"/>
      <c r="E321" s="28" t="s">
        <v>154</v>
      </c>
      <c r="F321" s="20" t="n">
        <f>120</f>
        <v>120.0</v>
      </c>
      <c r="G321" s="21" t="n">
        <f>1212458</f>
        <v>1212458.0</v>
      </c>
      <c r="H321" s="21"/>
      <c r="I321" s="21" t="n">
        <f>233761</f>
        <v>233761.0</v>
      </c>
      <c r="J321" s="21" t="n">
        <f>10104</f>
        <v>10104.0</v>
      </c>
      <c r="K321" s="21" t="n">
        <f>1948</f>
        <v>1948.0</v>
      </c>
      <c r="L321" s="4" t="s">
        <v>155</v>
      </c>
      <c r="M321" s="22" t="n">
        <f>53868</f>
        <v>53868.0</v>
      </c>
      <c r="N321" s="5" t="s">
        <v>585</v>
      </c>
      <c r="O321" s="23" t="n">
        <f>3723</f>
        <v>3723.0</v>
      </c>
      <c r="P321" s="3" t="s">
        <v>917</v>
      </c>
      <c r="Q321" s="21"/>
      <c r="R321" s="3" t="s">
        <v>918</v>
      </c>
      <c r="S321" s="21" t="n">
        <f>7136598396</f>
        <v>7.136598396E9</v>
      </c>
      <c r="T321" s="21" t="n">
        <f>1404874171</f>
        <v>1.404874171E9</v>
      </c>
      <c r="U321" s="5" t="s">
        <v>155</v>
      </c>
      <c r="V321" s="23" t="n">
        <f>40733276200</f>
        <v>4.07332762E10</v>
      </c>
      <c r="W321" s="5" t="s">
        <v>585</v>
      </c>
      <c r="X321" s="23" t="n">
        <f>2730835300</f>
        <v>2.7308353E9</v>
      </c>
      <c r="Y321" s="23"/>
      <c r="Z321" s="21" t="n">
        <f>157233</f>
        <v>157233.0</v>
      </c>
      <c r="AA321" s="21" t="n">
        <f>43431</f>
        <v>43431.0</v>
      </c>
      <c r="AB321" s="4" t="s">
        <v>658</v>
      </c>
      <c r="AC321" s="22" t="n">
        <f>63481</f>
        <v>63481.0</v>
      </c>
      <c r="AD321" s="5" t="s">
        <v>268</v>
      </c>
      <c r="AE321" s="23" t="n">
        <f>37998</f>
        <v>37998.0</v>
      </c>
    </row>
    <row r="322">
      <c r="A322" s="24" t="s">
        <v>919</v>
      </c>
      <c r="B322" s="25" t="s">
        <v>920</v>
      </c>
      <c r="C322" s="26"/>
      <c r="D322" s="27"/>
      <c r="E322" s="28" t="s">
        <v>48</v>
      </c>
      <c r="F322" s="20" t="n">
        <f>81</f>
        <v>81.0</v>
      </c>
      <c r="G322" s="21" t="n">
        <f>29281</f>
        <v>29281.0</v>
      </c>
      <c r="H322" s="21"/>
      <c r="I322" s="21" t="str">
        <f>"－"</f>
        <v>－</v>
      </c>
      <c r="J322" s="21" t="n">
        <f>361</f>
        <v>361.0</v>
      </c>
      <c r="K322" s="21" t="str">
        <f>"－"</f>
        <v>－</v>
      </c>
      <c r="L322" s="4" t="s">
        <v>160</v>
      </c>
      <c r="M322" s="22" t="n">
        <f>1071</f>
        <v>1071.0</v>
      </c>
      <c r="N322" s="5" t="s">
        <v>921</v>
      </c>
      <c r="O322" s="23" t="n">
        <f>43</f>
        <v>43.0</v>
      </c>
      <c r="P322" s="3" t="s">
        <v>922</v>
      </c>
      <c r="Q322" s="21"/>
      <c r="R322" s="3" t="s">
        <v>247</v>
      </c>
      <c r="S322" s="21" t="n">
        <f>636760636</f>
        <v>6.36760636E8</v>
      </c>
      <c r="T322" s="21" t="str">
        <f>"－"</f>
        <v>－</v>
      </c>
      <c r="U322" s="5" t="s">
        <v>160</v>
      </c>
      <c r="V322" s="23" t="n">
        <f>1848186500</f>
        <v>1.8481865E9</v>
      </c>
      <c r="W322" s="5" t="s">
        <v>921</v>
      </c>
      <c r="X322" s="23" t="n">
        <f>78152900</f>
        <v>7.81529E7</v>
      </c>
      <c r="Y322" s="23"/>
      <c r="Z322" s="21" t="n">
        <f>298</f>
        <v>298.0</v>
      </c>
      <c r="AA322" s="21" t="n">
        <f>409</f>
        <v>409.0</v>
      </c>
      <c r="AB322" s="4" t="s">
        <v>298</v>
      </c>
      <c r="AC322" s="22" t="n">
        <f>1247</f>
        <v>1247.0</v>
      </c>
      <c r="AD322" s="5" t="s">
        <v>923</v>
      </c>
      <c r="AE322" s="23" t="n">
        <f>402</f>
        <v>402.0</v>
      </c>
    </row>
    <row r="323">
      <c r="A323" s="24" t="s">
        <v>919</v>
      </c>
      <c r="B323" s="25" t="s">
        <v>920</v>
      </c>
      <c r="C323" s="26"/>
      <c r="D323" s="27"/>
      <c r="E323" s="28" t="s">
        <v>56</v>
      </c>
      <c r="F323" s="20" t="n">
        <f>123</f>
        <v>123.0</v>
      </c>
      <c r="G323" s="21" t="n">
        <f>39400</f>
        <v>39400.0</v>
      </c>
      <c r="H323" s="21"/>
      <c r="I323" s="21" t="str">
        <f>"－"</f>
        <v>－</v>
      </c>
      <c r="J323" s="21" t="n">
        <f>320</f>
        <v>320.0</v>
      </c>
      <c r="K323" s="21" t="str">
        <f>"－"</f>
        <v>－</v>
      </c>
      <c r="L323" s="4" t="s">
        <v>312</v>
      </c>
      <c r="M323" s="22" t="n">
        <f>1102</f>
        <v>1102.0</v>
      </c>
      <c r="N323" s="5" t="s">
        <v>924</v>
      </c>
      <c r="O323" s="23" t="n">
        <f>71</f>
        <v>71.0</v>
      </c>
      <c r="P323" s="3" t="s">
        <v>925</v>
      </c>
      <c r="Q323" s="21"/>
      <c r="R323" s="3" t="s">
        <v>247</v>
      </c>
      <c r="S323" s="21" t="n">
        <f>559469911</f>
        <v>5.59469911E8</v>
      </c>
      <c r="T323" s="21" t="str">
        <f>"－"</f>
        <v>－</v>
      </c>
      <c r="U323" s="5" t="s">
        <v>312</v>
      </c>
      <c r="V323" s="23" t="n">
        <f>1911487000</f>
        <v>1.911487E9</v>
      </c>
      <c r="W323" s="5" t="s">
        <v>924</v>
      </c>
      <c r="X323" s="23" t="n">
        <f>127459200</f>
        <v>1.274592E8</v>
      </c>
      <c r="Y323" s="23"/>
      <c r="Z323" s="21" t="n">
        <f>558</f>
        <v>558.0</v>
      </c>
      <c r="AA323" s="21" t="n">
        <f>343</f>
        <v>343.0</v>
      </c>
      <c r="AB323" s="4" t="s">
        <v>909</v>
      </c>
      <c r="AC323" s="22" t="n">
        <f>1493</f>
        <v>1493.0</v>
      </c>
      <c r="AD323" s="5" t="s">
        <v>450</v>
      </c>
      <c r="AE323" s="23" t="n">
        <f>288</f>
        <v>288.0</v>
      </c>
    </row>
    <row r="324">
      <c r="A324" s="24" t="s">
        <v>919</v>
      </c>
      <c r="B324" s="25" t="s">
        <v>920</v>
      </c>
      <c r="C324" s="26"/>
      <c r="D324" s="27"/>
      <c r="E324" s="28" t="s">
        <v>63</v>
      </c>
      <c r="F324" s="20" t="n">
        <f>122</f>
        <v>122.0</v>
      </c>
      <c r="G324" s="21" t="n">
        <f>27263</f>
        <v>27263.0</v>
      </c>
      <c r="H324" s="21"/>
      <c r="I324" s="21" t="str">
        <f>"－"</f>
        <v>－</v>
      </c>
      <c r="J324" s="21" t="n">
        <f>223</f>
        <v>223.0</v>
      </c>
      <c r="K324" s="21" t="str">
        <f>"－"</f>
        <v>－</v>
      </c>
      <c r="L324" s="4" t="s">
        <v>440</v>
      </c>
      <c r="M324" s="22" t="n">
        <f>822</f>
        <v>822.0</v>
      </c>
      <c r="N324" s="5" t="s">
        <v>65</v>
      </c>
      <c r="O324" s="23" t="n">
        <f>25</f>
        <v>25.0</v>
      </c>
      <c r="P324" s="3" t="s">
        <v>926</v>
      </c>
      <c r="Q324" s="21"/>
      <c r="R324" s="3" t="s">
        <v>247</v>
      </c>
      <c r="S324" s="21" t="n">
        <f>378548252</f>
        <v>3.78548252E8</v>
      </c>
      <c r="T324" s="21" t="str">
        <f>"－"</f>
        <v>－</v>
      </c>
      <c r="U324" s="5" t="s">
        <v>440</v>
      </c>
      <c r="V324" s="23" t="n">
        <f>1428935900</f>
        <v>1.4289359E9</v>
      </c>
      <c r="W324" s="5" t="s">
        <v>65</v>
      </c>
      <c r="X324" s="23" t="n">
        <f>43455900</f>
        <v>4.34559E7</v>
      </c>
      <c r="Y324" s="23"/>
      <c r="Z324" s="21" t="n">
        <f>186</f>
        <v>186.0</v>
      </c>
      <c r="AA324" s="21" t="n">
        <f>729</f>
        <v>729.0</v>
      </c>
      <c r="AB324" s="4" t="s">
        <v>914</v>
      </c>
      <c r="AC324" s="22" t="n">
        <f>1383</f>
        <v>1383.0</v>
      </c>
      <c r="AD324" s="5" t="s">
        <v>65</v>
      </c>
      <c r="AE324" s="23" t="n">
        <f>272</f>
        <v>272.0</v>
      </c>
    </row>
    <row r="325">
      <c r="A325" s="24" t="s">
        <v>919</v>
      </c>
      <c r="B325" s="25" t="s">
        <v>920</v>
      </c>
      <c r="C325" s="26"/>
      <c r="D325" s="27"/>
      <c r="E325" s="28" t="s">
        <v>70</v>
      </c>
      <c r="F325" s="20" t="n">
        <f>123</f>
        <v>123.0</v>
      </c>
      <c r="G325" s="21" t="n">
        <f>32172</f>
        <v>32172.0</v>
      </c>
      <c r="H325" s="21"/>
      <c r="I325" s="21" t="str">
        <f>"－"</f>
        <v>－</v>
      </c>
      <c r="J325" s="21" t="n">
        <f>262</f>
        <v>262.0</v>
      </c>
      <c r="K325" s="21" t="str">
        <f>"－"</f>
        <v>－</v>
      </c>
      <c r="L325" s="4" t="s">
        <v>927</v>
      </c>
      <c r="M325" s="22" t="n">
        <f>1092</f>
        <v>1092.0</v>
      </c>
      <c r="N325" s="5" t="s">
        <v>84</v>
      </c>
      <c r="O325" s="23" t="n">
        <f>44</f>
        <v>44.0</v>
      </c>
      <c r="P325" s="3" t="s">
        <v>928</v>
      </c>
      <c r="Q325" s="21"/>
      <c r="R325" s="3" t="s">
        <v>247</v>
      </c>
      <c r="S325" s="21" t="n">
        <f>468793767</f>
        <v>4.68793767E8</v>
      </c>
      <c r="T325" s="21" t="str">
        <f>"－"</f>
        <v>－</v>
      </c>
      <c r="U325" s="5" t="s">
        <v>927</v>
      </c>
      <c r="V325" s="23" t="n">
        <f>1978889100</f>
        <v>1.9788891E9</v>
      </c>
      <c r="W325" s="5" t="s">
        <v>84</v>
      </c>
      <c r="X325" s="23" t="n">
        <f>81267200</f>
        <v>8.12672E7</v>
      </c>
      <c r="Y325" s="23"/>
      <c r="Z325" s="21" t="n">
        <f>1081</f>
        <v>1081.0</v>
      </c>
      <c r="AA325" s="21" t="n">
        <f>2272</f>
        <v>2272.0</v>
      </c>
      <c r="AB325" s="4" t="s">
        <v>927</v>
      </c>
      <c r="AC325" s="22" t="n">
        <f>2295</f>
        <v>2295.0</v>
      </c>
      <c r="AD325" s="5" t="s">
        <v>834</v>
      </c>
      <c r="AE325" s="23" t="n">
        <f>401</f>
        <v>401.0</v>
      </c>
    </row>
    <row r="326">
      <c r="A326" s="24" t="s">
        <v>919</v>
      </c>
      <c r="B326" s="25" t="s">
        <v>920</v>
      </c>
      <c r="C326" s="26"/>
      <c r="D326" s="27"/>
      <c r="E326" s="28" t="s">
        <v>77</v>
      </c>
      <c r="F326" s="20" t="n">
        <f>122</f>
        <v>122.0</v>
      </c>
      <c r="G326" s="21" t="n">
        <f>32202</f>
        <v>32202.0</v>
      </c>
      <c r="H326" s="21"/>
      <c r="I326" s="21" t="str">
        <f>"－"</f>
        <v>－</v>
      </c>
      <c r="J326" s="21" t="n">
        <f>264</f>
        <v>264.0</v>
      </c>
      <c r="K326" s="21" t="str">
        <f>"－"</f>
        <v>－</v>
      </c>
      <c r="L326" s="4" t="s">
        <v>175</v>
      </c>
      <c r="M326" s="22" t="n">
        <f>1022</f>
        <v>1022.0</v>
      </c>
      <c r="N326" s="5" t="s">
        <v>134</v>
      </c>
      <c r="O326" s="23" t="n">
        <f>20</f>
        <v>20.0</v>
      </c>
      <c r="P326" s="3" t="s">
        <v>929</v>
      </c>
      <c r="Q326" s="21"/>
      <c r="R326" s="3" t="s">
        <v>247</v>
      </c>
      <c r="S326" s="21" t="n">
        <f>514580748</f>
        <v>5.14580748E8</v>
      </c>
      <c r="T326" s="21" t="str">
        <f>"－"</f>
        <v>－</v>
      </c>
      <c r="U326" s="5" t="s">
        <v>175</v>
      </c>
      <c r="V326" s="23" t="n">
        <f>1829766500</f>
        <v>1.8297665E9</v>
      </c>
      <c r="W326" s="5" t="s">
        <v>134</v>
      </c>
      <c r="X326" s="23" t="n">
        <f>39547400</f>
        <v>3.95474E7</v>
      </c>
      <c r="Y326" s="23"/>
      <c r="Z326" s="21" t="n">
        <f>2601</f>
        <v>2601.0</v>
      </c>
      <c r="AA326" s="21" t="n">
        <f>745</f>
        <v>745.0</v>
      </c>
      <c r="AB326" s="4" t="s">
        <v>194</v>
      </c>
      <c r="AC326" s="22" t="n">
        <f>2373</f>
        <v>2373.0</v>
      </c>
      <c r="AD326" s="5" t="s">
        <v>914</v>
      </c>
      <c r="AE326" s="23" t="n">
        <f>502</f>
        <v>502.0</v>
      </c>
    </row>
    <row r="327">
      <c r="A327" s="24" t="s">
        <v>919</v>
      </c>
      <c r="B327" s="25" t="s">
        <v>920</v>
      </c>
      <c r="C327" s="26"/>
      <c r="D327" s="27"/>
      <c r="E327" s="28" t="s">
        <v>83</v>
      </c>
      <c r="F327" s="20" t="n">
        <f>124</f>
        <v>124.0</v>
      </c>
      <c r="G327" s="21" t="n">
        <f>36900</f>
        <v>36900.0</v>
      </c>
      <c r="H327" s="21"/>
      <c r="I327" s="21" t="str">
        <f>"－"</f>
        <v>－</v>
      </c>
      <c r="J327" s="21" t="n">
        <f>298</f>
        <v>298.0</v>
      </c>
      <c r="K327" s="21" t="str">
        <f>"－"</f>
        <v>－</v>
      </c>
      <c r="L327" s="4" t="s">
        <v>930</v>
      </c>
      <c r="M327" s="22" t="n">
        <f>1669</f>
        <v>1669.0</v>
      </c>
      <c r="N327" s="5" t="s">
        <v>931</v>
      </c>
      <c r="O327" s="23" t="n">
        <f>21</f>
        <v>21.0</v>
      </c>
      <c r="P327" s="3" t="s">
        <v>932</v>
      </c>
      <c r="Q327" s="21"/>
      <c r="R327" s="3" t="s">
        <v>247</v>
      </c>
      <c r="S327" s="21" t="n">
        <f>642442354</f>
        <v>6.42442354E8</v>
      </c>
      <c r="T327" s="21" t="str">
        <f>"－"</f>
        <v>－</v>
      </c>
      <c r="U327" s="5" t="s">
        <v>930</v>
      </c>
      <c r="V327" s="23" t="n">
        <f>3691748000</f>
        <v>3.691748E9</v>
      </c>
      <c r="W327" s="5" t="s">
        <v>931</v>
      </c>
      <c r="X327" s="23" t="n">
        <f>43762200</f>
        <v>4.37622E7</v>
      </c>
      <c r="Y327" s="23"/>
      <c r="Z327" s="21" t="n">
        <f>949</f>
        <v>949.0</v>
      </c>
      <c r="AA327" s="21" t="n">
        <f>1240</f>
        <v>1240.0</v>
      </c>
      <c r="AB327" s="4" t="s">
        <v>909</v>
      </c>
      <c r="AC327" s="22" t="n">
        <f>2596</f>
        <v>2596.0</v>
      </c>
      <c r="AD327" s="5" t="s">
        <v>751</v>
      </c>
      <c r="AE327" s="23" t="n">
        <f>584</f>
        <v>584.0</v>
      </c>
    </row>
    <row r="328">
      <c r="A328" s="24" t="s">
        <v>919</v>
      </c>
      <c r="B328" s="25" t="s">
        <v>920</v>
      </c>
      <c r="C328" s="26"/>
      <c r="D328" s="27"/>
      <c r="E328" s="28" t="s">
        <v>89</v>
      </c>
      <c r="F328" s="20" t="n">
        <f>121</f>
        <v>121.0</v>
      </c>
      <c r="G328" s="21" t="n">
        <f>104680</f>
        <v>104680.0</v>
      </c>
      <c r="H328" s="21"/>
      <c r="I328" s="21" t="str">
        <f>"－"</f>
        <v>－</v>
      </c>
      <c r="J328" s="21" t="n">
        <f>865</f>
        <v>865.0</v>
      </c>
      <c r="K328" s="21" t="str">
        <f>"－"</f>
        <v>－</v>
      </c>
      <c r="L328" s="4" t="s">
        <v>102</v>
      </c>
      <c r="M328" s="22" t="n">
        <f>5288</f>
        <v>5288.0</v>
      </c>
      <c r="N328" s="5" t="s">
        <v>809</v>
      </c>
      <c r="O328" s="23" t="n">
        <f>70</f>
        <v>70.0</v>
      </c>
      <c r="P328" s="3" t="s">
        <v>933</v>
      </c>
      <c r="Q328" s="21"/>
      <c r="R328" s="3" t="s">
        <v>247</v>
      </c>
      <c r="S328" s="21" t="n">
        <f>2160230390</f>
        <v>2.16023039E9</v>
      </c>
      <c r="T328" s="21" t="str">
        <f>"－"</f>
        <v>－</v>
      </c>
      <c r="U328" s="5" t="s">
        <v>102</v>
      </c>
      <c r="V328" s="23" t="n">
        <f>13554111800</f>
        <v>1.35541118E10</v>
      </c>
      <c r="W328" s="5" t="s">
        <v>809</v>
      </c>
      <c r="X328" s="23" t="n">
        <f>164786000</f>
        <v>1.64786E8</v>
      </c>
      <c r="Y328" s="23"/>
      <c r="Z328" s="21" t="n">
        <f>45</f>
        <v>45.0</v>
      </c>
      <c r="AA328" s="21" t="n">
        <f>638</f>
        <v>638.0</v>
      </c>
      <c r="AB328" s="4" t="s">
        <v>934</v>
      </c>
      <c r="AC328" s="22" t="n">
        <f>3893</f>
        <v>3893.0</v>
      </c>
      <c r="AD328" s="5" t="s">
        <v>585</v>
      </c>
      <c r="AE328" s="23" t="n">
        <f>578</f>
        <v>578.0</v>
      </c>
    </row>
    <row r="329">
      <c r="A329" s="24" t="s">
        <v>919</v>
      </c>
      <c r="B329" s="25" t="s">
        <v>920</v>
      </c>
      <c r="C329" s="26"/>
      <c r="D329" s="27"/>
      <c r="E329" s="28" t="s">
        <v>95</v>
      </c>
      <c r="F329" s="20" t="n">
        <f>124</f>
        <v>124.0</v>
      </c>
      <c r="G329" s="21" t="n">
        <f>72196</f>
        <v>72196.0</v>
      </c>
      <c r="H329" s="21"/>
      <c r="I329" s="21" t="str">
        <f>"－"</f>
        <v>－</v>
      </c>
      <c r="J329" s="21" t="n">
        <f>582</f>
        <v>582.0</v>
      </c>
      <c r="K329" s="21" t="str">
        <f>"－"</f>
        <v>－</v>
      </c>
      <c r="L329" s="4" t="s">
        <v>672</v>
      </c>
      <c r="M329" s="22" t="n">
        <f>1935</f>
        <v>1935.0</v>
      </c>
      <c r="N329" s="5" t="s">
        <v>263</v>
      </c>
      <c r="O329" s="23" t="n">
        <f>70</f>
        <v>70.0</v>
      </c>
      <c r="P329" s="3" t="s">
        <v>935</v>
      </c>
      <c r="Q329" s="21"/>
      <c r="R329" s="3" t="s">
        <v>247</v>
      </c>
      <c r="S329" s="21" t="n">
        <f>1445867969</f>
        <v>1.445867969E9</v>
      </c>
      <c r="T329" s="21" t="str">
        <f>"－"</f>
        <v>－</v>
      </c>
      <c r="U329" s="5" t="s">
        <v>672</v>
      </c>
      <c r="V329" s="23" t="n">
        <f>4612889300</f>
        <v>4.6128893E9</v>
      </c>
      <c r="W329" s="5" t="s">
        <v>263</v>
      </c>
      <c r="X329" s="23" t="n">
        <f>168658500</f>
        <v>1.686585E8</v>
      </c>
      <c r="Y329" s="23"/>
      <c r="Z329" s="21" t="n">
        <f>380</f>
        <v>380.0</v>
      </c>
      <c r="AA329" s="21" t="n">
        <f>799</f>
        <v>799.0</v>
      </c>
      <c r="AB329" s="4" t="s">
        <v>76</v>
      </c>
      <c r="AC329" s="22" t="n">
        <f>1709</f>
        <v>1709.0</v>
      </c>
      <c r="AD329" s="5" t="s">
        <v>936</v>
      </c>
      <c r="AE329" s="23" t="n">
        <f>474</f>
        <v>474.0</v>
      </c>
    </row>
    <row r="330">
      <c r="A330" s="24" t="s">
        <v>919</v>
      </c>
      <c r="B330" s="25" t="s">
        <v>920</v>
      </c>
      <c r="C330" s="26"/>
      <c r="D330" s="27"/>
      <c r="E330" s="28" t="s">
        <v>101</v>
      </c>
      <c r="F330" s="20" t="n">
        <f>120</f>
        <v>120.0</v>
      </c>
      <c r="G330" s="21" t="n">
        <f>143226</f>
        <v>143226.0</v>
      </c>
      <c r="H330" s="21"/>
      <c r="I330" s="21" t="str">
        <f>"－"</f>
        <v>－</v>
      </c>
      <c r="J330" s="21" t="n">
        <f>1194</f>
        <v>1194.0</v>
      </c>
      <c r="K330" s="21" t="str">
        <f>"－"</f>
        <v>－</v>
      </c>
      <c r="L330" s="4" t="s">
        <v>528</v>
      </c>
      <c r="M330" s="22" t="n">
        <f>4104</f>
        <v>4104.0</v>
      </c>
      <c r="N330" s="5" t="s">
        <v>279</v>
      </c>
      <c r="O330" s="23" t="n">
        <f>234</f>
        <v>234.0</v>
      </c>
      <c r="P330" s="3" t="s">
        <v>937</v>
      </c>
      <c r="Q330" s="21"/>
      <c r="R330" s="3" t="s">
        <v>247</v>
      </c>
      <c r="S330" s="21" t="n">
        <f>2979514636</f>
        <v>2.979514636E9</v>
      </c>
      <c r="T330" s="21" t="str">
        <f>"－"</f>
        <v>－</v>
      </c>
      <c r="U330" s="5" t="s">
        <v>528</v>
      </c>
      <c r="V330" s="23" t="n">
        <f>10375859500</f>
        <v>1.03758595E10</v>
      </c>
      <c r="W330" s="5" t="s">
        <v>279</v>
      </c>
      <c r="X330" s="23" t="n">
        <f>619734300</f>
        <v>6.197343E8</v>
      </c>
      <c r="Y330" s="23"/>
      <c r="Z330" s="21" t="n">
        <f>220</f>
        <v>220.0</v>
      </c>
      <c r="AA330" s="21" t="n">
        <f>2609</f>
        <v>2609.0</v>
      </c>
      <c r="AB330" s="4" t="s">
        <v>440</v>
      </c>
      <c r="AC330" s="22" t="n">
        <f>4132</f>
        <v>4132.0</v>
      </c>
      <c r="AD330" s="5" t="s">
        <v>279</v>
      </c>
      <c r="AE330" s="23" t="n">
        <f>773</f>
        <v>773.0</v>
      </c>
    </row>
    <row r="331">
      <c r="A331" s="24" t="s">
        <v>919</v>
      </c>
      <c r="B331" s="25" t="s">
        <v>920</v>
      </c>
      <c r="C331" s="26"/>
      <c r="D331" s="27"/>
      <c r="E331" s="28" t="s">
        <v>106</v>
      </c>
      <c r="F331" s="20" t="n">
        <f>121</f>
        <v>121.0</v>
      </c>
      <c r="G331" s="21" t="n">
        <f>158920</f>
        <v>158920.0</v>
      </c>
      <c r="H331" s="21"/>
      <c r="I331" s="21" t="n">
        <f>992</f>
        <v>992.0</v>
      </c>
      <c r="J331" s="21" t="n">
        <f>1313</f>
        <v>1313.0</v>
      </c>
      <c r="K331" s="21" t="n">
        <f>8</f>
        <v>8.0</v>
      </c>
      <c r="L331" s="4" t="s">
        <v>198</v>
      </c>
      <c r="M331" s="22" t="n">
        <f>7417</f>
        <v>7417.0</v>
      </c>
      <c r="N331" s="5" t="s">
        <v>262</v>
      </c>
      <c r="O331" s="23" t="n">
        <f>159</f>
        <v>159.0</v>
      </c>
      <c r="P331" s="3" t="s">
        <v>938</v>
      </c>
      <c r="Q331" s="21"/>
      <c r="R331" s="3" t="s">
        <v>939</v>
      </c>
      <c r="S331" s="21" t="n">
        <f>3442444769</f>
        <v>3.442444769E9</v>
      </c>
      <c r="T331" s="21" t="n">
        <f>22043646</f>
        <v>2.2043646E7</v>
      </c>
      <c r="U331" s="5" t="s">
        <v>198</v>
      </c>
      <c r="V331" s="23" t="n">
        <f>19009649400</f>
        <v>1.90096494E10</v>
      </c>
      <c r="W331" s="5" t="s">
        <v>262</v>
      </c>
      <c r="X331" s="23" t="n">
        <f>407775600</f>
        <v>4.077756E8</v>
      </c>
      <c r="Y331" s="23"/>
      <c r="Z331" s="21" t="n">
        <f>572</f>
        <v>572.0</v>
      </c>
      <c r="AA331" s="21" t="n">
        <f>1849</f>
        <v>1849.0</v>
      </c>
      <c r="AB331" s="4" t="s">
        <v>217</v>
      </c>
      <c r="AC331" s="22" t="n">
        <f>3914</f>
        <v>3914.0</v>
      </c>
      <c r="AD331" s="5" t="s">
        <v>450</v>
      </c>
      <c r="AE331" s="23" t="n">
        <f>1506</f>
        <v>1506.0</v>
      </c>
    </row>
    <row r="332">
      <c r="A332" s="24" t="s">
        <v>919</v>
      </c>
      <c r="B332" s="25" t="s">
        <v>920</v>
      </c>
      <c r="C332" s="26"/>
      <c r="D332" s="27"/>
      <c r="E332" s="28" t="s">
        <v>112</v>
      </c>
      <c r="F332" s="20" t="n">
        <f>120</f>
        <v>120.0</v>
      </c>
      <c r="G332" s="21" t="n">
        <f>208799</f>
        <v>208799.0</v>
      </c>
      <c r="H332" s="21"/>
      <c r="I332" s="21" t="n">
        <f>25406</f>
        <v>25406.0</v>
      </c>
      <c r="J332" s="21" t="n">
        <f>1740</f>
        <v>1740.0</v>
      </c>
      <c r="K332" s="21" t="n">
        <f>212</f>
        <v>212.0</v>
      </c>
      <c r="L332" s="4" t="s">
        <v>202</v>
      </c>
      <c r="M332" s="22" t="n">
        <f>9104</f>
        <v>9104.0</v>
      </c>
      <c r="N332" s="5" t="s">
        <v>113</v>
      </c>
      <c r="O332" s="23" t="n">
        <f>110</f>
        <v>110.0</v>
      </c>
      <c r="P332" s="3" t="s">
        <v>940</v>
      </c>
      <c r="Q332" s="21"/>
      <c r="R332" s="3" t="s">
        <v>941</v>
      </c>
      <c r="S332" s="21" t="n">
        <f>4561980355</f>
        <v>4.561980355E9</v>
      </c>
      <c r="T332" s="21" t="n">
        <f>538633753</f>
        <v>5.38633753E8</v>
      </c>
      <c r="U332" s="5" t="s">
        <v>202</v>
      </c>
      <c r="V332" s="23" t="n">
        <f>22897733300</f>
        <v>2.28977333E10</v>
      </c>
      <c r="W332" s="5" t="s">
        <v>113</v>
      </c>
      <c r="X332" s="23" t="n">
        <f>313796300</f>
        <v>3.137963E8</v>
      </c>
      <c r="Y332" s="23"/>
      <c r="Z332" s="21" t="n">
        <f>15526</f>
        <v>15526.0</v>
      </c>
      <c r="AA332" s="21" t="n">
        <f>3131</f>
        <v>3131.0</v>
      </c>
      <c r="AB332" s="4" t="s">
        <v>187</v>
      </c>
      <c r="AC332" s="22" t="n">
        <f>7675</f>
        <v>7675.0</v>
      </c>
      <c r="AD332" s="5" t="s">
        <v>82</v>
      </c>
      <c r="AE332" s="23" t="n">
        <f>1212</f>
        <v>1212.0</v>
      </c>
    </row>
    <row r="333">
      <c r="A333" s="24" t="s">
        <v>919</v>
      </c>
      <c r="B333" s="25" t="s">
        <v>920</v>
      </c>
      <c r="C333" s="26"/>
      <c r="D333" s="27"/>
      <c r="E333" s="28" t="s">
        <v>118</v>
      </c>
      <c r="F333" s="20" t="n">
        <f>122</f>
        <v>122.0</v>
      </c>
      <c r="G333" s="21" t="n">
        <f>150165</f>
        <v>150165.0</v>
      </c>
      <c r="H333" s="21"/>
      <c r="I333" s="21" t="n">
        <f>14597</f>
        <v>14597.0</v>
      </c>
      <c r="J333" s="21" t="n">
        <f>1231</f>
        <v>1231.0</v>
      </c>
      <c r="K333" s="21" t="n">
        <f>120</f>
        <v>120.0</v>
      </c>
      <c r="L333" s="4" t="s">
        <v>58</v>
      </c>
      <c r="M333" s="22" t="n">
        <f>4300</f>
        <v>4300.0</v>
      </c>
      <c r="N333" s="5" t="s">
        <v>123</v>
      </c>
      <c r="O333" s="23" t="n">
        <f>227</f>
        <v>227.0</v>
      </c>
      <c r="P333" s="3" t="s">
        <v>942</v>
      </c>
      <c r="Q333" s="21"/>
      <c r="R333" s="3" t="s">
        <v>943</v>
      </c>
      <c r="S333" s="21" t="n">
        <f>3216050863</f>
        <v>3.216050863E9</v>
      </c>
      <c r="T333" s="21" t="n">
        <f>301892434</f>
        <v>3.01892434E8</v>
      </c>
      <c r="U333" s="5" t="s">
        <v>205</v>
      </c>
      <c r="V333" s="23" t="n">
        <f>10480939400</f>
        <v>1.04809394E10</v>
      </c>
      <c r="W333" s="5" t="s">
        <v>123</v>
      </c>
      <c r="X333" s="23" t="n">
        <f>527597900</f>
        <v>5.275979E8</v>
      </c>
      <c r="Y333" s="23"/>
      <c r="Z333" s="21" t="n">
        <f>8597</f>
        <v>8597.0</v>
      </c>
      <c r="AA333" s="21" t="n">
        <f>898</f>
        <v>898.0</v>
      </c>
      <c r="AB333" s="4" t="s">
        <v>107</v>
      </c>
      <c r="AC333" s="22" t="n">
        <f>4126</f>
        <v>4126.0</v>
      </c>
      <c r="AD333" s="5" t="s">
        <v>944</v>
      </c>
      <c r="AE333" s="23" t="n">
        <f>595</f>
        <v>595.0</v>
      </c>
    </row>
    <row r="334">
      <c r="A334" s="24" t="s">
        <v>919</v>
      </c>
      <c r="B334" s="25" t="s">
        <v>920</v>
      </c>
      <c r="C334" s="26"/>
      <c r="D334" s="27"/>
      <c r="E334" s="28" t="s">
        <v>124</v>
      </c>
      <c r="F334" s="20" t="n">
        <f>123</f>
        <v>123.0</v>
      </c>
      <c r="G334" s="21" t="n">
        <f>191437</f>
        <v>191437.0</v>
      </c>
      <c r="H334" s="21"/>
      <c r="I334" s="21" t="n">
        <f>58055</f>
        <v>58055.0</v>
      </c>
      <c r="J334" s="21" t="n">
        <f>1556</f>
        <v>1556.0</v>
      </c>
      <c r="K334" s="21" t="n">
        <f>472</f>
        <v>472.0</v>
      </c>
      <c r="L334" s="4" t="s">
        <v>945</v>
      </c>
      <c r="M334" s="22" t="n">
        <f>6568</f>
        <v>6568.0</v>
      </c>
      <c r="N334" s="5" t="s">
        <v>113</v>
      </c>
      <c r="O334" s="23" t="n">
        <f>133</f>
        <v>133.0</v>
      </c>
      <c r="P334" s="3" t="s">
        <v>946</v>
      </c>
      <c r="Q334" s="21"/>
      <c r="R334" s="3" t="s">
        <v>947</v>
      </c>
      <c r="S334" s="21" t="n">
        <f>4709165500</f>
        <v>4.7091655E9</v>
      </c>
      <c r="T334" s="21" t="n">
        <f>1464465237</f>
        <v>1.464465237E9</v>
      </c>
      <c r="U334" s="5" t="s">
        <v>197</v>
      </c>
      <c r="V334" s="23" t="n">
        <f>20789342000</f>
        <v>2.0789342E10</v>
      </c>
      <c r="W334" s="5" t="s">
        <v>113</v>
      </c>
      <c r="X334" s="23" t="n">
        <f>399739700</f>
        <v>3.997397E8</v>
      </c>
      <c r="Y334" s="23"/>
      <c r="Z334" s="21" t="n">
        <f>31128</f>
        <v>31128.0</v>
      </c>
      <c r="AA334" s="21" t="n">
        <f>752</f>
        <v>752.0</v>
      </c>
      <c r="AB334" s="4" t="s">
        <v>787</v>
      </c>
      <c r="AC334" s="22" t="n">
        <f>6034</f>
        <v>6034.0</v>
      </c>
      <c r="AD334" s="5" t="s">
        <v>330</v>
      </c>
      <c r="AE334" s="23" t="n">
        <f>752</f>
        <v>752.0</v>
      </c>
    </row>
    <row r="335">
      <c r="A335" s="24" t="s">
        <v>919</v>
      </c>
      <c r="B335" s="25" t="s">
        <v>920</v>
      </c>
      <c r="C335" s="26"/>
      <c r="D335" s="27"/>
      <c r="E335" s="28" t="s">
        <v>127</v>
      </c>
      <c r="F335" s="20" t="n">
        <f>122</f>
        <v>122.0</v>
      </c>
      <c r="G335" s="21" t="n">
        <f>204598</f>
        <v>204598.0</v>
      </c>
      <c r="H335" s="21"/>
      <c r="I335" s="21" t="n">
        <f>75574</f>
        <v>75574.0</v>
      </c>
      <c r="J335" s="21" t="n">
        <f>1677</f>
        <v>1677.0</v>
      </c>
      <c r="K335" s="21" t="n">
        <f>619</f>
        <v>619.0</v>
      </c>
      <c r="L335" s="4" t="s">
        <v>325</v>
      </c>
      <c r="M335" s="22" t="n">
        <f>5542</f>
        <v>5542.0</v>
      </c>
      <c r="N335" s="5" t="s">
        <v>230</v>
      </c>
      <c r="O335" s="23" t="n">
        <f>227</f>
        <v>227.0</v>
      </c>
      <c r="P335" s="3" t="s">
        <v>948</v>
      </c>
      <c r="Q335" s="21"/>
      <c r="R335" s="3" t="s">
        <v>949</v>
      </c>
      <c r="S335" s="21" t="n">
        <f>5784755340</f>
        <v>5.78475534E9</v>
      </c>
      <c r="T335" s="21" t="n">
        <f>2137343084</f>
        <v>2.137343084E9</v>
      </c>
      <c r="U335" s="5" t="s">
        <v>325</v>
      </c>
      <c r="V335" s="23" t="n">
        <f>19247922800</f>
        <v>1.92479228E10</v>
      </c>
      <c r="W335" s="5" t="s">
        <v>230</v>
      </c>
      <c r="X335" s="23" t="n">
        <f>782662900</f>
        <v>7.826629E8</v>
      </c>
      <c r="Y335" s="23"/>
      <c r="Z335" s="21" t="n">
        <f>38579</f>
        <v>38579.0</v>
      </c>
      <c r="AA335" s="21" t="n">
        <f>3497</f>
        <v>3497.0</v>
      </c>
      <c r="AB335" s="4" t="s">
        <v>254</v>
      </c>
      <c r="AC335" s="22" t="n">
        <f>6402</f>
        <v>6402.0</v>
      </c>
      <c r="AD335" s="5" t="s">
        <v>659</v>
      </c>
      <c r="AE335" s="23" t="n">
        <f>1300</f>
        <v>1300.0</v>
      </c>
    </row>
    <row r="336">
      <c r="A336" s="24" t="s">
        <v>919</v>
      </c>
      <c r="B336" s="25" t="s">
        <v>920</v>
      </c>
      <c r="C336" s="26"/>
      <c r="D336" s="27"/>
      <c r="E336" s="28" t="s">
        <v>133</v>
      </c>
      <c r="F336" s="20" t="n">
        <f>122</f>
        <v>122.0</v>
      </c>
      <c r="G336" s="21" t="n">
        <f>227774</f>
        <v>227774.0</v>
      </c>
      <c r="H336" s="21"/>
      <c r="I336" s="21" t="n">
        <f>26327</f>
        <v>26327.0</v>
      </c>
      <c r="J336" s="21" t="n">
        <f>1867</f>
        <v>1867.0</v>
      </c>
      <c r="K336" s="21" t="n">
        <f>216</f>
        <v>216.0</v>
      </c>
      <c r="L336" s="4" t="s">
        <v>218</v>
      </c>
      <c r="M336" s="22" t="n">
        <f>9525</f>
        <v>9525.0</v>
      </c>
      <c r="N336" s="5" t="s">
        <v>134</v>
      </c>
      <c r="O336" s="23" t="n">
        <f>149</f>
        <v>149.0</v>
      </c>
      <c r="P336" s="3" t="s">
        <v>950</v>
      </c>
      <c r="Q336" s="21"/>
      <c r="R336" s="3" t="s">
        <v>951</v>
      </c>
      <c r="S336" s="21" t="n">
        <f>6467177592</f>
        <v>6.467177592E9</v>
      </c>
      <c r="T336" s="21" t="n">
        <f>753052006</f>
        <v>7.53052006E8</v>
      </c>
      <c r="U336" s="5" t="s">
        <v>218</v>
      </c>
      <c r="V336" s="23" t="n">
        <f>32176587200</f>
        <v>3.21765872E10</v>
      </c>
      <c r="W336" s="5" t="s">
        <v>134</v>
      </c>
      <c r="X336" s="23" t="n">
        <f>533034500</f>
        <v>5.330345E8</v>
      </c>
      <c r="Y336" s="23"/>
      <c r="Z336" s="21" t="n">
        <f>30577</f>
        <v>30577.0</v>
      </c>
      <c r="AA336" s="21" t="n">
        <f>1186</f>
        <v>1186.0</v>
      </c>
      <c r="AB336" s="4" t="s">
        <v>582</v>
      </c>
      <c r="AC336" s="22" t="n">
        <f>5450</f>
        <v>5450.0</v>
      </c>
      <c r="AD336" s="5" t="s">
        <v>698</v>
      </c>
      <c r="AE336" s="23" t="n">
        <f>1167</f>
        <v>1167.0</v>
      </c>
    </row>
    <row r="337">
      <c r="A337" s="24" t="s">
        <v>919</v>
      </c>
      <c r="B337" s="25" t="s">
        <v>920</v>
      </c>
      <c r="C337" s="26"/>
      <c r="D337" s="27"/>
      <c r="E337" s="28" t="s">
        <v>139</v>
      </c>
      <c r="F337" s="20" t="n">
        <f>123</f>
        <v>123.0</v>
      </c>
      <c r="G337" s="21" t="n">
        <f>344906</f>
        <v>344906.0</v>
      </c>
      <c r="H337" s="21"/>
      <c r="I337" s="21" t="n">
        <f>23497</f>
        <v>23497.0</v>
      </c>
      <c r="J337" s="21" t="n">
        <f>2804</f>
        <v>2804.0</v>
      </c>
      <c r="K337" s="21" t="n">
        <f>191</f>
        <v>191.0</v>
      </c>
      <c r="L337" s="4" t="s">
        <v>88</v>
      </c>
      <c r="M337" s="22" t="n">
        <f>15804</f>
        <v>15804.0</v>
      </c>
      <c r="N337" s="5" t="s">
        <v>140</v>
      </c>
      <c r="O337" s="23" t="n">
        <f>133</f>
        <v>133.0</v>
      </c>
      <c r="P337" s="3" t="s">
        <v>952</v>
      </c>
      <c r="Q337" s="21"/>
      <c r="R337" s="3" t="s">
        <v>953</v>
      </c>
      <c r="S337" s="21" t="n">
        <f>8914565738</f>
        <v>8.914565738E9</v>
      </c>
      <c r="T337" s="21" t="n">
        <f>608273694</f>
        <v>6.08273694E8</v>
      </c>
      <c r="U337" s="5" t="s">
        <v>88</v>
      </c>
      <c r="V337" s="23" t="n">
        <f>52055481000</f>
        <v>5.2055481E10</v>
      </c>
      <c r="W337" s="5" t="s">
        <v>140</v>
      </c>
      <c r="X337" s="23" t="n">
        <f>455063000</f>
        <v>4.55063E8</v>
      </c>
      <c r="Y337" s="23"/>
      <c r="Z337" s="21" t="n">
        <f>69704</f>
        <v>69704.0</v>
      </c>
      <c r="AA337" s="21" t="n">
        <f>7907</f>
        <v>7907.0</v>
      </c>
      <c r="AB337" s="4" t="s">
        <v>750</v>
      </c>
      <c r="AC337" s="22" t="n">
        <f>10718</f>
        <v>10718.0</v>
      </c>
      <c r="AD337" s="5" t="s">
        <v>764</v>
      </c>
      <c r="AE337" s="23" t="n">
        <f>1035</f>
        <v>1035.0</v>
      </c>
    </row>
    <row r="338">
      <c r="A338" s="24" t="s">
        <v>919</v>
      </c>
      <c r="B338" s="25" t="s">
        <v>920</v>
      </c>
      <c r="C338" s="26"/>
      <c r="D338" s="27"/>
      <c r="E338" s="28" t="s">
        <v>145</v>
      </c>
      <c r="F338" s="20" t="n">
        <f>122</f>
        <v>122.0</v>
      </c>
      <c r="G338" s="21" t="n">
        <f>346096</f>
        <v>346096.0</v>
      </c>
      <c r="H338" s="21"/>
      <c r="I338" s="21" t="n">
        <f>39965</f>
        <v>39965.0</v>
      </c>
      <c r="J338" s="21" t="n">
        <f>2837</f>
        <v>2837.0</v>
      </c>
      <c r="K338" s="21" t="n">
        <f>328</f>
        <v>328.0</v>
      </c>
      <c r="L338" s="4" t="s">
        <v>954</v>
      </c>
      <c r="M338" s="22" t="n">
        <f>7980</f>
        <v>7980.0</v>
      </c>
      <c r="N338" s="5" t="s">
        <v>593</v>
      </c>
      <c r="O338" s="23" t="n">
        <f>305</f>
        <v>305.0</v>
      </c>
      <c r="P338" s="3" t="s">
        <v>955</v>
      </c>
      <c r="Q338" s="21"/>
      <c r="R338" s="3" t="s">
        <v>956</v>
      </c>
      <c r="S338" s="21" t="n">
        <f>9255037078</f>
        <v>9.255037078E9</v>
      </c>
      <c r="T338" s="21" t="n">
        <f>1095741450</f>
        <v>1.09574145E9</v>
      </c>
      <c r="U338" s="5" t="s">
        <v>954</v>
      </c>
      <c r="V338" s="23" t="n">
        <f>25735386900</f>
        <v>2.57353869E10</v>
      </c>
      <c r="W338" s="5" t="s">
        <v>593</v>
      </c>
      <c r="X338" s="23" t="n">
        <f>1044130000</f>
        <v>1.04413E9</v>
      </c>
      <c r="Y338" s="23"/>
      <c r="Z338" s="21" t="n">
        <f>57898</f>
        <v>57898.0</v>
      </c>
      <c r="AA338" s="21" t="n">
        <f>6584</f>
        <v>6584.0</v>
      </c>
      <c r="AB338" s="4" t="s">
        <v>160</v>
      </c>
      <c r="AC338" s="22" t="n">
        <f>11813</f>
        <v>11813.0</v>
      </c>
      <c r="AD338" s="5" t="s">
        <v>582</v>
      </c>
      <c r="AE338" s="23" t="n">
        <f>4108</f>
        <v>4108.0</v>
      </c>
    </row>
    <row r="339">
      <c r="A339" s="24" t="s">
        <v>919</v>
      </c>
      <c r="B339" s="25" t="s">
        <v>920</v>
      </c>
      <c r="C339" s="26"/>
      <c r="D339" s="27"/>
      <c r="E339" s="28" t="s">
        <v>150</v>
      </c>
      <c r="F339" s="20" t="n">
        <f>124</f>
        <v>124.0</v>
      </c>
      <c r="G339" s="21" t="n">
        <f>217485</f>
        <v>217485.0</v>
      </c>
      <c r="H339" s="21"/>
      <c r="I339" s="21" t="n">
        <f>7930</f>
        <v>7930.0</v>
      </c>
      <c r="J339" s="21" t="n">
        <f>1754</f>
        <v>1754.0</v>
      </c>
      <c r="K339" s="21" t="n">
        <f>64</f>
        <v>64.0</v>
      </c>
      <c r="L339" s="4" t="s">
        <v>227</v>
      </c>
      <c r="M339" s="22" t="n">
        <f>7341</f>
        <v>7341.0</v>
      </c>
      <c r="N339" s="5" t="s">
        <v>458</v>
      </c>
      <c r="O339" s="23" t="n">
        <f>258</f>
        <v>258.0</v>
      </c>
      <c r="P339" s="3" t="s">
        <v>957</v>
      </c>
      <c r="Q339" s="21"/>
      <c r="R339" s="3" t="s">
        <v>958</v>
      </c>
      <c r="S339" s="21" t="n">
        <f>6010692848</f>
        <v>6.010692848E9</v>
      </c>
      <c r="T339" s="21" t="n">
        <f>217380161</f>
        <v>2.17380161E8</v>
      </c>
      <c r="U339" s="5" t="s">
        <v>227</v>
      </c>
      <c r="V339" s="23" t="n">
        <f>24579041000</f>
        <v>2.4579041E10</v>
      </c>
      <c r="W339" s="5" t="s">
        <v>458</v>
      </c>
      <c r="X339" s="23" t="n">
        <f>899842500</f>
        <v>8.998425E8</v>
      </c>
      <c r="Y339" s="23"/>
      <c r="Z339" s="21" t="n">
        <f>29222</f>
        <v>29222.0</v>
      </c>
      <c r="AA339" s="21" t="n">
        <f>10101</f>
        <v>10101.0</v>
      </c>
      <c r="AB339" s="4" t="s">
        <v>266</v>
      </c>
      <c r="AC339" s="22" t="n">
        <f>11466</f>
        <v>11466.0</v>
      </c>
      <c r="AD339" s="5" t="s">
        <v>936</v>
      </c>
      <c r="AE339" s="23" t="n">
        <f>4532</f>
        <v>4532.0</v>
      </c>
    </row>
    <row r="340">
      <c r="A340" s="24" t="s">
        <v>919</v>
      </c>
      <c r="B340" s="25" t="s">
        <v>920</v>
      </c>
      <c r="C340" s="26"/>
      <c r="D340" s="27"/>
      <c r="E340" s="28" t="s">
        <v>154</v>
      </c>
      <c r="F340" s="20" t="n">
        <f>120</f>
        <v>120.0</v>
      </c>
      <c r="G340" s="21" t="n">
        <f>178390</f>
        <v>178390.0</v>
      </c>
      <c r="H340" s="21"/>
      <c r="I340" s="21" t="n">
        <f>2381</f>
        <v>2381.0</v>
      </c>
      <c r="J340" s="21" t="n">
        <f>1487</f>
        <v>1487.0</v>
      </c>
      <c r="K340" s="21" t="n">
        <f>20</f>
        <v>20.0</v>
      </c>
      <c r="L340" s="4" t="s">
        <v>234</v>
      </c>
      <c r="M340" s="22" t="n">
        <f>6072</f>
        <v>6072.0</v>
      </c>
      <c r="N340" s="5" t="s">
        <v>50</v>
      </c>
      <c r="O340" s="23" t="n">
        <f>94</f>
        <v>94.0</v>
      </c>
      <c r="P340" s="3" t="s">
        <v>959</v>
      </c>
      <c r="Q340" s="21"/>
      <c r="R340" s="3" t="s">
        <v>960</v>
      </c>
      <c r="S340" s="21" t="n">
        <f>5424911805</f>
        <v>5.424911805E9</v>
      </c>
      <c r="T340" s="21" t="n">
        <f>75354764</f>
        <v>7.5354764E7</v>
      </c>
      <c r="U340" s="5" t="s">
        <v>234</v>
      </c>
      <c r="V340" s="23" t="n">
        <f>24115014530</f>
        <v>2.411501453E10</v>
      </c>
      <c r="W340" s="5" t="s">
        <v>50</v>
      </c>
      <c r="X340" s="23" t="n">
        <f>354647800</f>
        <v>3.546478E8</v>
      </c>
      <c r="Y340" s="23"/>
      <c r="Z340" s="21" t="n">
        <f>5384</f>
        <v>5384.0</v>
      </c>
      <c r="AA340" s="21" t="n">
        <f>3533</f>
        <v>3533.0</v>
      </c>
      <c r="AB340" s="4" t="s">
        <v>321</v>
      </c>
      <c r="AC340" s="22" t="n">
        <f>10741</f>
        <v>10741.0</v>
      </c>
      <c r="AD340" s="5" t="s">
        <v>634</v>
      </c>
      <c r="AE340" s="23" t="n">
        <f>1940</f>
        <v>1940.0</v>
      </c>
    </row>
    <row r="341">
      <c r="A341" s="24" t="s">
        <v>961</v>
      </c>
      <c r="B341" s="25" t="s">
        <v>962</v>
      </c>
      <c r="C341" s="26"/>
      <c r="D341" s="27"/>
      <c r="E341" s="28" t="s">
        <v>70</v>
      </c>
      <c r="F341" s="20" t="n">
        <f>51</f>
        <v>51.0</v>
      </c>
      <c r="G341" s="21" t="n">
        <f>202</f>
        <v>202.0</v>
      </c>
      <c r="H341" s="21"/>
      <c r="I341" s="21"/>
      <c r="J341" s="21" t="n">
        <f>4</f>
        <v>4.0</v>
      </c>
      <c r="K341" s="21"/>
      <c r="L341" s="4" t="s">
        <v>963</v>
      </c>
      <c r="M341" s="22" t="n">
        <f>100</f>
        <v>100.0</v>
      </c>
      <c r="N341" s="5" t="s">
        <v>924</v>
      </c>
      <c r="O341" s="23" t="str">
        <f>"－"</f>
        <v>－</v>
      </c>
      <c r="P341" s="3" t="s">
        <v>964</v>
      </c>
      <c r="Q341" s="21"/>
      <c r="R341" s="3"/>
      <c r="S341" s="21" t="n">
        <f>3566675</f>
        <v>3566675.0</v>
      </c>
      <c r="T341" s="21"/>
      <c r="U341" s="5" t="s">
        <v>963</v>
      </c>
      <c r="V341" s="23" t="n">
        <f>88685000</f>
        <v>8.8685E7</v>
      </c>
      <c r="W341" s="5" t="s">
        <v>924</v>
      </c>
      <c r="X341" s="23" t="str">
        <f>"－"</f>
        <v>－</v>
      </c>
      <c r="Y341" s="23"/>
      <c r="Z341" s="21" t="str">
        <f>"－"</f>
        <v>－</v>
      </c>
      <c r="AA341" s="21" t="str">
        <f>"－"</f>
        <v>－</v>
      </c>
      <c r="AB341" s="4" t="s">
        <v>312</v>
      </c>
      <c r="AC341" s="22" t="n">
        <f>52</f>
        <v>52.0</v>
      </c>
      <c r="AD341" s="5" t="s">
        <v>496</v>
      </c>
      <c r="AE341" s="23" t="str">
        <f>"－"</f>
        <v>－</v>
      </c>
    </row>
    <row r="342">
      <c r="A342" s="24" t="s">
        <v>961</v>
      </c>
      <c r="B342" s="25" t="s">
        <v>962</v>
      </c>
      <c r="C342" s="26"/>
      <c r="D342" s="27"/>
      <c r="E342" s="28" t="s">
        <v>77</v>
      </c>
      <c r="F342" s="20" t="n">
        <f>122</f>
        <v>122.0</v>
      </c>
      <c r="G342" s="21" t="n">
        <f>3</f>
        <v>3.0</v>
      </c>
      <c r="H342" s="21"/>
      <c r="I342" s="21"/>
      <c r="J342" s="21" t="n">
        <f>0</f>
        <v>0.0</v>
      </c>
      <c r="K342" s="21"/>
      <c r="L342" s="4" t="s">
        <v>519</v>
      </c>
      <c r="M342" s="22" t="n">
        <f>1</f>
        <v>1.0</v>
      </c>
      <c r="N342" s="5" t="s">
        <v>82</v>
      </c>
      <c r="O342" s="23" t="str">
        <f>"－"</f>
        <v>－</v>
      </c>
      <c r="P342" s="3" t="s">
        <v>965</v>
      </c>
      <c r="Q342" s="21"/>
      <c r="R342" s="3"/>
      <c r="S342" s="21" t="n">
        <f>23942</f>
        <v>23942.0</v>
      </c>
      <c r="T342" s="21"/>
      <c r="U342" s="5" t="s">
        <v>901</v>
      </c>
      <c r="V342" s="23" t="n">
        <f>1020000</f>
        <v>1020000.0</v>
      </c>
      <c r="W342" s="5" t="s">
        <v>82</v>
      </c>
      <c r="X342" s="23" t="str">
        <f>"－"</f>
        <v>－</v>
      </c>
      <c r="Y342" s="23"/>
      <c r="Z342" s="21" t="str">
        <f>"－"</f>
        <v>－</v>
      </c>
      <c r="AA342" s="21" t="str">
        <f>"－"</f>
        <v>－</v>
      </c>
      <c r="AB342" s="4" t="s">
        <v>519</v>
      </c>
      <c r="AC342" s="22" t="n">
        <f>1</f>
        <v>1.0</v>
      </c>
      <c r="AD342" s="5" t="s">
        <v>82</v>
      </c>
      <c r="AE342" s="23" t="str">
        <f>"－"</f>
        <v>－</v>
      </c>
    </row>
    <row r="343">
      <c r="A343" s="24" t="s">
        <v>961</v>
      </c>
      <c r="B343" s="25" t="s">
        <v>962</v>
      </c>
      <c r="C343" s="26"/>
      <c r="D343" s="27"/>
      <c r="E343" s="28" t="s">
        <v>83</v>
      </c>
      <c r="F343" s="20" t="n">
        <f>124</f>
        <v>124.0</v>
      </c>
      <c r="G343" s="21" t="str">
        <f>"－"</f>
        <v>－</v>
      </c>
      <c r="H343" s="21"/>
      <c r="I343" s="21"/>
      <c r="J343" s="21" t="str">
        <f>"－"</f>
        <v>－</v>
      </c>
      <c r="K343" s="21"/>
      <c r="L343" s="4" t="s">
        <v>666</v>
      </c>
      <c r="M343" s="22" t="str">
        <f>"－"</f>
        <v>－</v>
      </c>
      <c r="N343" s="5" t="s">
        <v>666</v>
      </c>
      <c r="O343" s="23" t="str">
        <f>"－"</f>
        <v>－</v>
      </c>
      <c r="P343" s="3" t="s">
        <v>247</v>
      </c>
      <c r="Q343" s="21"/>
      <c r="R343" s="3"/>
      <c r="S343" s="21" t="str">
        <f>"－"</f>
        <v>－</v>
      </c>
      <c r="T343" s="21"/>
      <c r="U343" s="5" t="s">
        <v>666</v>
      </c>
      <c r="V343" s="23" t="str">
        <f>"－"</f>
        <v>－</v>
      </c>
      <c r="W343" s="5" t="s">
        <v>666</v>
      </c>
      <c r="X343" s="23" t="str">
        <f>"－"</f>
        <v>－</v>
      </c>
      <c r="Y343" s="23"/>
      <c r="Z343" s="21" t="str">
        <f>"－"</f>
        <v>－</v>
      </c>
      <c r="AA343" s="21" t="str">
        <f>"－"</f>
        <v>－</v>
      </c>
      <c r="AB343" s="4" t="s">
        <v>666</v>
      </c>
      <c r="AC343" s="22" t="str">
        <f>"－"</f>
        <v>－</v>
      </c>
      <c r="AD343" s="5" t="s">
        <v>666</v>
      </c>
      <c r="AE343" s="23" t="str">
        <f>"－"</f>
        <v>－</v>
      </c>
    </row>
    <row r="344">
      <c r="A344" s="24" t="s">
        <v>961</v>
      </c>
      <c r="B344" s="25" t="s">
        <v>962</v>
      </c>
      <c r="C344" s="26"/>
      <c r="D344" s="27"/>
      <c r="E344" s="28" t="s">
        <v>89</v>
      </c>
      <c r="F344" s="20" t="n">
        <f>121</f>
        <v>121.0</v>
      </c>
      <c r="G344" s="21" t="str">
        <f>"－"</f>
        <v>－</v>
      </c>
      <c r="H344" s="21"/>
      <c r="I344" s="21"/>
      <c r="J344" s="21" t="str">
        <f>"－"</f>
        <v>－</v>
      </c>
      <c r="K344" s="21"/>
      <c r="L344" s="4" t="s">
        <v>268</v>
      </c>
      <c r="M344" s="22" t="str">
        <f>"－"</f>
        <v>－</v>
      </c>
      <c r="N344" s="5" t="s">
        <v>268</v>
      </c>
      <c r="O344" s="23" t="str">
        <f>"－"</f>
        <v>－</v>
      </c>
      <c r="P344" s="3" t="s">
        <v>247</v>
      </c>
      <c r="Q344" s="21"/>
      <c r="R344" s="3"/>
      <c r="S344" s="21" t="str">
        <f>"－"</f>
        <v>－</v>
      </c>
      <c r="T344" s="21"/>
      <c r="U344" s="5" t="s">
        <v>268</v>
      </c>
      <c r="V344" s="23" t="str">
        <f>"－"</f>
        <v>－</v>
      </c>
      <c r="W344" s="5" t="s">
        <v>268</v>
      </c>
      <c r="X344" s="23" t="str">
        <f>"－"</f>
        <v>－</v>
      </c>
      <c r="Y344" s="23"/>
      <c r="Z344" s="21" t="str">
        <f>"－"</f>
        <v>－</v>
      </c>
      <c r="AA344" s="21" t="str">
        <f>"－"</f>
        <v>－</v>
      </c>
      <c r="AB344" s="4" t="s">
        <v>268</v>
      </c>
      <c r="AC344" s="22" t="str">
        <f>"－"</f>
        <v>－</v>
      </c>
      <c r="AD344" s="5" t="s">
        <v>268</v>
      </c>
      <c r="AE344" s="23" t="str">
        <f>"－"</f>
        <v>－</v>
      </c>
    </row>
    <row r="345">
      <c r="A345" s="24" t="s">
        <v>961</v>
      </c>
      <c r="B345" s="25" t="s">
        <v>962</v>
      </c>
      <c r="C345" s="26"/>
      <c r="D345" s="27"/>
      <c r="E345" s="28" t="s">
        <v>95</v>
      </c>
      <c r="F345" s="20" t="n">
        <f>124</f>
        <v>124.0</v>
      </c>
      <c r="G345" s="21" t="n">
        <f>48</f>
        <v>48.0</v>
      </c>
      <c r="H345" s="21"/>
      <c r="I345" s="21"/>
      <c r="J345" s="21" t="n">
        <f>0</f>
        <v>0.0</v>
      </c>
      <c r="K345" s="21"/>
      <c r="L345" s="4" t="s">
        <v>966</v>
      </c>
      <c r="M345" s="22" t="n">
        <f>7</f>
        <v>7.0</v>
      </c>
      <c r="N345" s="5" t="s">
        <v>263</v>
      </c>
      <c r="O345" s="23" t="str">
        <f>"－"</f>
        <v>－</v>
      </c>
      <c r="P345" s="3" t="s">
        <v>967</v>
      </c>
      <c r="Q345" s="21"/>
      <c r="R345" s="3"/>
      <c r="S345" s="21" t="n">
        <f>420548</f>
        <v>420548.0</v>
      </c>
      <c r="T345" s="21"/>
      <c r="U345" s="5" t="s">
        <v>966</v>
      </c>
      <c r="V345" s="23" t="n">
        <f>7454000</f>
        <v>7454000.0</v>
      </c>
      <c r="W345" s="5" t="s">
        <v>263</v>
      </c>
      <c r="X345" s="23" t="str">
        <f>"－"</f>
        <v>－</v>
      </c>
      <c r="Y345" s="23"/>
      <c r="Z345" s="21" t="str">
        <f>"－"</f>
        <v>－</v>
      </c>
      <c r="AA345" s="21" t="str">
        <f>"－"</f>
        <v>－</v>
      </c>
      <c r="AB345" s="4" t="s">
        <v>123</v>
      </c>
      <c r="AC345" s="22" t="n">
        <f>1</f>
        <v>1.0</v>
      </c>
      <c r="AD345" s="5" t="s">
        <v>263</v>
      </c>
      <c r="AE345" s="23" t="str">
        <f>"－"</f>
        <v>－</v>
      </c>
    </row>
    <row r="346">
      <c r="A346" s="24" t="s">
        <v>961</v>
      </c>
      <c r="B346" s="25" t="s">
        <v>962</v>
      </c>
      <c r="C346" s="26"/>
      <c r="D346" s="27"/>
      <c r="E346" s="28" t="s">
        <v>101</v>
      </c>
      <c r="F346" s="20" t="n">
        <f>120</f>
        <v>120.0</v>
      </c>
      <c r="G346" s="21" t="n">
        <f>211</f>
        <v>211.0</v>
      </c>
      <c r="H346" s="21"/>
      <c r="I346" s="21"/>
      <c r="J346" s="21" t="n">
        <f>2</f>
        <v>2.0</v>
      </c>
      <c r="K346" s="21"/>
      <c r="L346" s="4" t="s">
        <v>968</v>
      </c>
      <c r="M346" s="22" t="n">
        <f>26</f>
        <v>26.0</v>
      </c>
      <c r="N346" s="5" t="s">
        <v>279</v>
      </c>
      <c r="O346" s="23" t="str">
        <f>"－"</f>
        <v>－</v>
      </c>
      <c r="P346" s="3" t="s">
        <v>969</v>
      </c>
      <c r="Q346" s="21"/>
      <c r="R346" s="3"/>
      <c r="S346" s="21" t="n">
        <f>1737007</f>
        <v>1737007.0</v>
      </c>
      <c r="T346" s="21"/>
      <c r="U346" s="5" t="s">
        <v>968</v>
      </c>
      <c r="V346" s="23" t="n">
        <f>25489800</f>
        <v>2.54898E7</v>
      </c>
      <c r="W346" s="5" t="s">
        <v>279</v>
      </c>
      <c r="X346" s="23" t="str">
        <f>"－"</f>
        <v>－</v>
      </c>
      <c r="Y346" s="23"/>
      <c r="Z346" s="21" t="str">
        <f>"－"</f>
        <v>－</v>
      </c>
      <c r="AA346" s="21" t="str">
        <f>"－"</f>
        <v>－</v>
      </c>
      <c r="AB346" s="4" t="s">
        <v>896</v>
      </c>
      <c r="AC346" s="22" t="n">
        <f>10</f>
        <v>10.0</v>
      </c>
      <c r="AD346" s="5" t="s">
        <v>279</v>
      </c>
      <c r="AE346" s="23" t="str">
        <f>"－"</f>
        <v>－</v>
      </c>
    </row>
    <row r="347">
      <c r="A347" s="24" t="s">
        <v>961</v>
      </c>
      <c r="B347" s="25" t="s">
        <v>962</v>
      </c>
      <c r="C347" s="26"/>
      <c r="D347" s="27"/>
      <c r="E347" s="28" t="s">
        <v>106</v>
      </c>
      <c r="F347" s="20" t="n">
        <f>121</f>
        <v>121.0</v>
      </c>
      <c r="G347" s="21" t="n">
        <f>200</f>
        <v>200.0</v>
      </c>
      <c r="H347" s="21"/>
      <c r="I347" s="21"/>
      <c r="J347" s="21" t="n">
        <f>2</f>
        <v>2.0</v>
      </c>
      <c r="K347" s="21"/>
      <c r="L347" s="4" t="s">
        <v>834</v>
      </c>
      <c r="M347" s="22" t="n">
        <f>25</f>
        <v>25.0</v>
      </c>
      <c r="N347" s="5" t="s">
        <v>335</v>
      </c>
      <c r="O347" s="23" t="str">
        <f>"－"</f>
        <v>－</v>
      </c>
      <c r="P347" s="3" t="s">
        <v>970</v>
      </c>
      <c r="Q347" s="21"/>
      <c r="R347" s="3"/>
      <c r="S347" s="21" t="n">
        <f>1762084</f>
        <v>1762084.0</v>
      </c>
      <c r="T347" s="21"/>
      <c r="U347" s="5" t="s">
        <v>834</v>
      </c>
      <c r="V347" s="23" t="n">
        <f>26521500</f>
        <v>2.65215E7</v>
      </c>
      <c r="W347" s="5" t="s">
        <v>335</v>
      </c>
      <c r="X347" s="23" t="str">
        <f>"－"</f>
        <v>－</v>
      </c>
      <c r="Y347" s="23"/>
      <c r="Z347" s="21" t="str">
        <f>"－"</f>
        <v>－</v>
      </c>
      <c r="AA347" s="21" t="n">
        <f>1</f>
        <v>1.0</v>
      </c>
      <c r="AB347" s="4" t="s">
        <v>666</v>
      </c>
      <c r="AC347" s="22" t="n">
        <f>5</f>
        <v>5.0</v>
      </c>
      <c r="AD347" s="5" t="s">
        <v>335</v>
      </c>
      <c r="AE347" s="23" t="str">
        <f>"－"</f>
        <v>－</v>
      </c>
    </row>
    <row r="348">
      <c r="A348" s="24" t="s">
        <v>961</v>
      </c>
      <c r="B348" s="25" t="s">
        <v>962</v>
      </c>
      <c r="C348" s="26"/>
      <c r="D348" s="27"/>
      <c r="E348" s="28" t="s">
        <v>112</v>
      </c>
      <c r="F348" s="20" t="n">
        <f>120</f>
        <v>120.0</v>
      </c>
      <c r="G348" s="21" t="n">
        <f>316</f>
        <v>316.0</v>
      </c>
      <c r="H348" s="21"/>
      <c r="I348" s="21"/>
      <c r="J348" s="21" t="n">
        <f>3</f>
        <v>3.0</v>
      </c>
      <c r="K348" s="21"/>
      <c r="L348" s="4" t="s">
        <v>511</v>
      </c>
      <c r="M348" s="22" t="n">
        <f>61</f>
        <v>61.0</v>
      </c>
      <c r="N348" s="5" t="s">
        <v>279</v>
      </c>
      <c r="O348" s="23" t="str">
        <f>"－"</f>
        <v>－</v>
      </c>
      <c r="P348" s="3" t="s">
        <v>971</v>
      </c>
      <c r="Q348" s="21"/>
      <c r="R348" s="3"/>
      <c r="S348" s="21" t="n">
        <f>2635885</f>
        <v>2635885.0</v>
      </c>
      <c r="T348" s="21"/>
      <c r="U348" s="5" t="s">
        <v>511</v>
      </c>
      <c r="V348" s="23" t="n">
        <f>57902200</f>
        <v>5.79022E7</v>
      </c>
      <c r="W348" s="5" t="s">
        <v>279</v>
      </c>
      <c r="X348" s="23" t="str">
        <f>"－"</f>
        <v>－</v>
      </c>
      <c r="Y348" s="23"/>
      <c r="Z348" s="21" t="str">
        <f>"－"</f>
        <v>－</v>
      </c>
      <c r="AA348" s="21" t="str">
        <f>"－"</f>
        <v>－</v>
      </c>
      <c r="AB348" s="4" t="s">
        <v>187</v>
      </c>
      <c r="AC348" s="22" t="n">
        <f>16</f>
        <v>16.0</v>
      </c>
      <c r="AD348" s="5" t="s">
        <v>865</v>
      </c>
      <c r="AE348" s="23" t="str">
        <f>"－"</f>
        <v>－</v>
      </c>
    </row>
    <row r="349">
      <c r="A349" s="24" t="s">
        <v>961</v>
      </c>
      <c r="B349" s="25" t="s">
        <v>962</v>
      </c>
      <c r="C349" s="26"/>
      <c r="D349" s="27"/>
      <c r="E349" s="28" t="s">
        <v>118</v>
      </c>
      <c r="F349" s="20" t="n">
        <f>122</f>
        <v>122.0</v>
      </c>
      <c r="G349" s="21" t="n">
        <f>357</f>
        <v>357.0</v>
      </c>
      <c r="H349" s="21"/>
      <c r="I349" s="21"/>
      <c r="J349" s="21" t="n">
        <f>3</f>
        <v>3.0</v>
      </c>
      <c r="K349" s="21"/>
      <c r="L349" s="4" t="s">
        <v>972</v>
      </c>
      <c r="M349" s="22" t="n">
        <f>30</f>
        <v>30.0</v>
      </c>
      <c r="N349" s="5" t="s">
        <v>335</v>
      </c>
      <c r="O349" s="23" t="str">
        <f>"－"</f>
        <v>－</v>
      </c>
      <c r="P349" s="3" t="s">
        <v>973</v>
      </c>
      <c r="Q349" s="21"/>
      <c r="R349" s="3"/>
      <c r="S349" s="21" t="n">
        <f>3485836</f>
        <v>3485836.0</v>
      </c>
      <c r="T349" s="21"/>
      <c r="U349" s="5" t="s">
        <v>972</v>
      </c>
      <c r="V349" s="23" t="n">
        <f>37961500</f>
        <v>3.79615E7</v>
      </c>
      <c r="W349" s="5" t="s">
        <v>335</v>
      </c>
      <c r="X349" s="23" t="str">
        <f>"－"</f>
        <v>－</v>
      </c>
      <c r="Y349" s="23"/>
      <c r="Z349" s="21" t="str">
        <f>"－"</f>
        <v>－</v>
      </c>
      <c r="AA349" s="21" t="str">
        <f>"－"</f>
        <v>－</v>
      </c>
      <c r="AB349" s="4" t="s">
        <v>62</v>
      </c>
      <c r="AC349" s="22" t="n">
        <f>6</f>
        <v>6.0</v>
      </c>
      <c r="AD349" s="5" t="s">
        <v>335</v>
      </c>
      <c r="AE349" s="23" t="str">
        <f>"－"</f>
        <v>－</v>
      </c>
    </row>
    <row r="350">
      <c r="A350" s="24" t="s">
        <v>961</v>
      </c>
      <c r="B350" s="25" t="s">
        <v>962</v>
      </c>
      <c r="C350" s="26"/>
      <c r="D350" s="27"/>
      <c r="E350" s="28" t="s">
        <v>124</v>
      </c>
      <c r="F350" s="20" t="n">
        <f>123</f>
        <v>123.0</v>
      </c>
      <c r="G350" s="21" t="n">
        <f>709</f>
        <v>709.0</v>
      </c>
      <c r="H350" s="21"/>
      <c r="I350" s="21"/>
      <c r="J350" s="21" t="n">
        <f>6</f>
        <v>6.0</v>
      </c>
      <c r="K350" s="21"/>
      <c r="L350" s="4" t="s">
        <v>974</v>
      </c>
      <c r="M350" s="22" t="n">
        <f>115</f>
        <v>115.0</v>
      </c>
      <c r="N350" s="5" t="s">
        <v>279</v>
      </c>
      <c r="O350" s="23" t="str">
        <f>"－"</f>
        <v>－</v>
      </c>
      <c r="P350" s="3" t="s">
        <v>975</v>
      </c>
      <c r="Q350" s="21"/>
      <c r="R350" s="3"/>
      <c r="S350" s="21" t="n">
        <f>8859365</f>
        <v>8859365.0</v>
      </c>
      <c r="T350" s="21"/>
      <c r="U350" s="5" t="s">
        <v>974</v>
      </c>
      <c r="V350" s="23" t="n">
        <f>178337000</f>
        <v>1.78337E8</v>
      </c>
      <c r="W350" s="5" t="s">
        <v>279</v>
      </c>
      <c r="X350" s="23" t="str">
        <f>"－"</f>
        <v>－</v>
      </c>
      <c r="Y350" s="23"/>
      <c r="Z350" s="21" t="n">
        <f>493</f>
        <v>493.0</v>
      </c>
      <c r="AA350" s="21" t="str">
        <f>"－"</f>
        <v>－</v>
      </c>
      <c r="AB350" s="4" t="s">
        <v>976</v>
      </c>
      <c r="AC350" s="22" t="n">
        <f>10</f>
        <v>10.0</v>
      </c>
      <c r="AD350" s="5" t="s">
        <v>279</v>
      </c>
      <c r="AE350" s="23" t="str">
        <f>"－"</f>
        <v>－</v>
      </c>
    </row>
    <row r="351">
      <c r="A351" s="24" t="s">
        <v>961</v>
      </c>
      <c r="B351" s="25" t="s">
        <v>962</v>
      </c>
      <c r="C351" s="26"/>
      <c r="D351" s="27"/>
      <c r="E351" s="28" t="s">
        <v>127</v>
      </c>
      <c r="F351" s="20" t="n">
        <f>122</f>
        <v>122.0</v>
      </c>
      <c r="G351" s="21" t="n">
        <f>12</f>
        <v>12.0</v>
      </c>
      <c r="H351" s="21"/>
      <c r="I351" s="21"/>
      <c r="J351" s="21" t="n">
        <f>0</f>
        <v>0.0</v>
      </c>
      <c r="K351" s="21"/>
      <c r="L351" s="4" t="s">
        <v>659</v>
      </c>
      <c r="M351" s="22" t="n">
        <f>11</f>
        <v>11.0</v>
      </c>
      <c r="N351" s="5" t="s">
        <v>335</v>
      </c>
      <c r="O351" s="23" t="str">
        <f>"－"</f>
        <v>－</v>
      </c>
      <c r="P351" s="3" t="s">
        <v>977</v>
      </c>
      <c r="Q351" s="21"/>
      <c r="R351" s="3"/>
      <c r="S351" s="21" t="n">
        <f>167845</f>
        <v>167845.0</v>
      </c>
      <c r="T351" s="21"/>
      <c r="U351" s="5" t="s">
        <v>659</v>
      </c>
      <c r="V351" s="23" t="n">
        <f>18788300</f>
        <v>1.87883E7</v>
      </c>
      <c r="W351" s="5" t="s">
        <v>335</v>
      </c>
      <c r="X351" s="23" t="str">
        <f>"－"</f>
        <v>－</v>
      </c>
      <c r="Y351" s="23"/>
      <c r="Z351" s="21" t="n">
        <f>12</f>
        <v>12.0</v>
      </c>
      <c r="AA351" s="21" t="str">
        <f>"－"</f>
        <v>－</v>
      </c>
      <c r="AB351" s="4" t="s">
        <v>978</v>
      </c>
      <c r="AC351" s="22" t="n">
        <f>1</f>
        <v>1.0</v>
      </c>
      <c r="AD351" s="5" t="s">
        <v>335</v>
      </c>
      <c r="AE351" s="23" t="str">
        <f>"－"</f>
        <v>－</v>
      </c>
    </row>
    <row r="352">
      <c r="A352" s="24" t="s">
        <v>961</v>
      </c>
      <c r="B352" s="25" t="s">
        <v>962</v>
      </c>
      <c r="C352" s="26"/>
      <c r="D352" s="27"/>
      <c r="E352" s="28" t="s">
        <v>133</v>
      </c>
      <c r="F352" s="20" t="n">
        <f>122</f>
        <v>122.0</v>
      </c>
      <c r="G352" s="21" t="str">
        <f>"－"</f>
        <v>－</v>
      </c>
      <c r="H352" s="21"/>
      <c r="I352" s="21"/>
      <c r="J352" s="21" t="str">
        <f>"－"</f>
        <v>－</v>
      </c>
      <c r="K352" s="21"/>
      <c r="L352" s="4" t="s">
        <v>279</v>
      </c>
      <c r="M352" s="22" t="str">
        <f>"－"</f>
        <v>－</v>
      </c>
      <c r="N352" s="5" t="s">
        <v>279</v>
      </c>
      <c r="O352" s="23" t="str">
        <f>"－"</f>
        <v>－</v>
      </c>
      <c r="P352" s="3" t="s">
        <v>247</v>
      </c>
      <c r="Q352" s="21"/>
      <c r="R352" s="3"/>
      <c r="S352" s="21" t="str">
        <f>"－"</f>
        <v>－</v>
      </c>
      <c r="T352" s="21"/>
      <c r="U352" s="5" t="s">
        <v>279</v>
      </c>
      <c r="V352" s="23" t="str">
        <f>"－"</f>
        <v>－</v>
      </c>
      <c r="W352" s="5" t="s">
        <v>279</v>
      </c>
      <c r="X352" s="23" t="str">
        <f>"－"</f>
        <v>－</v>
      </c>
      <c r="Y352" s="23"/>
      <c r="Z352" s="21" t="str">
        <f>"－"</f>
        <v>－</v>
      </c>
      <c r="AA352" s="21" t="str">
        <f>"－"</f>
        <v>－</v>
      </c>
      <c r="AB352" s="4" t="s">
        <v>279</v>
      </c>
      <c r="AC352" s="22" t="str">
        <f>"－"</f>
        <v>－</v>
      </c>
      <c r="AD352" s="5" t="s">
        <v>279</v>
      </c>
      <c r="AE352" s="23" t="str">
        <f>"－"</f>
        <v>－</v>
      </c>
    </row>
    <row r="353">
      <c r="A353" s="24" t="s">
        <v>961</v>
      </c>
      <c r="B353" s="25" t="s">
        <v>962</v>
      </c>
      <c r="C353" s="26"/>
      <c r="D353" s="27"/>
      <c r="E353" s="28" t="s">
        <v>139</v>
      </c>
      <c r="F353" s="20" t="n">
        <f>123</f>
        <v>123.0</v>
      </c>
      <c r="G353" s="21" t="str">
        <f>"－"</f>
        <v>－</v>
      </c>
      <c r="H353" s="21"/>
      <c r="I353" s="21"/>
      <c r="J353" s="21" t="str">
        <f>"－"</f>
        <v>－</v>
      </c>
      <c r="K353" s="21"/>
      <c r="L353" s="4" t="s">
        <v>335</v>
      </c>
      <c r="M353" s="22" t="str">
        <f>"－"</f>
        <v>－</v>
      </c>
      <c r="N353" s="5" t="s">
        <v>335</v>
      </c>
      <c r="O353" s="23" t="str">
        <f>"－"</f>
        <v>－</v>
      </c>
      <c r="P353" s="3" t="s">
        <v>247</v>
      </c>
      <c r="Q353" s="21"/>
      <c r="R353" s="3"/>
      <c r="S353" s="21" t="str">
        <f>"－"</f>
        <v>－</v>
      </c>
      <c r="T353" s="21"/>
      <c r="U353" s="5" t="s">
        <v>335</v>
      </c>
      <c r="V353" s="23" t="str">
        <f>"－"</f>
        <v>－</v>
      </c>
      <c r="W353" s="5" t="s">
        <v>335</v>
      </c>
      <c r="X353" s="23" t="str">
        <f>"－"</f>
        <v>－</v>
      </c>
      <c r="Y353" s="23"/>
      <c r="Z353" s="21" t="str">
        <f>"－"</f>
        <v>－</v>
      </c>
      <c r="AA353" s="21" t="str">
        <f>"－"</f>
        <v>－</v>
      </c>
      <c r="AB353" s="4" t="s">
        <v>335</v>
      </c>
      <c r="AC353" s="22" t="str">
        <f>"－"</f>
        <v>－</v>
      </c>
      <c r="AD353" s="5" t="s">
        <v>335</v>
      </c>
      <c r="AE353" s="23" t="str">
        <f>"－"</f>
        <v>－</v>
      </c>
    </row>
    <row r="354">
      <c r="A354" s="24" t="s">
        <v>961</v>
      </c>
      <c r="B354" s="25" t="s">
        <v>962</v>
      </c>
      <c r="C354" s="26"/>
      <c r="D354" s="27"/>
      <c r="E354" s="28" t="s">
        <v>145</v>
      </c>
      <c r="F354" s="20" t="n">
        <f>122</f>
        <v>122.0</v>
      </c>
      <c r="G354" s="21" t="str">
        <f>"－"</f>
        <v>－</v>
      </c>
      <c r="H354" s="21"/>
      <c r="I354" s="21"/>
      <c r="J354" s="21" t="str">
        <f>"－"</f>
        <v>－</v>
      </c>
      <c r="K354" s="21"/>
      <c r="L354" s="4" t="s">
        <v>82</v>
      </c>
      <c r="M354" s="22" t="str">
        <f>"－"</f>
        <v>－</v>
      </c>
      <c r="N354" s="5" t="s">
        <v>82</v>
      </c>
      <c r="O354" s="23" t="str">
        <f>"－"</f>
        <v>－</v>
      </c>
      <c r="P354" s="3" t="s">
        <v>247</v>
      </c>
      <c r="Q354" s="21"/>
      <c r="R354" s="3"/>
      <c r="S354" s="21" t="str">
        <f>"－"</f>
        <v>－</v>
      </c>
      <c r="T354" s="21"/>
      <c r="U354" s="5" t="s">
        <v>82</v>
      </c>
      <c r="V354" s="23" t="str">
        <f>"－"</f>
        <v>－</v>
      </c>
      <c r="W354" s="5" t="s">
        <v>82</v>
      </c>
      <c r="X354" s="23" t="str">
        <f>"－"</f>
        <v>－</v>
      </c>
      <c r="Y354" s="23"/>
      <c r="Z354" s="21" t="str">
        <f>"－"</f>
        <v>－</v>
      </c>
      <c r="AA354" s="21" t="str">
        <f>"－"</f>
        <v>－</v>
      </c>
      <c r="AB354" s="4" t="s">
        <v>82</v>
      </c>
      <c r="AC354" s="22" t="str">
        <f>"－"</f>
        <v>－</v>
      </c>
      <c r="AD354" s="5" t="s">
        <v>82</v>
      </c>
      <c r="AE354" s="23" t="str">
        <f>"－"</f>
        <v>－</v>
      </c>
    </row>
    <row r="355">
      <c r="A355" s="24" t="s">
        <v>961</v>
      </c>
      <c r="B355" s="25" t="s">
        <v>962</v>
      </c>
      <c r="C355" s="26"/>
      <c r="D355" s="27"/>
      <c r="E355" s="28" t="s">
        <v>150</v>
      </c>
      <c r="F355" s="20" t="n">
        <f>124</f>
        <v>124.0</v>
      </c>
      <c r="G355" s="21" t="str">
        <f>"－"</f>
        <v>－</v>
      </c>
      <c r="H355" s="21"/>
      <c r="I355" s="21"/>
      <c r="J355" s="21" t="str">
        <f>"－"</f>
        <v>－</v>
      </c>
      <c r="K355" s="21"/>
      <c r="L355" s="4" t="s">
        <v>666</v>
      </c>
      <c r="M355" s="22" t="str">
        <f>"－"</f>
        <v>－</v>
      </c>
      <c r="N355" s="5" t="s">
        <v>666</v>
      </c>
      <c r="O355" s="23" t="str">
        <f>"－"</f>
        <v>－</v>
      </c>
      <c r="P355" s="3" t="s">
        <v>247</v>
      </c>
      <c r="Q355" s="21"/>
      <c r="R355" s="3"/>
      <c r="S355" s="21" t="str">
        <f>"－"</f>
        <v>－</v>
      </c>
      <c r="T355" s="21"/>
      <c r="U355" s="5" t="s">
        <v>666</v>
      </c>
      <c r="V355" s="23" t="str">
        <f>"－"</f>
        <v>－</v>
      </c>
      <c r="W355" s="5" t="s">
        <v>666</v>
      </c>
      <c r="X355" s="23" t="str">
        <f>"－"</f>
        <v>－</v>
      </c>
      <c r="Y355" s="23"/>
      <c r="Z355" s="21" t="str">
        <f>"－"</f>
        <v>－</v>
      </c>
      <c r="AA355" s="21" t="str">
        <f>"－"</f>
        <v>－</v>
      </c>
      <c r="AB355" s="4" t="s">
        <v>666</v>
      </c>
      <c r="AC355" s="22" t="str">
        <f>"－"</f>
        <v>－</v>
      </c>
      <c r="AD355" s="5" t="s">
        <v>666</v>
      </c>
      <c r="AE355" s="23" t="str">
        <f>"－"</f>
        <v>－</v>
      </c>
    </row>
    <row r="356">
      <c r="A356" s="24" t="s">
        <v>961</v>
      </c>
      <c r="B356" s="25" t="s">
        <v>962</v>
      </c>
      <c r="C356" s="26"/>
      <c r="D356" s="27"/>
      <c r="E356" s="28" t="s">
        <v>154</v>
      </c>
      <c r="F356" s="20" t="n">
        <f>120</f>
        <v>120.0</v>
      </c>
      <c r="G356" s="21" t="str">
        <f>"－"</f>
        <v>－</v>
      </c>
      <c r="H356" s="21"/>
      <c r="I356" s="21"/>
      <c r="J356" s="21" t="str">
        <f>"－"</f>
        <v>－</v>
      </c>
      <c r="K356" s="21"/>
      <c r="L356" s="4" t="s">
        <v>268</v>
      </c>
      <c r="M356" s="22" t="str">
        <f>"－"</f>
        <v>－</v>
      </c>
      <c r="N356" s="5" t="s">
        <v>268</v>
      </c>
      <c r="O356" s="23" t="str">
        <f>"－"</f>
        <v>－</v>
      </c>
      <c r="P356" s="3" t="s">
        <v>247</v>
      </c>
      <c r="Q356" s="21"/>
      <c r="R356" s="3"/>
      <c r="S356" s="21" t="str">
        <f>"－"</f>
        <v>－</v>
      </c>
      <c r="T356" s="21"/>
      <c r="U356" s="5" t="s">
        <v>268</v>
      </c>
      <c r="V356" s="23" t="str">
        <f>"－"</f>
        <v>－</v>
      </c>
      <c r="W356" s="5" t="s">
        <v>268</v>
      </c>
      <c r="X356" s="23" t="str">
        <f>"－"</f>
        <v>－</v>
      </c>
      <c r="Y356" s="23"/>
      <c r="Z356" s="21" t="str">
        <f>"－"</f>
        <v>－</v>
      </c>
      <c r="AA356" s="21" t="str">
        <f>"－"</f>
        <v>－</v>
      </c>
      <c r="AB356" s="4" t="s">
        <v>268</v>
      </c>
      <c r="AC356" s="22" t="str">
        <f>"－"</f>
        <v>－</v>
      </c>
      <c r="AD356" s="5" t="s">
        <v>268</v>
      </c>
      <c r="AE356" s="23" t="str">
        <f>"－"</f>
        <v>－</v>
      </c>
    </row>
    <row r="357">
      <c r="A357" s="24" t="s">
        <v>979</v>
      </c>
      <c r="B357" s="25" t="s">
        <v>980</v>
      </c>
      <c r="C357" s="26"/>
      <c r="D357" s="27"/>
      <c r="E357" s="28" t="s">
        <v>70</v>
      </c>
      <c r="F357" s="20" t="n">
        <f>51</f>
        <v>51.0</v>
      </c>
      <c r="G357" s="21" t="str">
        <f>"－"</f>
        <v>－</v>
      </c>
      <c r="H357" s="21"/>
      <c r="I357" s="21" t="str">
        <f>"－"</f>
        <v>－</v>
      </c>
      <c r="J357" s="21" t="str">
        <f>"－"</f>
        <v>－</v>
      </c>
      <c r="K357" s="21" t="str">
        <f>"－"</f>
        <v>－</v>
      </c>
      <c r="L357" s="4" t="s">
        <v>217</v>
      </c>
      <c r="M357" s="22" t="str">
        <f>"－"</f>
        <v>－</v>
      </c>
      <c r="N357" s="5" t="s">
        <v>217</v>
      </c>
      <c r="O357" s="23" t="str">
        <f>"－"</f>
        <v>－</v>
      </c>
      <c r="P357" s="3" t="s">
        <v>247</v>
      </c>
      <c r="Q357" s="21"/>
      <c r="R357" s="3" t="s">
        <v>247</v>
      </c>
      <c r="S357" s="21" t="str">
        <f>"－"</f>
        <v>－</v>
      </c>
      <c r="T357" s="21" t="str">
        <f>"－"</f>
        <v>－</v>
      </c>
      <c r="U357" s="5" t="s">
        <v>217</v>
      </c>
      <c r="V357" s="23" t="str">
        <f>"－"</f>
        <v>－</v>
      </c>
      <c r="W357" s="5" t="s">
        <v>217</v>
      </c>
      <c r="X357" s="23" t="str">
        <f>"－"</f>
        <v>－</v>
      </c>
      <c r="Y357" s="23"/>
      <c r="Z357" s="21" t="str">
        <f>"－"</f>
        <v>－</v>
      </c>
      <c r="AA357" s="21" t="str">
        <f>"－"</f>
        <v>－</v>
      </c>
      <c r="AB357" s="4" t="s">
        <v>217</v>
      </c>
      <c r="AC357" s="22" t="str">
        <f>"－"</f>
        <v>－</v>
      </c>
      <c r="AD357" s="5" t="s">
        <v>217</v>
      </c>
      <c r="AE357" s="23" t="str">
        <f>"－"</f>
        <v>－</v>
      </c>
    </row>
    <row r="358">
      <c r="A358" s="24" t="s">
        <v>979</v>
      </c>
      <c r="B358" s="25" t="s">
        <v>980</v>
      </c>
      <c r="C358" s="26"/>
      <c r="D358" s="27"/>
      <c r="E358" s="28" t="s">
        <v>77</v>
      </c>
      <c r="F358" s="20" t="n">
        <f>122</f>
        <v>122.0</v>
      </c>
      <c r="G358" s="21" t="str">
        <f>"－"</f>
        <v>－</v>
      </c>
      <c r="H358" s="21"/>
      <c r="I358" s="21" t="str">
        <f>"－"</f>
        <v>－</v>
      </c>
      <c r="J358" s="21" t="str">
        <f>"－"</f>
        <v>－</v>
      </c>
      <c r="K358" s="21" t="str">
        <f>"－"</f>
        <v>－</v>
      </c>
      <c r="L358" s="4" t="s">
        <v>82</v>
      </c>
      <c r="M358" s="22" t="str">
        <f>"－"</f>
        <v>－</v>
      </c>
      <c r="N358" s="5" t="s">
        <v>82</v>
      </c>
      <c r="O358" s="23" t="str">
        <f>"－"</f>
        <v>－</v>
      </c>
      <c r="P358" s="3" t="s">
        <v>247</v>
      </c>
      <c r="Q358" s="21"/>
      <c r="R358" s="3" t="s">
        <v>247</v>
      </c>
      <c r="S358" s="21" t="str">
        <f>"－"</f>
        <v>－</v>
      </c>
      <c r="T358" s="21" t="str">
        <f>"－"</f>
        <v>－</v>
      </c>
      <c r="U358" s="5" t="s">
        <v>82</v>
      </c>
      <c r="V358" s="23" t="str">
        <f>"－"</f>
        <v>－</v>
      </c>
      <c r="W358" s="5" t="s">
        <v>82</v>
      </c>
      <c r="X358" s="23" t="str">
        <f>"－"</f>
        <v>－</v>
      </c>
      <c r="Y358" s="23"/>
      <c r="Z358" s="21" t="str">
        <f>"－"</f>
        <v>－</v>
      </c>
      <c r="AA358" s="21" t="str">
        <f>"－"</f>
        <v>－</v>
      </c>
      <c r="AB358" s="4" t="s">
        <v>82</v>
      </c>
      <c r="AC358" s="22" t="str">
        <f>"－"</f>
        <v>－</v>
      </c>
      <c r="AD358" s="5" t="s">
        <v>82</v>
      </c>
      <c r="AE358" s="23" t="str">
        <f>"－"</f>
        <v>－</v>
      </c>
    </row>
    <row r="359">
      <c r="A359" s="24" t="s">
        <v>979</v>
      </c>
      <c r="B359" s="25" t="s">
        <v>980</v>
      </c>
      <c r="C359" s="26"/>
      <c r="D359" s="27"/>
      <c r="E359" s="28" t="s">
        <v>83</v>
      </c>
      <c r="F359" s="20" t="n">
        <f>124</f>
        <v>124.0</v>
      </c>
      <c r="G359" s="21" t="str">
        <f>"－"</f>
        <v>－</v>
      </c>
      <c r="H359" s="21"/>
      <c r="I359" s="21" t="str">
        <f>"－"</f>
        <v>－</v>
      </c>
      <c r="J359" s="21" t="str">
        <f>"－"</f>
        <v>－</v>
      </c>
      <c r="K359" s="21" t="str">
        <f>"－"</f>
        <v>－</v>
      </c>
      <c r="L359" s="4" t="s">
        <v>666</v>
      </c>
      <c r="M359" s="22" t="str">
        <f>"－"</f>
        <v>－</v>
      </c>
      <c r="N359" s="5" t="s">
        <v>666</v>
      </c>
      <c r="O359" s="23" t="str">
        <f>"－"</f>
        <v>－</v>
      </c>
      <c r="P359" s="3" t="s">
        <v>247</v>
      </c>
      <c r="Q359" s="21"/>
      <c r="R359" s="3" t="s">
        <v>247</v>
      </c>
      <c r="S359" s="21" t="str">
        <f>"－"</f>
        <v>－</v>
      </c>
      <c r="T359" s="21" t="str">
        <f>"－"</f>
        <v>－</v>
      </c>
      <c r="U359" s="5" t="s">
        <v>666</v>
      </c>
      <c r="V359" s="23" t="str">
        <f>"－"</f>
        <v>－</v>
      </c>
      <c r="W359" s="5" t="s">
        <v>666</v>
      </c>
      <c r="X359" s="23" t="str">
        <f>"－"</f>
        <v>－</v>
      </c>
      <c r="Y359" s="23"/>
      <c r="Z359" s="21" t="str">
        <f>"－"</f>
        <v>－</v>
      </c>
      <c r="AA359" s="21" t="str">
        <f>"－"</f>
        <v>－</v>
      </c>
      <c r="AB359" s="4" t="s">
        <v>666</v>
      </c>
      <c r="AC359" s="22" t="str">
        <f>"－"</f>
        <v>－</v>
      </c>
      <c r="AD359" s="5" t="s">
        <v>666</v>
      </c>
      <c r="AE359" s="23" t="str">
        <f>"－"</f>
        <v>－</v>
      </c>
    </row>
    <row r="360">
      <c r="A360" s="24" t="s">
        <v>979</v>
      </c>
      <c r="B360" s="25" t="s">
        <v>980</v>
      </c>
      <c r="C360" s="26"/>
      <c r="D360" s="27"/>
      <c r="E360" s="28" t="s">
        <v>89</v>
      </c>
      <c r="F360" s="20" t="n">
        <f>121</f>
        <v>121.0</v>
      </c>
      <c r="G360" s="21" t="str">
        <f>"－"</f>
        <v>－</v>
      </c>
      <c r="H360" s="21"/>
      <c r="I360" s="21" t="str">
        <f>"－"</f>
        <v>－</v>
      </c>
      <c r="J360" s="21" t="str">
        <f>"－"</f>
        <v>－</v>
      </c>
      <c r="K360" s="21" t="str">
        <f>"－"</f>
        <v>－</v>
      </c>
      <c r="L360" s="4" t="s">
        <v>268</v>
      </c>
      <c r="M360" s="22" t="str">
        <f>"－"</f>
        <v>－</v>
      </c>
      <c r="N360" s="5" t="s">
        <v>268</v>
      </c>
      <c r="O360" s="23" t="str">
        <f>"－"</f>
        <v>－</v>
      </c>
      <c r="P360" s="3" t="s">
        <v>247</v>
      </c>
      <c r="Q360" s="21"/>
      <c r="R360" s="3" t="s">
        <v>247</v>
      </c>
      <c r="S360" s="21" t="str">
        <f>"－"</f>
        <v>－</v>
      </c>
      <c r="T360" s="21" t="str">
        <f>"－"</f>
        <v>－</v>
      </c>
      <c r="U360" s="5" t="s">
        <v>268</v>
      </c>
      <c r="V360" s="23" t="str">
        <f>"－"</f>
        <v>－</v>
      </c>
      <c r="W360" s="5" t="s">
        <v>268</v>
      </c>
      <c r="X360" s="23" t="str">
        <f>"－"</f>
        <v>－</v>
      </c>
      <c r="Y360" s="23"/>
      <c r="Z360" s="21" t="str">
        <f>"－"</f>
        <v>－</v>
      </c>
      <c r="AA360" s="21" t="str">
        <f>"－"</f>
        <v>－</v>
      </c>
      <c r="AB360" s="4" t="s">
        <v>268</v>
      </c>
      <c r="AC360" s="22" t="str">
        <f>"－"</f>
        <v>－</v>
      </c>
      <c r="AD360" s="5" t="s">
        <v>268</v>
      </c>
      <c r="AE360" s="23" t="str">
        <f>"－"</f>
        <v>－</v>
      </c>
    </row>
    <row r="361">
      <c r="A361" s="24" t="s">
        <v>979</v>
      </c>
      <c r="B361" s="25" t="s">
        <v>980</v>
      </c>
      <c r="C361" s="26"/>
      <c r="D361" s="27"/>
      <c r="E361" s="28" t="s">
        <v>95</v>
      </c>
      <c r="F361" s="20" t="n">
        <f>124</f>
        <v>124.0</v>
      </c>
      <c r="G361" s="21" t="n">
        <f>3</f>
        <v>3.0</v>
      </c>
      <c r="H361" s="21"/>
      <c r="I361" s="21" t="str">
        <f>"－"</f>
        <v>－</v>
      </c>
      <c r="J361" s="21" t="n">
        <f>0</f>
        <v>0.0</v>
      </c>
      <c r="K361" s="21" t="str">
        <f>"－"</f>
        <v>－</v>
      </c>
      <c r="L361" s="4" t="s">
        <v>100</v>
      </c>
      <c r="M361" s="22" t="n">
        <f>2</f>
        <v>2.0</v>
      </c>
      <c r="N361" s="5" t="s">
        <v>263</v>
      </c>
      <c r="O361" s="23" t="str">
        <f>"－"</f>
        <v>－</v>
      </c>
      <c r="P361" s="3" t="s">
        <v>981</v>
      </c>
      <c r="Q361" s="21"/>
      <c r="R361" s="3" t="s">
        <v>247</v>
      </c>
      <c r="S361" s="21" t="n">
        <f>48484</f>
        <v>48484.0</v>
      </c>
      <c r="T361" s="21" t="str">
        <f>"－"</f>
        <v>－</v>
      </c>
      <c r="U361" s="5" t="s">
        <v>100</v>
      </c>
      <c r="V361" s="23" t="n">
        <f>4120000</f>
        <v>4120000.0</v>
      </c>
      <c r="W361" s="5" t="s">
        <v>263</v>
      </c>
      <c r="X361" s="23" t="str">
        <f>"－"</f>
        <v>－</v>
      </c>
      <c r="Y361" s="23"/>
      <c r="Z361" s="21" t="str">
        <f>"－"</f>
        <v>－</v>
      </c>
      <c r="AA361" s="21" t="n">
        <f>1</f>
        <v>1.0</v>
      </c>
      <c r="AB361" s="4" t="s">
        <v>100</v>
      </c>
      <c r="AC361" s="22" t="n">
        <f>2</f>
        <v>2.0</v>
      </c>
      <c r="AD361" s="5" t="s">
        <v>263</v>
      </c>
      <c r="AE361" s="23" t="str">
        <f>"－"</f>
        <v>－</v>
      </c>
    </row>
    <row r="362">
      <c r="A362" s="24" t="s">
        <v>979</v>
      </c>
      <c r="B362" s="25" t="s">
        <v>980</v>
      </c>
      <c r="C362" s="26"/>
      <c r="D362" s="27"/>
      <c r="E362" s="28" t="s">
        <v>101</v>
      </c>
      <c r="F362" s="20" t="n">
        <f>120</f>
        <v>120.0</v>
      </c>
      <c r="G362" s="21" t="n">
        <f>1</f>
        <v>1.0</v>
      </c>
      <c r="H362" s="21"/>
      <c r="I362" s="21" t="str">
        <f>"－"</f>
        <v>－</v>
      </c>
      <c r="J362" s="21" t="n">
        <f>0</f>
        <v>0.0</v>
      </c>
      <c r="K362" s="21" t="str">
        <f>"－"</f>
        <v>－</v>
      </c>
      <c r="L362" s="4" t="s">
        <v>113</v>
      </c>
      <c r="M362" s="22" t="n">
        <f>1</f>
        <v>1.0</v>
      </c>
      <c r="N362" s="5" t="s">
        <v>279</v>
      </c>
      <c r="O362" s="23" t="str">
        <f>"－"</f>
        <v>－</v>
      </c>
      <c r="P362" s="3" t="s">
        <v>982</v>
      </c>
      <c r="Q362" s="21"/>
      <c r="R362" s="3" t="s">
        <v>247</v>
      </c>
      <c r="S362" s="21" t="n">
        <f>14917</f>
        <v>14917.0</v>
      </c>
      <c r="T362" s="21" t="str">
        <f>"－"</f>
        <v>－</v>
      </c>
      <c r="U362" s="5" t="s">
        <v>113</v>
      </c>
      <c r="V362" s="23" t="n">
        <f>1790000</f>
        <v>1790000.0</v>
      </c>
      <c r="W362" s="5" t="s">
        <v>279</v>
      </c>
      <c r="X362" s="23" t="str">
        <f>"－"</f>
        <v>－</v>
      </c>
      <c r="Y362" s="23"/>
      <c r="Z362" s="21" t="str">
        <f>"－"</f>
        <v>－</v>
      </c>
      <c r="AA362" s="21" t="str">
        <f>"－"</f>
        <v>－</v>
      </c>
      <c r="AB362" s="4" t="s">
        <v>279</v>
      </c>
      <c r="AC362" s="22" t="n">
        <f>1</f>
        <v>1.0</v>
      </c>
      <c r="AD362" s="5" t="s">
        <v>113</v>
      </c>
      <c r="AE362" s="23" t="str">
        <f>"－"</f>
        <v>－</v>
      </c>
    </row>
    <row r="363">
      <c r="A363" s="24" t="s">
        <v>979</v>
      </c>
      <c r="B363" s="25" t="s">
        <v>980</v>
      </c>
      <c r="C363" s="26"/>
      <c r="D363" s="27"/>
      <c r="E363" s="28" t="s">
        <v>106</v>
      </c>
      <c r="F363" s="20" t="n">
        <f>121</f>
        <v>121.0</v>
      </c>
      <c r="G363" s="21" t="n">
        <f>3</f>
        <v>3.0</v>
      </c>
      <c r="H363" s="21"/>
      <c r="I363" s="21" t="str">
        <f>"－"</f>
        <v>－</v>
      </c>
      <c r="J363" s="21" t="n">
        <f>0</f>
        <v>0.0</v>
      </c>
      <c r="K363" s="21" t="str">
        <f>"－"</f>
        <v>－</v>
      </c>
      <c r="L363" s="4" t="s">
        <v>983</v>
      </c>
      <c r="M363" s="22" t="n">
        <f>2</f>
        <v>2.0</v>
      </c>
      <c r="N363" s="5" t="s">
        <v>335</v>
      </c>
      <c r="O363" s="23" t="str">
        <f>"－"</f>
        <v>－</v>
      </c>
      <c r="P363" s="3" t="s">
        <v>984</v>
      </c>
      <c r="Q363" s="21"/>
      <c r="R363" s="3" t="s">
        <v>247</v>
      </c>
      <c r="S363" s="21" t="n">
        <f>44595</f>
        <v>44595.0</v>
      </c>
      <c r="T363" s="21" t="str">
        <f>"－"</f>
        <v>－</v>
      </c>
      <c r="U363" s="5" t="s">
        <v>983</v>
      </c>
      <c r="V363" s="23" t="n">
        <f>3689500</f>
        <v>3689500.0</v>
      </c>
      <c r="W363" s="5" t="s">
        <v>335</v>
      </c>
      <c r="X363" s="23" t="str">
        <f>"－"</f>
        <v>－</v>
      </c>
      <c r="Y363" s="23"/>
      <c r="Z363" s="21" t="str">
        <f>"－"</f>
        <v>－</v>
      </c>
      <c r="AA363" s="21" t="str">
        <f>"－"</f>
        <v>－</v>
      </c>
      <c r="AB363" s="4" t="s">
        <v>983</v>
      </c>
      <c r="AC363" s="22" t="n">
        <f>1</f>
        <v>1.0</v>
      </c>
      <c r="AD363" s="5" t="s">
        <v>335</v>
      </c>
      <c r="AE363" s="23" t="str">
        <f>"－"</f>
        <v>－</v>
      </c>
    </row>
    <row r="364">
      <c r="A364" s="24" t="s">
        <v>979</v>
      </c>
      <c r="B364" s="25" t="s">
        <v>980</v>
      </c>
      <c r="C364" s="26"/>
      <c r="D364" s="27"/>
      <c r="E364" s="28" t="s">
        <v>112</v>
      </c>
      <c r="F364" s="20" t="n">
        <f>120</f>
        <v>120.0</v>
      </c>
      <c r="G364" s="21" t="str">
        <f>"－"</f>
        <v>－</v>
      </c>
      <c r="H364" s="21"/>
      <c r="I364" s="21" t="str">
        <f>"－"</f>
        <v>－</v>
      </c>
      <c r="J364" s="21" t="str">
        <f>"－"</f>
        <v>－</v>
      </c>
      <c r="K364" s="21" t="str">
        <f>"－"</f>
        <v>－</v>
      </c>
      <c r="L364" s="4" t="s">
        <v>279</v>
      </c>
      <c r="M364" s="22" t="str">
        <f>"－"</f>
        <v>－</v>
      </c>
      <c r="N364" s="5" t="s">
        <v>279</v>
      </c>
      <c r="O364" s="23" t="str">
        <f>"－"</f>
        <v>－</v>
      </c>
      <c r="P364" s="3" t="s">
        <v>247</v>
      </c>
      <c r="Q364" s="21"/>
      <c r="R364" s="3" t="s">
        <v>247</v>
      </c>
      <c r="S364" s="21" t="str">
        <f>"－"</f>
        <v>－</v>
      </c>
      <c r="T364" s="21" t="str">
        <f>"－"</f>
        <v>－</v>
      </c>
      <c r="U364" s="5" t="s">
        <v>279</v>
      </c>
      <c r="V364" s="23" t="str">
        <f>"－"</f>
        <v>－</v>
      </c>
      <c r="W364" s="5" t="s">
        <v>279</v>
      </c>
      <c r="X364" s="23" t="str">
        <f>"－"</f>
        <v>－</v>
      </c>
      <c r="Y364" s="23"/>
      <c r="Z364" s="21" t="str">
        <f>"－"</f>
        <v>－</v>
      </c>
      <c r="AA364" s="21" t="str">
        <f>"－"</f>
        <v>－</v>
      </c>
      <c r="AB364" s="4" t="s">
        <v>279</v>
      </c>
      <c r="AC364" s="22" t="str">
        <f>"－"</f>
        <v>－</v>
      </c>
      <c r="AD364" s="5" t="s">
        <v>279</v>
      </c>
      <c r="AE364" s="23" t="str">
        <f>"－"</f>
        <v>－</v>
      </c>
    </row>
    <row r="365">
      <c r="A365" s="24" t="s">
        <v>979</v>
      </c>
      <c r="B365" s="25" t="s">
        <v>980</v>
      </c>
      <c r="C365" s="26"/>
      <c r="D365" s="27"/>
      <c r="E365" s="28" t="s">
        <v>118</v>
      </c>
      <c r="F365" s="20" t="n">
        <f>122</f>
        <v>122.0</v>
      </c>
      <c r="G365" s="21" t="n">
        <f>30</f>
        <v>30.0</v>
      </c>
      <c r="H365" s="21"/>
      <c r="I365" s="21" t="str">
        <f>"－"</f>
        <v>－</v>
      </c>
      <c r="J365" s="21" t="n">
        <f>0</f>
        <v>0.0</v>
      </c>
      <c r="K365" s="21" t="str">
        <f>"－"</f>
        <v>－</v>
      </c>
      <c r="L365" s="4" t="s">
        <v>985</v>
      </c>
      <c r="M365" s="22" t="n">
        <f>11</f>
        <v>11.0</v>
      </c>
      <c r="N365" s="5" t="s">
        <v>335</v>
      </c>
      <c r="O365" s="23" t="str">
        <f>"－"</f>
        <v>－</v>
      </c>
      <c r="P365" s="3" t="s">
        <v>986</v>
      </c>
      <c r="Q365" s="21"/>
      <c r="R365" s="3" t="s">
        <v>247</v>
      </c>
      <c r="S365" s="21" t="n">
        <f>458672</f>
        <v>458672.0</v>
      </c>
      <c r="T365" s="21" t="str">
        <f>"－"</f>
        <v>－</v>
      </c>
      <c r="U365" s="5" t="s">
        <v>985</v>
      </c>
      <c r="V365" s="23" t="n">
        <f>19732500</f>
        <v>1.97325E7</v>
      </c>
      <c r="W365" s="5" t="s">
        <v>335</v>
      </c>
      <c r="X365" s="23" t="str">
        <f>"－"</f>
        <v>－</v>
      </c>
      <c r="Y365" s="23"/>
      <c r="Z365" s="21" t="str">
        <f>"－"</f>
        <v>－</v>
      </c>
      <c r="AA365" s="21" t="str">
        <f>"－"</f>
        <v>－</v>
      </c>
      <c r="AB365" s="4" t="s">
        <v>985</v>
      </c>
      <c r="AC365" s="22" t="n">
        <f>6</f>
        <v>6.0</v>
      </c>
      <c r="AD365" s="5" t="s">
        <v>335</v>
      </c>
      <c r="AE365" s="23" t="str">
        <f>"－"</f>
        <v>－</v>
      </c>
    </row>
    <row r="366">
      <c r="A366" s="24" t="s">
        <v>979</v>
      </c>
      <c r="B366" s="25" t="s">
        <v>980</v>
      </c>
      <c r="C366" s="26"/>
      <c r="D366" s="27"/>
      <c r="E366" s="28" t="s">
        <v>124</v>
      </c>
      <c r="F366" s="20" t="n">
        <f>123</f>
        <v>123.0</v>
      </c>
      <c r="G366" s="21" t="n">
        <f>142</f>
        <v>142.0</v>
      </c>
      <c r="H366" s="21"/>
      <c r="I366" s="21" t="str">
        <f>"－"</f>
        <v>－</v>
      </c>
      <c r="J366" s="21" t="n">
        <f>1</f>
        <v>1.0</v>
      </c>
      <c r="K366" s="21" t="str">
        <f>"－"</f>
        <v>－</v>
      </c>
      <c r="L366" s="4" t="s">
        <v>987</v>
      </c>
      <c r="M366" s="22" t="n">
        <f>15</f>
        <v>15.0</v>
      </c>
      <c r="N366" s="5" t="s">
        <v>279</v>
      </c>
      <c r="O366" s="23" t="str">
        <f>"－"</f>
        <v>－</v>
      </c>
      <c r="P366" s="3" t="s">
        <v>988</v>
      </c>
      <c r="Q366" s="21"/>
      <c r="R366" s="3" t="s">
        <v>247</v>
      </c>
      <c r="S366" s="21" t="n">
        <f>2576524</f>
        <v>2576524.0</v>
      </c>
      <c r="T366" s="21" t="str">
        <f>"－"</f>
        <v>－</v>
      </c>
      <c r="U366" s="5" t="s">
        <v>987</v>
      </c>
      <c r="V366" s="23" t="n">
        <f>34549500</f>
        <v>3.45495E7</v>
      </c>
      <c r="W366" s="5" t="s">
        <v>279</v>
      </c>
      <c r="X366" s="23" t="str">
        <f>"－"</f>
        <v>－</v>
      </c>
      <c r="Y366" s="23"/>
      <c r="Z366" s="21" t="str">
        <f>"－"</f>
        <v>－</v>
      </c>
      <c r="AA366" s="21" t="str">
        <f>"－"</f>
        <v>－</v>
      </c>
      <c r="AB366" s="4" t="s">
        <v>149</v>
      </c>
      <c r="AC366" s="22" t="n">
        <f>30</f>
        <v>30.0</v>
      </c>
      <c r="AD366" s="5" t="s">
        <v>279</v>
      </c>
      <c r="AE366" s="23" t="str">
        <f>"－"</f>
        <v>－</v>
      </c>
    </row>
    <row r="367">
      <c r="A367" s="24" t="s">
        <v>979</v>
      </c>
      <c r="B367" s="25" t="s">
        <v>980</v>
      </c>
      <c r="C367" s="26"/>
      <c r="D367" s="27"/>
      <c r="E367" s="28" t="s">
        <v>127</v>
      </c>
      <c r="F367" s="20" t="n">
        <f>122</f>
        <v>122.0</v>
      </c>
      <c r="G367" s="21" t="str">
        <f>"－"</f>
        <v>－</v>
      </c>
      <c r="H367" s="21"/>
      <c r="I367" s="21" t="str">
        <f>"－"</f>
        <v>－</v>
      </c>
      <c r="J367" s="21" t="str">
        <f>"－"</f>
        <v>－</v>
      </c>
      <c r="K367" s="21" t="str">
        <f>"－"</f>
        <v>－</v>
      </c>
      <c r="L367" s="4" t="s">
        <v>335</v>
      </c>
      <c r="M367" s="22" t="str">
        <f>"－"</f>
        <v>－</v>
      </c>
      <c r="N367" s="5" t="s">
        <v>335</v>
      </c>
      <c r="O367" s="23" t="str">
        <f>"－"</f>
        <v>－</v>
      </c>
      <c r="P367" s="3" t="s">
        <v>247</v>
      </c>
      <c r="Q367" s="21"/>
      <c r="R367" s="3" t="s">
        <v>247</v>
      </c>
      <c r="S367" s="21" t="str">
        <f>"－"</f>
        <v>－</v>
      </c>
      <c r="T367" s="21" t="str">
        <f>"－"</f>
        <v>－</v>
      </c>
      <c r="U367" s="5" t="s">
        <v>335</v>
      </c>
      <c r="V367" s="23" t="str">
        <f>"－"</f>
        <v>－</v>
      </c>
      <c r="W367" s="5" t="s">
        <v>335</v>
      </c>
      <c r="X367" s="23" t="str">
        <f>"－"</f>
        <v>－</v>
      </c>
      <c r="Y367" s="23"/>
      <c r="Z367" s="21" t="str">
        <f>"－"</f>
        <v>－</v>
      </c>
      <c r="AA367" s="21" t="str">
        <f>"－"</f>
        <v>－</v>
      </c>
      <c r="AB367" s="4" t="s">
        <v>335</v>
      </c>
      <c r="AC367" s="22" t="str">
        <f>"－"</f>
        <v>－</v>
      </c>
      <c r="AD367" s="5" t="s">
        <v>335</v>
      </c>
      <c r="AE367" s="23" t="str">
        <f>"－"</f>
        <v>－</v>
      </c>
    </row>
    <row r="368">
      <c r="A368" s="24" t="s">
        <v>979</v>
      </c>
      <c r="B368" s="25" t="s">
        <v>980</v>
      </c>
      <c r="C368" s="26"/>
      <c r="D368" s="27"/>
      <c r="E368" s="28" t="s">
        <v>133</v>
      </c>
      <c r="F368" s="20" t="n">
        <f>122</f>
        <v>122.0</v>
      </c>
      <c r="G368" s="21" t="str">
        <f>"－"</f>
        <v>－</v>
      </c>
      <c r="H368" s="21"/>
      <c r="I368" s="21" t="str">
        <f>"－"</f>
        <v>－</v>
      </c>
      <c r="J368" s="21" t="str">
        <f>"－"</f>
        <v>－</v>
      </c>
      <c r="K368" s="21" t="str">
        <f>"－"</f>
        <v>－</v>
      </c>
      <c r="L368" s="4" t="s">
        <v>279</v>
      </c>
      <c r="M368" s="22" t="str">
        <f>"－"</f>
        <v>－</v>
      </c>
      <c r="N368" s="5" t="s">
        <v>279</v>
      </c>
      <c r="O368" s="23" t="str">
        <f>"－"</f>
        <v>－</v>
      </c>
      <c r="P368" s="3" t="s">
        <v>247</v>
      </c>
      <c r="Q368" s="21"/>
      <c r="R368" s="3" t="s">
        <v>247</v>
      </c>
      <c r="S368" s="21" t="str">
        <f>"－"</f>
        <v>－</v>
      </c>
      <c r="T368" s="21" t="str">
        <f>"－"</f>
        <v>－</v>
      </c>
      <c r="U368" s="5" t="s">
        <v>279</v>
      </c>
      <c r="V368" s="23" t="str">
        <f>"－"</f>
        <v>－</v>
      </c>
      <c r="W368" s="5" t="s">
        <v>279</v>
      </c>
      <c r="X368" s="23" t="str">
        <f>"－"</f>
        <v>－</v>
      </c>
      <c r="Y368" s="23"/>
      <c r="Z368" s="21" t="str">
        <f>"－"</f>
        <v>－</v>
      </c>
      <c r="AA368" s="21" t="str">
        <f>"－"</f>
        <v>－</v>
      </c>
      <c r="AB368" s="4" t="s">
        <v>279</v>
      </c>
      <c r="AC368" s="22" t="str">
        <f>"－"</f>
        <v>－</v>
      </c>
      <c r="AD368" s="5" t="s">
        <v>279</v>
      </c>
      <c r="AE368" s="23" t="str">
        <f>"－"</f>
        <v>－</v>
      </c>
    </row>
    <row r="369">
      <c r="A369" s="24" t="s">
        <v>979</v>
      </c>
      <c r="B369" s="25" t="s">
        <v>980</v>
      </c>
      <c r="C369" s="26"/>
      <c r="D369" s="27"/>
      <c r="E369" s="28" t="s">
        <v>139</v>
      </c>
      <c r="F369" s="20" t="n">
        <f>123</f>
        <v>123.0</v>
      </c>
      <c r="G369" s="21" t="str">
        <f>"－"</f>
        <v>－</v>
      </c>
      <c r="H369" s="21"/>
      <c r="I369" s="21" t="str">
        <f>"－"</f>
        <v>－</v>
      </c>
      <c r="J369" s="21" t="str">
        <f>"－"</f>
        <v>－</v>
      </c>
      <c r="K369" s="21" t="str">
        <f>"－"</f>
        <v>－</v>
      </c>
      <c r="L369" s="4" t="s">
        <v>335</v>
      </c>
      <c r="M369" s="22" t="str">
        <f>"－"</f>
        <v>－</v>
      </c>
      <c r="N369" s="5" t="s">
        <v>335</v>
      </c>
      <c r="O369" s="23" t="str">
        <f>"－"</f>
        <v>－</v>
      </c>
      <c r="P369" s="3" t="s">
        <v>247</v>
      </c>
      <c r="Q369" s="21"/>
      <c r="R369" s="3" t="s">
        <v>247</v>
      </c>
      <c r="S369" s="21" t="str">
        <f>"－"</f>
        <v>－</v>
      </c>
      <c r="T369" s="21" t="str">
        <f>"－"</f>
        <v>－</v>
      </c>
      <c r="U369" s="5" t="s">
        <v>335</v>
      </c>
      <c r="V369" s="23" t="str">
        <f>"－"</f>
        <v>－</v>
      </c>
      <c r="W369" s="5" t="s">
        <v>335</v>
      </c>
      <c r="X369" s="23" t="str">
        <f>"－"</f>
        <v>－</v>
      </c>
      <c r="Y369" s="23"/>
      <c r="Z369" s="21" t="str">
        <f>"－"</f>
        <v>－</v>
      </c>
      <c r="AA369" s="21" t="str">
        <f>"－"</f>
        <v>－</v>
      </c>
      <c r="AB369" s="4" t="s">
        <v>335</v>
      </c>
      <c r="AC369" s="22" t="str">
        <f>"－"</f>
        <v>－</v>
      </c>
      <c r="AD369" s="5" t="s">
        <v>335</v>
      </c>
      <c r="AE369" s="23" t="str">
        <f>"－"</f>
        <v>－</v>
      </c>
    </row>
    <row r="370">
      <c r="A370" s="24" t="s">
        <v>979</v>
      </c>
      <c r="B370" s="25" t="s">
        <v>980</v>
      </c>
      <c r="C370" s="26"/>
      <c r="D370" s="27"/>
      <c r="E370" s="28" t="s">
        <v>145</v>
      </c>
      <c r="F370" s="20" t="n">
        <f>122</f>
        <v>122.0</v>
      </c>
      <c r="G370" s="21" t="str">
        <f>"－"</f>
        <v>－</v>
      </c>
      <c r="H370" s="21"/>
      <c r="I370" s="21" t="str">
        <f>"－"</f>
        <v>－</v>
      </c>
      <c r="J370" s="21" t="str">
        <f>"－"</f>
        <v>－</v>
      </c>
      <c r="K370" s="21" t="str">
        <f>"－"</f>
        <v>－</v>
      </c>
      <c r="L370" s="4" t="s">
        <v>82</v>
      </c>
      <c r="M370" s="22" t="str">
        <f>"－"</f>
        <v>－</v>
      </c>
      <c r="N370" s="5" t="s">
        <v>82</v>
      </c>
      <c r="O370" s="23" t="str">
        <f>"－"</f>
        <v>－</v>
      </c>
      <c r="P370" s="3" t="s">
        <v>247</v>
      </c>
      <c r="Q370" s="21"/>
      <c r="R370" s="3" t="s">
        <v>247</v>
      </c>
      <c r="S370" s="21" t="str">
        <f>"－"</f>
        <v>－</v>
      </c>
      <c r="T370" s="21" t="str">
        <f>"－"</f>
        <v>－</v>
      </c>
      <c r="U370" s="5" t="s">
        <v>82</v>
      </c>
      <c r="V370" s="23" t="str">
        <f>"－"</f>
        <v>－</v>
      </c>
      <c r="W370" s="5" t="s">
        <v>82</v>
      </c>
      <c r="X370" s="23" t="str">
        <f>"－"</f>
        <v>－</v>
      </c>
      <c r="Y370" s="23"/>
      <c r="Z370" s="21" t="str">
        <f>"－"</f>
        <v>－</v>
      </c>
      <c r="AA370" s="21" t="str">
        <f>"－"</f>
        <v>－</v>
      </c>
      <c r="AB370" s="4" t="s">
        <v>82</v>
      </c>
      <c r="AC370" s="22" t="str">
        <f>"－"</f>
        <v>－</v>
      </c>
      <c r="AD370" s="5" t="s">
        <v>82</v>
      </c>
      <c r="AE370" s="23" t="str">
        <f>"－"</f>
        <v>－</v>
      </c>
    </row>
    <row r="371">
      <c r="A371" s="24" t="s">
        <v>979</v>
      </c>
      <c r="B371" s="25" t="s">
        <v>980</v>
      </c>
      <c r="C371" s="26"/>
      <c r="D371" s="27"/>
      <c r="E371" s="28" t="s">
        <v>150</v>
      </c>
      <c r="F371" s="20" t="n">
        <f>124</f>
        <v>124.0</v>
      </c>
      <c r="G371" s="21" t="str">
        <f>"－"</f>
        <v>－</v>
      </c>
      <c r="H371" s="21"/>
      <c r="I371" s="21" t="str">
        <f>"－"</f>
        <v>－</v>
      </c>
      <c r="J371" s="21" t="str">
        <f>"－"</f>
        <v>－</v>
      </c>
      <c r="K371" s="21" t="str">
        <f>"－"</f>
        <v>－</v>
      </c>
      <c r="L371" s="4" t="s">
        <v>666</v>
      </c>
      <c r="M371" s="22" t="str">
        <f>"－"</f>
        <v>－</v>
      </c>
      <c r="N371" s="5" t="s">
        <v>666</v>
      </c>
      <c r="O371" s="23" t="str">
        <f>"－"</f>
        <v>－</v>
      </c>
      <c r="P371" s="3" t="s">
        <v>247</v>
      </c>
      <c r="Q371" s="21"/>
      <c r="R371" s="3" t="s">
        <v>247</v>
      </c>
      <c r="S371" s="21" t="str">
        <f>"－"</f>
        <v>－</v>
      </c>
      <c r="T371" s="21" t="str">
        <f>"－"</f>
        <v>－</v>
      </c>
      <c r="U371" s="5" t="s">
        <v>666</v>
      </c>
      <c r="V371" s="23" t="str">
        <f>"－"</f>
        <v>－</v>
      </c>
      <c r="W371" s="5" t="s">
        <v>666</v>
      </c>
      <c r="X371" s="23" t="str">
        <f>"－"</f>
        <v>－</v>
      </c>
      <c r="Y371" s="23"/>
      <c r="Z371" s="21" t="str">
        <f>"－"</f>
        <v>－</v>
      </c>
      <c r="AA371" s="21" t="str">
        <f>"－"</f>
        <v>－</v>
      </c>
      <c r="AB371" s="4" t="s">
        <v>666</v>
      </c>
      <c r="AC371" s="22" t="str">
        <f>"－"</f>
        <v>－</v>
      </c>
      <c r="AD371" s="5" t="s">
        <v>666</v>
      </c>
      <c r="AE371" s="23" t="str">
        <f>"－"</f>
        <v>－</v>
      </c>
    </row>
    <row r="372">
      <c r="A372" s="24" t="s">
        <v>979</v>
      </c>
      <c r="B372" s="25" t="s">
        <v>980</v>
      </c>
      <c r="C372" s="26"/>
      <c r="D372" s="27"/>
      <c r="E372" s="28" t="s">
        <v>154</v>
      </c>
      <c r="F372" s="20" t="n">
        <f>120</f>
        <v>120.0</v>
      </c>
      <c r="G372" s="21" t="str">
        <f>"－"</f>
        <v>－</v>
      </c>
      <c r="H372" s="21"/>
      <c r="I372" s="21" t="str">
        <f>"－"</f>
        <v>－</v>
      </c>
      <c r="J372" s="21" t="str">
        <f>"－"</f>
        <v>－</v>
      </c>
      <c r="K372" s="21" t="str">
        <f>"－"</f>
        <v>－</v>
      </c>
      <c r="L372" s="4" t="s">
        <v>268</v>
      </c>
      <c r="M372" s="22" t="str">
        <f>"－"</f>
        <v>－</v>
      </c>
      <c r="N372" s="5" t="s">
        <v>268</v>
      </c>
      <c r="O372" s="23" t="str">
        <f>"－"</f>
        <v>－</v>
      </c>
      <c r="P372" s="3" t="s">
        <v>247</v>
      </c>
      <c r="Q372" s="21"/>
      <c r="R372" s="3" t="s">
        <v>247</v>
      </c>
      <c r="S372" s="21" t="str">
        <f>"－"</f>
        <v>－</v>
      </c>
      <c r="T372" s="21" t="str">
        <f>"－"</f>
        <v>－</v>
      </c>
      <c r="U372" s="5" t="s">
        <v>268</v>
      </c>
      <c r="V372" s="23" t="str">
        <f>"－"</f>
        <v>－</v>
      </c>
      <c r="W372" s="5" t="s">
        <v>268</v>
      </c>
      <c r="X372" s="23" t="str">
        <f>"－"</f>
        <v>－</v>
      </c>
      <c r="Y372" s="23"/>
      <c r="Z372" s="21" t="str">
        <f>"－"</f>
        <v>－</v>
      </c>
      <c r="AA372" s="21" t="str">
        <f>"－"</f>
        <v>－</v>
      </c>
      <c r="AB372" s="4" t="s">
        <v>268</v>
      </c>
      <c r="AC372" s="22" t="str">
        <f>"－"</f>
        <v>－</v>
      </c>
      <c r="AD372" s="5" t="s">
        <v>268</v>
      </c>
      <c r="AE372" s="23" t="str">
        <f>"－"</f>
        <v>－</v>
      </c>
    </row>
    <row r="373">
      <c r="A373" s="24" t="s">
        <v>989</v>
      </c>
      <c r="B373" s="25" t="s">
        <v>990</v>
      </c>
      <c r="C373" s="26"/>
      <c r="D373" s="27"/>
      <c r="E373" s="28" t="s">
        <v>412</v>
      </c>
      <c r="F373" s="20" t="n">
        <f>47</f>
        <v>47.0</v>
      </c>
      <c r="G373" s="21" t="n">
        <f>2351</f>
        <v>2351.0</v>
      </c>
      <c r="H373" s="21"/>
      <c r="I373" s="21" t="n">
        <f>1300</f>
        <v>1300.0</v>
      </c>
      <c r="J373" s="21" t="n">
        <f>50</f>
        <v>50.0</v>
      </c>
      <c r="K373" s="21" t="n">
        <f>28</f>
        <v>28.0</v>
      </c>
      <c r="L373" s="4" t="s">
        <v>84</v>
      </c>
      <c r="M373" s="22" t="n">
        <f>1000</f>
        <v>1000.0</v>
      </c>
      <c r="N373" s="5" t="s">
        <v>853</v>
      </c>
      <c r="O373" s="23" t="str">
        <f>"－"</f>
        <v>－</v>
      </c>
      <c r="P373" s="3" t="s">
        <v>991</v>
      </c>
      <c r="Q373" s="21"/>
      <c r="R373" s="3" t="s">
        <v>992</v>
      </c>
      <c r="S373" s="21" t="n">
        <f>7814819</f>
        <v>7814819.0</v>
      </c>
      <c r="T373" s="21" t="n">
        <f>4212766</f>
        <v>4212766.0</v>
      </c>
      <c r="U373" s="5" t="s">
        <v>84</v>
      </c>
      <c r="V373" s="23" t="n">
        <f>149500000</f>
        <v>1.495E8</v>
      </c>
      <c r="W373" s="5" t="s">
        <v>853</v>
      </c>
      <c r="X373" s="23" t="str">
        <f>"－"</f>
        <v>－</v>
      </c>
      <c r="Y373" s="23"/>
      <c r="Z373" s="21" t="str">
        <f>"－"</f>
        <v>－</v>
      </c>
      <c r="AA373" s="21" t="n">
        <f>2140</f>
        <v>2140.0</v>
      </c>
      <c r="AB373" s="4" t="s">
        <v>520</v>
      </c>
      <c r="AC373" s="22" t="n">
        <f>2140</f>
        <v>2140.0</v>
      </c>
      <c r="AD373" s="5" t="s">
        <v>993</v>
      </c>
      <c r="AE373" s="23" t="n">
        <f>40</f>
        <v>40.0</v>
      </c>
    </row>
    <row r="374">
      <c r="A374" s="24" t="s">
        <v>989</v>
      </c>
      <c r="B374" s="25" t="s">
        <v>990</v>
      </c>
      <c r="C374" s="26"/>
      <c r="D374" s="27"/>
      <c r="E374" s="28" t="s">
        <v>415</v>
      </c>
      <c r="F374" s="20" t="n">
        <f>121</f>
        <v>121.0</v>
      </c>
      <c r="G374" s="21" t="n">
        <f>54502</f>
        <v>54502.0</v>
      </c>
      <c r="H374" s="21"/>
      <c r="I374" s="21" t="n">
        <f>48401</f>
        <v>48401.0</v>
      </c>
      <c r="J374" s="21" t="n">
        <f>450</f>
        <v>450.0</v>
      </c>
      <c r="K374" s="21" t="n">
        <f>400</f>
        <v>400.0</v>
      </c>
      <c r="L374" s="4" t="s">
        <v>994</v>
      </c>
      <c r="M374" s="22" t="n">
        <f>5000</f>
        <v>5000.0</v>
      </c>
      <c r="N374" s="5" t="s">
        <v>279</v>
      </c>
      <c r="O374" s="23" t="str">
        <f>"－"</f>
        <v>－</v>
      </c>
      <c r="P374" s="3" t="s">
        <v>995</v>
      </c>
      <c r="Q374" s="21"/>
      <c r="R374" s="3" t="s">
        <v>996</v>
      </c>
      <c r="S374" s="21" t="n">
        <f>79424273</f>
        <v>7.9424273E7</v>
      </c>
      <c r="T374" s="21" t="n">
        <f>70696434</f>
        <v>7.0696434E7</v>
      </c>
      <c r="U374" s="5" t="s">
        <v>658</v>
      </c>
      <c r="V374" s="23" t="n">
        <f>935000000</f>
        <v>9.35E8</v>
      </c>
      <c r="W374" s="5" t="s">
        <v>279</v>
      </c>
      <c r="X374" s="23" t="str">
        <f>"－"</f>
        <v>－</v>
      </c>
      <c r="Y374" s="23"/>
      <c r="Z374" s="21" t="str">
        <f>"－"</f>
        <v>－</v>
      </c>
      <c r="AA374" s="21" t="n">
        <f>28600</f>
        <v>28600.0</v>
      </c>
      <c r="AB374" s="4" t="s">
        <v>197</v>
      </c>
      <c r="AC374" s="22" t="n">
        <f>28600</f>
        <v>28600.0</v>
      </c>
      <c r="AD374" s="5" t="s">
        <v>279</v>
      </c>
      <c r="AE374" s="23" t="n">
        <f>2140</f>
        <v>2140.0</v>
      </c>
    </row>
    <row r="375">
      <c r="A375" s="24" t="s">
        <v>989</v>
      </c>
      <c r="B375" s="25" t="s">
        <v>990</v>
      </c>
      <c r="C375" s="26"/>
      <c r="D375" s="27"/>
      <c r="E375" s="28" t="s">
        <v>418</v>
      </c>
      <c r="F375" s="20" t="n">
        <f>124</f>
        <v>124.0</v>
      </c>
      <c r="G375" s="21" t="n">
        <f>17750</f>
        <v>17750.0</v>
      </c>
      <c r="H375" s="21"/>
      <c r="I375" s="21" t="n">
        <f>16750</f>
        <v>16750.0</v>
      </c>
      <c r="J375" s="21" t="n">
        <f>143</f>
        <v>143.0</v>
      </c>
      <c r="K375" s="21" t="n">
        <f>135</f>
        <v>135.0</v>
      </c>
      <c r="L375" s="4" t="s">
        <v>434</v>
      </c>
      <c r="M375" s="22" t="n">
        <f>4000</f>
        <v>4000.0</v>
      </c>
      <c r="N375" s="5" t="s">
        <v>335</v>
      </c>
      <c r="O375" s="23" t="str">
        <f>"－"</f>
        <v>－</v>
      </c>
      <c r="P375" s="3" t="s">
        <v>997</v>
      </c>
      <c r="Q375" s="21"/>
      <c r="R375" s="3" t="s">
        <v>998</v>
      </c>
      <c r="S375" s="21" t="n">
        <f>24211694</f>
        <v>2.4211694E7</v>
      </c>
      <c r="T375" s="21" t="n">
        <f>22844758</f>
        <v>2.2844758E7</v>
      </c>
      <c r="U375" s="5" t="s">
        <v>999</v>
      </c>
      <c r="V375" s="23" t="n">
        <f>690000000</f>
        <v>6.9E8</v>
      </c>
      <c r="W375" s="5" t="s">
        <v>335</v>
      </c>
      <c r="X375" s="23" t="str">
        <f>"－"</f>
        <v>－</v>
      </c>
      <c r="Y375" s="23"/>
      <c r="Z375" s="21" t="n">
        <f>10250</f>
        <v>10250.0</v>
      </c>
      <c r="AA375" s="21" t="n">
        <f>35230</f>
        <v>35230.0</v>
      </c>
      <c r="AB375" s="4" t="s">
        <v>520</v>
      </c>
      <c r="AC375" s="22" t="n">
        <f>35230</f>
        <v>35230.0</v>
      </c>
      <c r="AD375" s="5" t="s">
        <v>335</v>
      </c>
      <c r="AE375" s="23" t="n">
        <f>28480</f>
        <v>28480.0</v>
      </c>
    </row>
    <row r="376">
      <c r="A376" s="24" t="s">
        <v>989</v>
      </c>
      <c r="B376" s="25" t="s">
        <v>990</v>
      </c>
      <c r="C376" s="26"/>
      <c r="D376" s="27"/>
      <c r="E376" s="28" t="s">
        <v>422</v>
      </c>
      <c r="F376" s="20" t="n">
        <f>122</f>
        <v>122.0</v>
      </c>
      <c r="G376" s="21" t="n">
        <f>6900</f>
        <v>6900.0</v>
      </c>
      <c r="H376" s="21"/>
      <c r="I376" s="21" t="n">
        <f>6900</f>
        <v>6900.0</v>
      </c>
      <c r="J376" s="21" t="n">
        <f>57</f>
        <v>57.0</v>
      </c>
      <c r="K376" s="21" t="n">
        <f>57</f>
        <v>57.0</v>
      </c>
      <c r="L376" s="4" t="s">
        <v>1000</v>
      </c>
      <c r="M376" s="22" t="n">
        <f>2000</f>
        <v>2000.0</v>
      </c>
      <c r="N376" s="5" t="s">
        <v>82</v>
      </c>
      <c r="O376" s="23" t="str">
        <f>"－"</f>
        <v>－</v>
      </c>
      <c r="P376" s="3" t="s">
        <v>1001</v>
      </c>
      <c r="Q376" s="21"/>
      <c r="R376" s="3" t="s">
        <v>1001</v>
      </c>
      <c r="S376" s="21" t="n">
        <f>9416803</f>
        <v>9416803.0</v>
      </c>
      <c r="T376" s="21" t="n">
        <f>9416803</f>
        <v>9416803.0</v>
      </c>
      <c r="U376" s="5" t="s">
        <v>1000</v>
      </c>
      <c r="V376" s="23" t="n">
        <f>349000000</f>
        <v>3.49E8</v>
      </c>
      <c r="W376" s="5" t="s">
        <v>82</v>
      </c>
      <c r="X376" s="23" t="str">
        <f>"－"</f>
        <v>－</v>
      </c>
      <c r="Y376" s="23"/>
      <c r="Z376" s="21" t="str">
        <f>"－"</f>
        <v>－</v>
      </c>
      <c r="AA376" s="21" t="n">
        <f>37630</f>
        <v>37630.0</v>
      </c>
      <c r="AB376" s="4" t="s">
        <v>1002</v>
      </c>
      <c r="AC376" s="22" t="n">
        <f>37630</f>
        <v>37630.0</v>
      </c>
      <c r="AD376" s="5" t="s">
        <v>82</v>
      </c>
      <c r="AE376" s="23" t="n">
        <f>35230</f>
        <v>35230.0</v>
      </c>
    </row>
    <row r="377">
      <c r="A377" s="24" t="s">
        <v>989</v>
      </c>
      <c r="B377" s="25" t="s">
        <v>990</v>
      </c>
      <c r="C377" s="26"/>
      <c r="D377" s="27"/>
      <c r="E377" s="28" t="s">
        <v>425</v>
      </c>
      <c r="F377" s="20" t="n">
        <f>125</f>
        <v>125.0</v>
      </c>
      <c r="G377" s="21" t="n">
        <f>120865</f>
        <v>120865.0</v>
      </c>
      <c r="H377" s="21"/>
      <c r="I377" s="21" t="n">
        <f>120365</f>
        <v>120365.0</v>
      </c>
      <c r="J377" s="21" t="n">
        <f>967</f>
        <v>967.0</v>
      </c>
      <c r="K377" s="21" t="n">
        <f>963</f>
        <v>963.0</v>
      </c>
      <c r="L377" s="4" t="s">
        <v>1003</v>
      </c>
      <c r="M377" s="22" t="n">
        <f>48299</f>
        <v>48299.0</v>
      </c>
      <c r="N377" s="5" t="s">
        <v>263</v>
      </c>
      <c r="O377" s="23" t="str">
        <f>"－"</f>
        <v>－</v>
      </c>
      <c r="P377" s="3" t="s">
        <v>1004</v>
      </c>
      <c r="Q377" s="21"/>
      <c r="R377" s="3" t="s">
        <v>1005</v>
      </c>
      <c r="S377" s="21" t="n">
        <f>191606345</f>
        <v>1.91606345E8</v>
      </c>
      <c r="T377" s="21" t="n">
        <f>190867145</f>
        <v>1.90867145E8</v>
      </c>
      <c r="U377" s="5" t="s">
        <v>1003</v>
      </c>
      <c r="V377" s="23" t="n">
        <f>9799867100</f>
        <v>9.7998671E9</v>
      </c>
      <c r="W377" s="5" t="s">
        <v>263</v>
      </c>
      <c r="X377" s="23" t="str">
        <f>"－"</f>
        <v>－</v>
      </c>
      <c r="Y377" s="23"/>
      <c r="Z377" s="21" t="n">
        <f>63066</f>
        <v>63066.0</v>
      </c>
      <c r="AA377" s="21" t="n">
        <f>141196</f>
        <v>141196.0</v>
      </c>
      <c r="AB377" s="4" t="s">
        <v>520</v>
      </c>
      <c r="AC377" s="22" t="n">
        <f>141196</f>
        <v>141196.0</v>
      </c>
      <c r="AD377" s="5" t="s">
        <v>224</v>
      </c>
      <c r="AE377" s="23" t="n">
        <f>28631</f>
        <v>28631.0</v>
      </c>
    </row>
    <row r="378">
      <c r="A378" s="24" t="s">
        <v>989</v>
      </c>
      <c r="B378" s="25" t="s">
        <v>990</v>
      </c>
      <c r="C378" s="26"/>
      <c r="D378" s="27"/>
      <c r="E378" s="28" t="s">
        <v>428</v>
      </c>
      <c r="F378" s="20" t="n">
        <f>120</f>
        <v>120.0</v>
      </c>
      <c r="G378" s="21" t="n">
        <f>41221</f>
        <v>41221.0</v>
      </c>
      <c r="H378" s="21"/>
      <c r="I378" s="21" t="n">
        <f>41221</f>
        <v>41221.0</v>
      </c>
      <c r="J378" s="21" t="n">
        <f>344</f>
        <v>344.0</v>
      </c>
      <c r="K378" s="21" t="n">
        <f>344</f>
        <v>344.0</v>
      </c>
      <c r="L378" s="4" t="s">
        <v>516</v>
      </c>
      <c r="M378" s="22" t="n">
        <f>37000</f>
        <v>37000.0</v>
      </c>
      <c r="N378" s="5" t="s">
        <v>279</v>
      </c>
      <c r="O378" s="23" t="str">
        <f>"－"</f>
        <v>－</v>
      </c>
      <c r="P378" s="3" t="s">
        <v>1006</v>
      </c>
      <c r="Q378" s="21"/>
      <c r="R378" s="3" t="s">
        <v>1006</v>
      </c>
      <c r="S378" s="21" t="n">
        <f>75836915</f>
        <v>7.5836915E7</v>
      </c>
      <c r="T378" s="21" t="n">
        <f>75836915</f>
        <v>7.5836915E7</v>
      </c>
      <c r="U378" s="5" t="s">
        <v>516</v>
      </c>
      <c r="V378" s="23" t="n">
        <f>8214000000</f>
        <v>8.214E9</v>
      </c>
      <c r="W378" s="5" t="s">
        <v>279</v>
      </c>
      <c r="X378" s="23" t="str">
        <f>"－"</f>
        <v>－</v>
      </c>
      <c r="Y378" s="23"/>
      <c r="Z378" s="21" t="n">
        <f>2495</f>
        <v>2495.0</v>
      </c>
      <c r="AA378" s="21" t="n">
        <f>176506</f>
        <v>176506.0</v>
      </c>
      <c r="AB378" s="4" t="s">
        <v>440</v>
      </c>
      <c r="AC378" s="22" t="n">
        <f>176506</f>
        <v>176506.0</v>
      </c>
      <c r="AD378" s="5" t="s">
        <v>455</v>
      </c>
      <c r="AE378" s="23" t="n">
        <f>139311</f>
        <v>139311.0</v>
      </c>
    </row>
    <row r="379">
      <c r="A379" s="24" t="s">
        <v>989</v>
      </c>
      <c r="B379" s="25" t="s">
        <v>990</v>
      </c>
      <c r="C379" s="26"/>
      <c r="D379" s="27"/>
      <c r="E379" s="28" t="s">
        <v>433</v>
      </c>
      <c r="F379" s="20" t="n">
        <f>125</f>
        <v>125.0</v>
      </c>
      <c r="G379" s="21" t="n">
        <f>71672</f>
        <v>71672.0</v>
      </c>
      <c r="H379" s="21"/>
      <c r="I379" s="21" t="n">
        <f>71672</f>
        <v>71672.0</v>
      </c>
      <c r="J379" s="21" t="n">
        <f>573</f>
        <v>573.0</v>
      </c>
      <c r="K379" s="21" t="n">
        <f>573</f>
        <v>573.0</v>
      </c>
      <c r="L379" s="4" t="s">
        <v>525</v>
      </c>
      <c r="M379" s="22" t="n">
        <f>34925</f>
        <v>34925.0</v>
      </c>
      <c r="N379" s="5" t="s">
        <v>335</v>
      </c>
      <c r="O379" s="23" t="str">
        <f>"－"</f>
        <v>－</v>
      </c>
      <c r="P379" s="3" t="s">
        <v>1007</v>
      </c>
      <c r="Q379" s="21"/>
      <c r="R379" s="3" t="s">
        <v>1007</v>
      </c>
      <c r="S379" s="21" t="n">
        <f>140149541</f>
        <v>1.40149541E8</v>
      </c>
      <c r="T379" s="21" t="n">
        <f>140149541</f>
        <v>1.40149541E8</v>
      </c>
      <c r="U379" s="5" t="s">
        <v>525</v>
      </c>
      <c r="V379" s="23" t="n">
        <f>8415305000</f>
        <v>8.415305E9</v>
      </c>
      <c r="W379" s="5" t="s">
        <v>335</v>
      </c>
      <c r="X379" s="23" t="str">
        <f>"－"</f>
        <v>－</v>
      </c>
      <c r="Y379" s="23"/>
      <c r="Z379" s="21" t="n">
        <f>62695</f>
        <v>62695.0</v>
      </c>
      <c r="AA379" s="21" t="n">
        <f>112862</f>
        <v>112862.0</v>
      </c>
      <c r="AB379" s="4" t="s">
        <v>1008</v>
      </c>
      <c r="AC379" s="22" t="n">
        <f>167345</f>
        <v>167345.0</v>
      </c>
      <c r="AD379" s="5" t="s">
        <v>312</v>
      </c>
      <c r="AE379" s="23" t="n">
        <f>112862</f>
        <v>112862.0</v>
      </c>
    </row>
    <row r="380">
      <c r="A380" s="24" t="s">
        <v>989</v>
      </c>
      <c r="B380" s="25" t="s">
        <v>990</v>
      </c>
      <c r="C380" s="26"/>
      <c r="D380" s="27"/>
      <c r="E380" s="28" t="s">
        <v>437</v>
      </c>
      <c r="F380" s="20" t="n">
        <f>120</f>
        <v>120.0</v>
      </c>
      <c r="G380" s="21" t="n">
        <f>5778</f>
        <v>5778.0</v>
      </c>
      <c r="H380" s="21"/>
      <c r="I380" s="21" t="n">
        <f>5513</f>
        <v>5513.0</v>
      </c>
      <c r="J380" s="21" t="n">
        <f>48</f>
        <v>48.0</v>
      </c>
      <c r="K380" s="21" t="n">
        <f>46</f>
        <v>46.0</v>
      </c>
      <c r="L380" s="4" t="s">
        <v>1009</v>
      </c>
      <c r="M380" s="22" t="n">
        <f>2950</f>
        <v>2950.0</v>
      </c>
      <c r="N380" s="5" t="s">
        <v>279</v>
      </c>
      <c r="O380" s="23" t="str">
        <f>"－"</f>
        <v>－</v>
      </c>
      <c r="P380" s="3" t="s">
        <v>1010</v>
      </c>
      <c r="Q380" s="21"/>
      <c r="R380" s="3" t="s">
        <v>1011</v>
      </c>
      <c r="S380" s="21" t="n">
        <f>11409592</f>
        <v>1.1409592E7</v>
      </c>
      <c r="T380" s="21" t="n">
        <f>10904175</f>
        <v>1.0904175E7</v>
      </c>
      <c r="U380" s="5" t="s">
        <v>1009</v>
      </c>
      <c r="V380" s="23" t="n">
        <f>705900000</f>
        <v>7.059E8</v>
      </c>
      <c r="W380" s="5" t="s">
        <v>279</v>
      </c>
      <c r="X380" s="23" t="str">
        <f>"－"</f>
        <v>－</v>
      </c>
      <c r="Y380" s="23"/>
      <c r="Z380" s="21" t="str">
        <f>"－"</f>
        <v>－</v>
      </c>
      <c r="AA380" s="21" t="n">
        <f>111751</f>
        <v>111751.0</v>
      </c>
      <c r="AB380" s="4" t="s">
        <v>1012</v>
      </c>
      <c r="AC380" s="22" t="n">
        <f>112877</f>
        <v>112877.0</v>
      </c>
      <c r="AD380" s="5" t="s">
        <v>1009</v>
      </c>
      <c r="AE380" s="23" t="n">
        <f>110751</f>
        <v>110751.0</v>
      </c>
    </row>
    <row r="381">
      <c r="A381" s="24" t="s">
        <v>989</v>
      </c>
      <c r="B381" s="25" t="s">
        <v>990</v>
      </c>
      <c r="C381" s="26"/>
      <c r="D381" s="27"/>
      <c r="E381" s="28" t="s">
        <v>441</v>
      </c>
      <c r="F381" s="20" t="n">
        <f>125</f>
        <v>125.0</v>
      </c>
      <c r="G381" s="21" t="n">
        <f>2550</f>
        <v>2550.0</v>
      </c>
      <c r="H381" s="21"/>
      <c r="I381" s="21" t="n">
        <f>2550</f>
        <v>2550.0</v>
      </c>
      <c r="J381" s="21" t="n">
        <f>20</f>
        <v>20.0</v>
      </c>
      <c r="K381" s="21" t="n">
        <f>20</f>
        <v>20.0</v>
      </c>
      <c r="L381" s="4" t="s">
        <v>1013</v>
      </c>
      <c r="M381" s="22" t="n">
        <f>2180</f>
        <v>2180.0</v>
      </c>
      <c r="N381" s="5" t="s">
        <v>335</v>
      </c>
      <c r="O381" s="23" t="str">
        <f>"－"</f>
        <v>－</v>
      </c>
      <c r="P381" s="3" t="s">
        <v>1014</v>
      </c>
      <c r="Q381" s="21"/>
      <c r="R381" s="3" t="s">
        <v>1014</v>
      </c>
      <c r="S381" s="21" t="n">
        <f>5361880</f>
        <v>5361880.0</v>
      </c>
      <c r="T381" s="21" t="n">
        <f>5361880</f>
        <v>5361880.0</v>
      </c>
      <c r="U381" s="5" t="s">
        <v>1013</v>
      </c>
      <c r="V381" s="23" t="n">
        <f>573776000</f>
        <v>5.73776E8</v>
      </c>
      <c r="W381" s="5" t="s">
        <v>335</v>
      </c>
      <c r="X381" s="23" t="str">
        <f>"－"</f>
        <v>－</v>
      </c>
      <c r="Y381" s="23"/>
      <c r="Z381" s="21" t="str">
        <f>"－"</f>
        <v>－</v>
      </c>
      <c r="AA381" s="21" t="n">
        <f>53421</f>
        <v>53421.0</v>
      </c>
      <c r="AB381" s="4" t="s">
        <v>335</v>
      </c>
      <c r="AC381" s="22" t="n">
        <f>55971</f>
        <v>55971.0</v>
      </c>
      <c r="AD381" s="5" t="s">
        <v>100</v>
      </c>
      <c r="AE381" s="23" t="n">
        <f>53421</f>
        <v>53421.0</v>
      </c>
    </row>
    <row r="382">
      <c r="A382" s="24" t="s">
        <v>989</v>
      </c>
      <c r="B382" s="25" t="s">
        <v>990</v>
      </c>
      <c r="C382" s="26"/>
      <c r="D382" s="27"/>
      <c r="E382" s="28" t="s">
        <v>48</v>
      </c>
      <c r="F382" s="20" t="n">
        <f>121</f>
        <v>121.0</v>
      </c>
      <c r="G382" s="21" t="n">
        <f>6252</f>
        <v>6252.0</v>
      </c>
      <c r="H382" s="21"/>
      <c r="I382" s="21" t="n">
        <f>6217</f>
        <v>6217.0</v>
      </c>
      <c r="J382" s="21" t="n">
        <f>52</f>
        <v>52.0</v>
      </c>
      <c r="K382" s="21" t="n">
        <f>51</f>
        <v>51.0</v>
      </c>
      <c r="L382" s="4" t="s">
        <v>1015</v>
      </c>
      <c r="M382" s="22" t="n">
        <f>2103</f>
        <v>2103.0</v>
      </c>
      <c r="N382" s="5" t="s">
        <v>279</v>
      </c>
      <c r="O382" s="23" t="str">
        <f>"－"</f>
        <v>－</v>
      </c>
      <c r="P382" s="3" t="s">
        <v>1016</v>
      </c>
      <c r="Q382" s="21"/>
      <c r="R382" s="3" t="s">
        <v>1017</v>
      </c>
      <c r="S382" s="21" t="n">
        <f>13537847</f>
        <v>1.3537847E7</v>
      </c>
      <c r="T382" s="21" t="n">
        <f>13443260</f>
        <v>1.344326E7</v>
      </c>
      <c r="U382" s="5" t="s">
        <v>1015</v>
      </c>
      <c r="V382" s="23" t="n">
        <f>547831500</f>
        <v>5.478315E8</v>
      </c>
      <c r="W382" s="5" t="s">
        <v>279</v>
      </c>
      <c r="X382" s="23" t="str">
        <f>"－"</f>
        <v>－</v>
      </c>
      <c r="Y382" s="23"/>
      <c r="Z382" s="21" t="str">
        <f>"－"</f>
        <v>－</v>
      </c>
      <c r="AA382" s="21" t="n">
        <f>47239</f>
        <v>47239.0</v>
      </c>
      <c r="AB382" s="4" t="s">
        <v>1018</v>
      </c>
      <c r="AC382" s="22" t="n">
        <f>53446</f>
        <v>53446.0</v>
      </c>
      <c r="AD382" s="5" t="s">
        <v>116</v>
      </c>
      <c r="AE382" s="23" t="n">
        <f>47229</f>
        <v>47229.0</v>
      </c>
    </row>
    <row r="383">
      <c r="A383" s="24" t="s">
        <v>989</v>
      </c>
      <c r="B383" s="25" t="s">
        <v>990</v>
      </c>
      <c r="C383" s="26"/>
      <c r="D383" s="27"/>
      <c r="E383" s="28" t="s">
        <v>56</v>
      </c>
      <c r="F383" s="20" t="n">
        <f>123</f>
        <v>123.0</v>
      </c>
      <c r="G383" s="21" t="n">
        <f>30</f>
        <v>30.0</v>
      </c>
      <c r="H383" s="21"/>
      <c r="I383" s="21" t="n">
        <f>10</f>
        <v>10.0</v>
      </c>
      <c r="J383" s="21" t="n">
        <f>0</f>
        <v>0.0</v>
      </c>
      <c r="K383" s="21" t="n">
        <f>0</f>
        <v>0.0</v>
      </c>
      <c r="L383" s="4" t="s">
        <v>659</v>
      </c>
      <c r="M383" s="22" t="n">
        <f>10</f>
        <v>10.0</v>
      </c>
      <c r="N383" s="5" t="s">
        <v>335</v>
      </c>
      <c r="O383" s="23" t="str">
        <f>"－"</f>
        <v>－</v>
      </c>
      <c r="P383" s="3" t="s">
        <v>1019</v>
      </c>
      <c r="Q383" s="21"/>
      <c r="R383" s="3" t="s">
        <v>1020</v>
      </c>
      <c r="S383" s="21" t="n">
        <f>85236</f>
        <v>85236.0</v>
      </c>
      <c r="T383" s="21" t="n">
        <f>24146</f>
        <v>24146.0</v>
      </c>
      <c r="U383" s="5" t="s">
        <v>1021</v>
      </c>
      <c r="V383" s="23" t="n">
        <f>3773000</f>
        <v>3773000.0</v>
      </c>
      <c r="W383" s="5" t="s">
        <v>335</v>
      </c>
      <c r="X383" s="23" t="str">
        <f>"－"</f>
        <v>－</v>
      </c>
      <c r="Y383" s="23"/>
      <c r="Z383" s="21" t="str">
        <f>"－"</f>
        <v>－</v>
      </c>
      <c r="AA383" s="21" t="n">
        <f>6570</f>
        <v>6570.0</v>
      </c>
      <c r="AB383" s="4" t="s">
        <v>895</v>
      </c>
      <c r="AC383" s="22" t="n">
        <f>6570</f>
        <v>6570.0</v>
      </c>
      <c r="AD383" s="5" t="s">
        <v>335</v>
      </c>
      <c r="AE383" s="23" t="n">
        <f>6550</f>
        <v>6550.0</v>
      </c>
    </row>
    <row r="384">
      <c r="A384" s="24" t="s">
        <v>989</v>
      </c>
      <c r="B384" s="25" t="s">
        <v>990</v>
      </c>
      <c r="C384" s="26"/>
      <c r="D384" s="27"/>
      <c r="E384" s="28" t="s">
        <v>63</v>
      </c>
      <c r="F384" s="20" t="n">
        <f>122</f>
        <v>122.0</v>
      </c>
      <c r="G384" s="21" t="n">
        <f>70</f>
        <v>70.0</v>
      </c>
      <c r="H384" s="21"/>
      <c r="I384" s="21" t="str">
        <f>"－"</f>
        <v>－</v>
      </c>
      <c r="J384" s="21" t="n">
        <f>1</f>
        <v>1.0</v>
      </c>
      <c r="K384" s="21" t="str">
        <f>"－"</f>
        <v>－</v>
      </c>
      <c r="L384" s="4" t="s">
        <v>1022</v>
      </c>
      <c r="M384" s="22" t="n">
        <f>55</f>
        <v>55.0</v>
      </c>
      <c r="N384" s="5" t="s">
        <v>279</v>
      </c>
      <c r="O384" s="23" t="str">
        <f>"－"</f>
        <v>－</v>
      </c>
      <c r="P384" s="3" t="s">
        <v>1023</v>
      </c>
      <c r="Q384" s="21"/>
      <c r="R384" s="3" t="s">
        <v>247</v>
      </c>
      <c r="S384" s="21" t="n">
        <f>194922</f>
        <v>194922.0</v>
      </c>
      <c r="T384" s="21" t="str">
        <f>"－"</f>
        <v>－</v>
      </c>
      <c r="U384" s="5" t="s">
        <v>1022</v>
      </c>
      <c r="V384" s="23" t="n">
        <f>18575500</f>
        <v>1.85755E7</v>
      </c>
      <c r="W384" s="5" t="s">
        <v>279</v>
      </c>
      <c r="X384" s="23" t="str">
        <f>"－"</f>
        <v>－</v>
      </c>
      <c r="Y384" s="23"/>
      <c r="Z384" s="21" t="str">
        <f>"－"</f>
        <v>－</v>
      </c>
      <c r="AA384" s="21" t="n">
        <f>6515</f>
        <v>6515.0</v>
      </c>
      <c r="AB384" s="4" t="s">
        <v>279</v>
      </c>
      <c r="AC384" s="22" t="n">
        <f>6570</f>
        <v>6570.0</v>
      </c>
      <c r="AD384" s="5" t="s">
        <v>1022</v>
      </c>
      <c r="AE384" s="23" t="n">
        <f>6515</f>
        <v>6515.0</v>
      </c>
    </row>
    <row r="385">
      <c r="A385" s="24" t="s">
        <v>989</v>
      </c>
      <c r="B385" s="25" t="s">
        <v>990</v>
      </c>
      <c r="C385" s="26"/>
      <c r="D385" s="27"/>
      <c r="E385" s="28" t="s">
        <v>70</v>
      </c>
      <c r="F385" s="20" t="n">
        <f>123</f>
        <v>123.0</v>
      </c>
      <c r="G385" s="21" t="str">
        <f>"－"</f>
        <v>－</v>
      </c>
      <c r="H385" s="21"/>
      <c r="I385" s="21" t="str">
        <f>"－"</f>
        <v>－</v>
      </c>
      <c r="J385" s="21" t="str">
        <f>"－"</f>
        <v>－</v>
      </c>
      <c r="K385" s="21" t="str">
        <f>"－"</f>
        <v>－</v>
      </c>
      <c r="L385" s="4" t="s">
        <v>335</v>
      </c>
      <c r="M385" s="22" t="str">
        <f>"－"</f>
        <v>－</v>
      </c>
      <c r="N385" s="5" t="s">
        <v>335</v>
      </c>
      <c r="O385" s="23" t="str">
        <f>"－"</f>
        <v>－</v>
      </c>
      <c r="P385" s="3" t="s">
        <v>247</v>
      </c>
      <c r="Q385" s="21"/>
      <c r="R385" s="3" t="s">
        <v>247</v>
      </c>
      <c r="S385" s="21" t="str">
        <f>"－"</f>
        <v>－</v>
      </c>
      <c r="T385" s="21" t="str">
        <f>"－"</f>
        <v>－</v>
      </c>
      <c r="U385" s="5" t="s">
        <v>335</v>
      </c>
      <c r="V385" s="23" t="str">
        <f>"－"</f>
        <v>－</v>
      </c>
      <c r="W385" s="5" t="s">
        <v>335</v>
      </c>
      <c r="X385" s="23" t="str">
        <f>"－"</f>
        <v>－</v>
      </c>
      <c r="Y385" s="23"/>
      <c r="Z385" s="21" t="str">
        <f>"－"</f>
        <v>－</v>
      </c>
      <c r="AA385" s="21" t="n">
        <f>3515</f>
        <v>3515.0</v>
      </c>
      <c r="AB385" s="4" t="s">
        <v>335</v>
      </c>
      <c r="AC385" s="22" t="n">
        <f>3515</f>
        <v>3515.0</v>
      </c>
      <c r="AD385" s="5" t="s">
        <v>335</v>
      </c>
      <c r="AE385" s="23" t="n">
        <f>3515</f>
        <v>3515.0</v>
      </c>
    </row>
    <row r="386">
      <c r="A386" s="24" t="s">
        <v>989</v>
      </c>
      <c r="B386" s="25" t="s">
        <v>990</v>
      </c>
      <c r="C386" s="26"/>
      <c r="D386" s="27"/>
      <c r="E386" s="28" t="s">
        <v>77</v>
      </c>
      <c r="F386" s="20" t="n">
        <f>122</f>
        <v>122.0</v>
      </c>
      <c r="G386" s="21" t="n">
        <f>19735</f>
        <v>19735.0</v>
      </c>
      <c r="H386" s="21"/>
      <c r="I386" s="21" t="n">
        <f>19735</f>
        <v>19735.0</v>
      </c>
      <c r="J386" s="21" t="n">
        <f>162</f>
        <v>162.0</v>
      </c>
      <c r="K386" s="21" t="n">
        <f>162</f>
        <v>162.0</v>
      </c>
      <c r="L386" s="4" t="s">
        <v>277</v>
      </c>
      <c r="M386" s="22" t="n">
        <f>16300</f>
        <v>16300.0</v>
      </c>
      <c r="N386" s="5" t="s">
        <v>82</v>
      </c>
      <c r="O386" s="23" t="str">
        <f>"－"</f>
        <v>－</v>
      </c>
      <c r="P386" s="3" t="s">
        <v>1024</v>
      </c>
      <c r="Q386" s="21"/>
      <c r="R386" s="3" t="s">
        <v>1024</v>
      </c>
      <c r="S386" s="21" t="n">
        <f>55715656</f>
        <v>5.5715656E7</v>
      </c>
      <c r="T386" s="21" t="n">
        <f>55715656</f>
        <v>5.5715656E7</v>
      </c>
      <c r="U386" s="5" t="s">
        <v>277</v>
      </c>
      <c r="V386" s="23" t="n">
        <f>5553410000</f>
        <v>5.55341E9</v>
      </c>
      <c r="W386" s="5" t="s">
        <v>82</v>
      </c>
      <c r="X386" s="23" t="str">
        <f>"－"</f>
        <v>－</v>
      </c>
      <c r="Y386" s="23"/>
      <c r="Z386" s="21" t="str">
        <f>"－"</f>
        <v>－</v>
      </c>
      <c r="AA386" s="21" t="n">
        <f>16415</f>
        <v>16415.0</v>
      </c>
      <c r="AB386" s="4" t="s">
        <v>277</v>
      </c>
      <c r="AC386" s="22" t="n">
        <f>19815</f>
        <v>19815.0</v>
      </c>
      <c r="AD386" s="5" t="s">
        <v>82</v>
      </c>
      <c r="AE386" s="23" t="n">
        <f>3515</f>
        <v>3515.0</v>
      </c>
    </row>
    <row r="387">
      <c r="A387" s="24" t="s">
        <v>989</v>
      </c>
      <c r="B387" s="25" t="s">
        <v>990</v>
      </c>
      <c r="C387" s="26"/>
      <c r="D387" s="27"/>
      <c r="E387" s="28" t="s">
        <v>83</v>
      </c>
      <c r="F387" s="20" t="n">
        <f>124</f>
        <v>124.0</v>
      </c>
      <c r="G387" s="21" t="n">
        <f>4871</f>
        <v>4871.0</v>
      </c>
      <c r="H387" s="21"/>
      <c r="I387" s="21" t="n">
        <f>4870</f>
        <v>4870.0</v>
      </c>
      <c r="J387" s="21" t="n">
        <f>39</f>
        <v>39.0</v>
      </c>
      <c r="K387" s="21" t="n">
        <f>39</f>
        <v>39.0</v>
      </c>
      <c r="L387" s="4" t="s">
        <v>737</v>
      </c>
      <c r="M387" s="22" t="n">
        <f>2800</f>
        <v>2800.0</v>
      </c>
      <c r="N387" s="5" t="s">
        <v>666</v>
      </c>
      <c r="O387" s="23" t="str">
        <f>"－"</f>
        <v>－</v>
      </c>
      <c r="P387" s="3" t="s">
        <v>1025</v>
      </c>
      <c r="Q387" s="21"/>
      <c r="R387" s="3" t="s">
        <v>1026</v>
      </c>
      <c r="S387" s="21" t="n">
        <f>15039758</f>
        <v>1.5039758E7</v>
      </c>
      <c r="T387" s="21" t="n">
        <f>15036290</f>
        <v>1.503629E7</v>
      </c>
      <c r="U387" s="5" t="s">
        <v>737</v>
      </c>
      <c r="V387" s="23" t="n">
        <f>1052800000</f>
        <v>1.0528E9</v>
      </c>
      <c r="W387" s="5" t="s">
        <v>666</v>
      </c>
      <c r="X387" s="23" t="str">
        <f>"－"</f>
        <v>－</v>
      </c>
      <c r="Y387" s="23"/>
      <c r="Z387" s="21" t="str">
        <f>"－"</f>
        <v>－</v>
      </c>
      <c r="AA387" s="21" t="n">
        <f>9031</f>
        <v>9031.0</v>
      </c>
      <c r="AB387" s="4" t="s">
        <v>666</v>
      </c>
      <c r="AC387" s="22" t="n">
        <f>13900</f>
        <v>13900.0</v>
      </c>
      <c r="AD387" s="5" t="s">
        <v>909</v>
      </c>
      <c r="AE387" s="23" t="n">
        <f>9031</f>
        <v>9031.0</v>
      </c>
    </row>
    <row r="388">
      <c r="A388" s="24" t="s">
        <v>989</v>
      </c>
      <c r="B388" s="25" t="s">
        <v>990</v>
      </c>
      <c r="C388" s="26"/>
      <c r="D388" s="27"/>
      <c r="E388" s="28" t="s">
        <v>89</v>
      </c>
      <c r="F388" s="20" t="n">
        <f>121</f>
        <v>121.0</v>
      </c>
      <c r="G388" s="21" t="n">
        <f>1621</f>
        <v>1621.0</v>
      </c>
      <c r="H388" s="21"/>
      <c r="I388" s="21" t="n">
        <f>1620</f>
        <v>1620.0</v>
      </c>
      <c r="J388" s="21" t="n">
        <f>13</f>
        <v>13.0</v>
      </c>
      <c r="K388" s="21" t="n">
        <f>13</f>
        <v>13.0</v>
      </c>
      <c r="L388" s="4" t="s">
        <v>268</v>
      </c>
      <c r="M388" s="22" t="n">
        <f>1310</f>
        <v>1310.0</v>
      </c>
      <c r="N388" s="5" t="s">
        <v>82</v>
      </c>
      <c r="O388" s="23" t="str">
        <f>"－"</f>
        <v>－</v>
      </c>
      <c r="P388" s="3" t="s">
        <v>1027</v>
      </c>
      <c r="Q388" s="21"/>
      <c r="R388" s="3" t="s">
        <v>1028</v>
      </c>
      <c r="S388" s="21" t="n">
        <f>5430868</f>
        <v>5430868.0</v>
      </c>
      <c r="T388" s="21" t="n">
        <f>5427107</f>
        <v>5427107.0</v>
      </c>
      <c r="U388" s="5" t="s">
        <v>268</v>
      </c>
      <c r="V388" s="23" t="n">
        <f>524000000</f>
        <v>5.24E8</v>
      </c>
      <c r="W388" s="5" t="s">
        <v>82</v>
      </c>
      <c r="X388" s="23" t="str">
        <f>"－"</f>
        <v>－</v>
      </c>
      <c r="Y388" s="23"/>
      <c r="Z388" s="21" t="str">
        <f>"－"</f>
        <v>－</v>
      </c>
      <c r="AA388" s="21" t="n">
        <f>7412</f>
        <v>7412.0</v>
      </c>
      <c r="AB388" s="4" t="s">
        <v>504</v>
      </c>
      <c r="AC388" s="22" t="n">
        <f>7722</f>
        <v>7722.0</v>
      </c>
      <c r="AD388" s="5" t="s">
        <v>259</v>
      </c>
      <c r="AE388" s="23" t="n">
        <f>7412</f>
        <v>7412.0</v>
      </c>
    </row>
    <row r="389">
      <c r="A389" s="24" t="s">
        <v>989</v>
      </c>
      <c r="B389" s="25" t="s">
        <v>990</v>
      </c>
      <c r="C389" s="26"/>
      <c r="D389" s="27"/>
      <c r="E389" s="28" t="s">
        <v>95</v>
      </c>
      <c r="F389" s="20" t="n">
        <f>124</f>
        <v>124.0</v>
      </c>
      <c r="G389" s="21" t="n">
        <f>1430</f>
        <v>1430.0</v>
      </c>
      <c r="H389" s="21"/>
      <c r="I389" s="21" t="n">
        <f>1425</f>
        <v>1425.0</v>
      </c>
      <c r="J389" s="21" t="n">
        <f>12</f>
        <v>12.0</v>
      </c>
      <c r="K389" s="21" t="n">
        <f>11</f>
        <v>11.0</v>
      </c>
      <c r="L389" s="4" t="s">
        <v>217</v>
      </c>
      <c r="M389" s="22" t="n">
        <f>1230</f>
        <v>1230.0</v>
      </c>
      <c r="N389" s="5" t="s">
        <v>263</v>
      </c>
      <c r="O389" s="23" t="str">
        <f>"－"</f>
        <v>－</v>
      </c>
      <c r="P389" s="3" t="s">
        <v>1029</v>
      </c>
      <c r="Q389" s="21"/>
      <c r="R389" s="3" t="s">
        <v>1030</v>
      </c>
      <c r="S389" s="21" t="n">
        <f>4886431</f>
        <v>4886431.0</v>
      </c>
      <c r="T389" s="21" t="n">
        <f>4867863</f>
        <v>4867863.0</v>
      </c>
      <c r="U389" s="5" t="s">
        <v>217</v>
      </c>
      <c r="V389" s="23" t="n">
        <f>521520000</f>
        <v>5.2152E8</v>
      </c>
      <c r="W389" s="5" t="s">
        <v>263</v>
      </c>
      <c r="X389" s="23" t="str">
        <f>"－"</f>
        <v>－</v>
      </c>
      <c r="Y389" s="23"/>
      <c r="Z389" s="21" t="str">
        <f>"－"</f>
        <v>－</v>
      </c>
      <c r="AA389" s="21" t="n">
        <f>4992</f>
        <v>4992.0</v>
      </c>
      <c r="AB389" s="4" t="s">
        <v>263</v>
      </c>
      <c r="AC389" s="22" t="n">
        <f>6412</f>
        <v>6412.0</v>
      </c>
      <c r="AD389" s="5" t="s">
        <v>909</v>
      </c>
      <c r="AE389" s="23" t="n">
        <f>4992</f>
        <v>4992.0</v>
      </c>
    </row>
    <row r="390">
      <c r="A390" s="24" t="s">
        <v>989</v>
      </c>
      <c r="B390" s="25" t="s">
        <v>990</v>
      </c>
      <c r="C390" s="26"/>
      <c r="D390" s="27"/>
      <c r="E390" s="28" t="s">
        <v>101</v>
      </c>
      <c r="F390" s="20" t="n">
        <f>120</f>
        <v>120.0</v>
      </c>
      <c r="G390" s="21" t="n">
        <f>1360</f>
        <v>1360.0</v>
      </c>
      <c r="H390" s="21"/>
      <c r="I390" s="21" t="n">
        <f>1359</f>
        <v>1359.0</v>
      </c>
      <c r="J390" s="21" t="n">
        <f>11</f>
        <v>11.0</v>
      </c>
      <c r="K390" s="21" t="n">
        <f>11</f>
        <v>11.0</v>
      </c>
      <c r="L390" s="4" t="s">
        <v>374</v>
      </c>
      <c r="M390" s="22" t="n">
        <f>1185</f>
        <v>1185.0</v>
      </c>
      <c r="N390" s="5" t="s">
        <v>279</v>
      </c>
      <c r="O390" s="23" t="str">
        <f>"－"</f>
        <v>－</v>
      </c>
      <c r="P390" s="3" t="s">
        <v>1031</v>
      </c>
      <c r="Q390" s="21"/>
      <c r="R390" s="3" t="s">
        <v>1032</v>
      </c>
      <c r="S390" s="21" t="n">
        <f>5002258</f>
        <v>5002258.0</v>
      </c>
      <c r="T390" s="21" t="n">
        <f>4998675</f>
        <v>4998675.0</v>
      </c>
      <c r="U390" s="5" t="s">
        <v>374</v>
      </c>
      <c r="V390" s="23" t="n">
        <f>522585000</f>
        <v>5.22585E8</v>
      </c>
      <c r="W390" s="5" t="s">
        <v>279</v>
      </c>
      <c r="X390" s="23" t="str">
        <f>"－"</f>
        <v>－</v>
      </c>
      <c r="Y390" s="23"/>
      <c r="Z390" s="21" t="str">
        <f>"－"</f>
        <v>－</v>
      </c>
      <c r="AA390" s="21" t="n">
        <f>3634</f>
        <v>3634.0</v>
      </c>
      <c r="AB390" s="4" t="s">
        <v>287</v>
      </c>
      <c r="AC390" s="22" t="n">
        <f>4993</f>
        <v>4993.0</v>
      </c>
      <c r="AD390" s="5" t="s">
        <v>170</v>
      </c>
      <c r="AE390" s="23" t="n">
        <f>3634</f>
        <v>3634.0</v>
      </c>
    </row>
    <row r="391">
      <c r="A391" s="24" t="s">
        <v>989</v>
      </c>
      <c r="B391" s="25" t="s">
        <v>990</v>
      </c>
      <c r="C391" s="26"/>
      <c r="D391" s="27"/>
      <c r="E391" s="28" t="s">
        <v>106</v>
      </c>
      <c r="F391" s="20" t="n">
        <f>121</f>
        <v>121.0</v>
      </c>
      <c r="G391" s="21" t="str">
        <f>"－"</f>
        <v>－</v>
      </c>
      <c r="H391" s="21"/>
      <c r="I391" s="21" t="str">
        <f>"－"</f>
        <v>－</v>
      </c>
      <c r="J391" s="21" t="str">
        <f>"－"</f>
        <v>－</v>
      </c>
      <c r="K391" s="21" t="str">
        <f>"－"</f>
        <v>－</v>
      </c>
      <c r="L391" s="4" t="s">
        <v>335</v>
      </c>
      <c r="M391" s="22" t="str">
        <f>"－"</f>
        <v>－</v>
      </c>
      <c r="N391" s="5" t="s">
        <v>335</v>
      </c>
      <c r="O391" s="23" t="str">
        <f>"－"</f>
        <v>－</v>
      </c>
      <c r="P391" s="3" t="s">
        <v>247</v>
      </c>
      <c r="Q391" s="21"/>
      <c r="R391" s="3" t="s">
        <v>247</v>
      </c>
      <c r="S391" s="21" t="str">
        <f>"－"</f>
        <v>－</v>
      </c>
      <c r="T391" s="21" t="str">
        <f>"－"</f>
        <v>－</v>
      </c>
      <c r="U391" s="5" t="s">
        <v>335</v>
      </c>
      <c r="V391" s="23" t="str">
        <f>"－"</f>
        <v>－</v>
      </c>
      <c r="W391" s="5" t="s">
        <v>335</v>
      </c>
      <c r="X391" s="23" t="str">
        <f>"－"</f>
        <v>－</v>
      </c>
      <c r="Y391" s="23"/>
      <c r="Z391" s="21" t="str">
        <f>"－"</f>
        <v>－</v>
      </c>
      <c r="AA391" s="21" t="n">
        <f>7</f>
        <v>7.0</v>
      </c>
      <c r="AB391" s="4" t="s">
        <v>335</v>
      </c>
      <c r="AC391" s="22" t="n">
        <f>7</f>
        <v>7.0</v>
      </c>
      <c r="AD391" s="5" t="s">
        <v>335</v>
      </c>
      <c r="AE391" s="23" t="n">
        <f>7</f>
        <v>7.0</v>
      </c>
    </row>
    <row r="392">
      <c r="A392" s="24" t="s">
        <v>989</v>
      </c>
      <c r="B392" s="25" t="s">
        <v>990</v>
      </c>
      <c r="C392" s="26"/>
      <c r="D392" s="27"/>
      <c r="E392" s="28" t="s">
        <v>112</v>
      </c>
      <c r="F392" s="20" t="n">
        <f>120</f>
        <v>120.0</v>
      </c>
      <c r="G392" s="21" t="n">
        <f>37054</f>
        <v>37054.0</v>
      </c>
      <c r="H392" s="21"/>
      <c r="I392" s="21" t="n">
        <f>37050</f>
        <v>37050.0</v>
      </c>
      <c r="J392" s="21" t="n">
        <f>309</f>
        <v>309.0</v>
      </c>
      <c r="K392" s="21" t="n">
        <f>309</f>
        <v>309.0</v>
      </c>
      <c r="L392" s="4" t="s">
        <v>582</v>
      </c>
      <c r="M392" s="22" t="n">
        <f>10700</f>
        <v>10700.0</v>
      </c>
      <c r="N392" s="5" t="s">
        <v>279</v>
      </c>
      <c r="O392" s="23" t="str">
        <f>"－"</f>
        <v>－</v>
      </c>
      <c r="P392" s="3" t="s">
        <v>1033</v>
      </c>
      <c r="Q392" s="21"/>
      <c r="R392" s="3" t="s">
        <v>1034</v>
      </c>
      <c r="S392" s="21" t="n">
        <f>145478350</f>
        <v>1.4547835E8</v>
      </c>
      <c r="T392" s="21" t="n">
        <f>145463000</f>
        <v>1.45463E8</v>
      </c>
      <c r="U392" s="5" t="s">
        <v>582</v>
      </c>
      <c r="V392" s="23" t="n">
        <f>5152050000</f>
        <v>5.15205E9</v>
      </c>
      <c r="W392" s="5" t="s">
        <v>279</v>
      </c>
      <c r="X392" s="23" t="str">
        <f>"－"</f>
        <v>－</v>
      </c>
      <c r="Y392" s="23"/>
      <c r="Z392" s="21" t="str">
        <f>"－"</f>
        <v>－</v>
      </c>
      <c r="AA392" s="21" t="n">
        <f>35817</f>
        <v>35817.0</v>
      </c>
      <c r="AB392" s="4" t="s">
        <v>90</v>
      </c>
      <c r="AC392" s="22" t="n">
        <f>36437</f>
        <v>36437.0</v>
      </c>
      <c r="AD392" s="5" t="s">
        <v>279</v>
      </c>
      <c r="AE392" s="23" t="n">
        <f>7</f>
        <v>7.0</v>
      </c>
    </row>
    <row r="393">
      <c r="A393" s="24" t="s">
        <v>989</v>
      </c>
      <c r="B393" s="25" t="s">
        <v>990</v>
      </c>
      <c r="C393" s="26"/>
      <c r="D393" s="27"/>
      <c r="E393" s="28" t="s">
        <v>118</v>
      </c>
      <c r="F393" s="20" t="n">
        <f>122</f>
        <v>122.0</v>
      </c>
      <c r="G393" s="21" t="n">
        <f>5670</f>
        <v>5670.0</v>
      </c>
      <c r="H393" s="21"/>
      <c r="I393" s="21" t="n">
        <f>5580</f>
        <v>5580.0</v>
      </c>
      <c r="J393" s="21" t="n">
        <f>46</f>
        <v>46.0</v>
      </c>
      <c r="K393" s="21" t="n">
        <f>46</f>
        <v>46.0</v>
      </c>
      <c r="L393" s="4" t="s">
        <v>848</v>
      </c>
      <c r="M393" s="22" t="n">
        <f>2070</f>
        <v>2070.0</v>
      </c>
      <c r="N393" s="5" t="s">
        <v>335</v>
      </c>
      <c r="O393" s="23" t="str">
        <f>"－"</f>
        <v>－</v>
      </c>
      <c r="P393" s="3" t="s">
        <v>1035</v>
      </c>
      <c r="Q393" s="21"/>
      <c r="R393" s="3" t="s">
        <v>1036</v>
      </c>
      <c r="S393" s="21" t="n">
        <f>16262172</f>
        <v>1.6262172E7</v>
      </c>
      <c r="T393" s="21" t="n">
        <f>16004221</f>
        <v>1.6004221E7</v>
      </c>
      <c r="U393" s="5" t="s">
        <v>848</v>
      </c>
      <c r="V393" s="23" t="n">
        <f>636525000</f>
        <v>6.36525E8</v>
      </c>
      <c r="W393" s="5" t="s">
        <v>335</v>
      </c>
      <c r="X393" s="23" t="str">
        <f>"－"</f>
        <v>－</v>
      </c>
      <c r="Y393" s="23"/>
      <c r="Z393" s="21" t="str">
        <f>"－"</f>
        <v>－</v>
      </c>
      <c r="AA393" s="21" t="n">
        <f>30315</f>
        <v>30315.0</v>
      </c>
      <c r="AB393" s="4" t="s">
        <v>335</v>
      </c>
      <c r="AC393" s="22" t="n">
        <f>35815</f>
        <v>35815.0</v>
      </c>
      <c r="AD393" s="5" t="s">
        <v>183</v>
      </c>
      <c r="AE393" s="23" t="n">
        <f>30315</f>
        <v>30315.0</v>
      </c>
    </row>
    <row r="394">
      <c r="A394" s="24" t="s">
        <v>989</v>
      </c>
      <c r="B394" s="25" t="s">
        <v>990</v>
      </c>
      <c r="C394" s="26"/>
      <c r="D394" s="27"/>
      <c r="E394" s="28" t="s">
        <v>124</v>
      </c>
      <c r="F394" s="20" t="n">
        <f>123</f>
        <v>123.0</v>
      </c>
      <c r="G394" s="21" t="n">
        <f>1085</f>
        <v>1085.0</v>
      </c>
      <c r="H394" s="21"/>
      <c r="I394" s="21" t="n">
        <f>1055</f>
        <v>1055.0</v>
      </c>
      <c r="J394" s="21" t="n">
        <f>9</f>
        <v>9.0</v>
      </c>
      <c r="K394" s="21" t="n">
        <f>9</f>
        <v>9.0</v>
      </c>
      <c r="L394" s="4" t="s">
        <v>396</v>
      </c>
      <c r="M394" s="22" t="n">
        <f>1045</f>
        <v>1045.0</v>
      </c>
      <c r="N394" s="5" t="s">
        <v>279</v>
      </c>
      <c r="O394" s="23" t="str">
        <f>"－"</f>
        <v>－</v>
      </c>
      <c r="P394" s="3" t="s">
        <v>1037</v>
      </c>
      <c r="Q394" s="21"/>
      <c r="R394" s="3" t="s">
        <v>1038</v>
      </c>
      <c r="S394" s="21" t="n">
        <f>4134785</f>
        <v>4134785.0</v>
      </c>
      <c r="T394" s="21" t="n">
        <f>4026171</f>
        <v>4026171.0</v>
      </c>
      <c r="U394" s="5" t="s">
        <v>396</v>
      </c>
      <c r="V394" s="23" t="n">
        <f>490523000</f>
        <v>4.90523E8</v>
      </c>
      <c r="W394" s="5" t="s">
        <v>279</v>
      </c>
      <c r="X394" s="23" t="str">
        <f>"－"</f>
        <v>－</v>
      </c>
      <c r="Y394" s="23"/>
      <c r="Z394" s="21" t="str">
        <f>"－"</f>
        <v>－</v>
      </c>
      <c r="AA394" s="21" t="n">
        <f>29280</f>
        <v>29280.0</v>
      </c>
      <c r="AB394" s="4" t="s">
        <v>1039</v>
      </c>
      <c r="AC394" s="22" t="n">
        <f>30335</f>
        <v>30335.0</v>
      </c>
      <c r="AD394" s="5" t="s">
        <v>396</v>
      </c>
      <c r="AE394" s="23" t="n">
        <f>29280</f>
        <v>29280.0</v>
      </c>
    </row>
    <row r="395">
      <c r="A395" s="24" t="s">
        <v>989</v>
      </c>
      <c r="B395" s="25" t="s">
        <v>990</v>
      </c>
      <c r="C395" s="26"/>
      <c r="D395" s="27"/>
      <c r="E395" s="28" t="s">
        <v>127</v>
      </c>
      <c r="F395" s="20" t="n">
        <f>122</f>
        <v>122.0</v>
      </c>
      <c r="G395" s="21" t="n">
        <f>7760</f>
        <v>7760.0</v>
      </c>
      <c r="H395" s="21"/>
      <c r="I395" s="21" t="n">
        <f>7760</f>
        <v>7760.0</v>
      </c>
      <c r="J395" s="21" t="n">
        <f>64</f>
        <v>64.0</v>
      </c>
      <c r="K395" s="21" t="n">
        <f>64</f>
        <v>64.0</v>
      </c>
      <c r="L395" s="4" t="s">
        <v>501</v>
      </c>
      <c r="M395" s="22" t="n">
        <f>7062</f>
        <v>7062.0</v>
      </c>
      <c r="N395" s="5" t="s">
        <v>335</v>
      </c>
      <c r="O395" s="23" t="str">
        <f>"－"</f>
        <v>－</v>
      </c>
      <c r="P395" s="3" t="s">
        <v>1040</v>
      </c>
      <c r="Q395" s="21"/>
      <c r="R395" s="3" t="s">
        <v>1040</v>
      </c>
      <c r="S395" s="21" t="n">
        <f>35544474</f>
        <v>3.5544474E7</v>
      </c>
      <c r="T395" s="21" t="n">
        <f>35544474</f>
        <v>3.5544474E7</v>
      </c>
      <c r="U395" s="5" t="s">
        <v>501</v>
      </c>
      <c r="V395" s="23" t="n">
        <f>3997092000</f>
        <v>3.997092E9</v>
      </c>
      <c r="W395" s="5" t="s">
        <v>335</v>
      </c>
      <c r="X395" s="23" t="str">
        <f>"－"</f>
        <v>－</v>
      </c>
      <c r="Y395" s="23"/>
      <c r="Z395" s="21" t="str">
        <f>"－"</f>
        <v>－</v>
      </c>
      <c r="AA395" s="21" t="n">
        <f>35591</f>
        <v>35591.0</v>
      </c>
      <c r="AB395" s="4" t="s">
        <v>501</v>
      </c>
      <c r="AC395" s="22" t="n">
        <f>36269</f>
        <v>36269.0</v>
      </c>
      <c r="AD395" s="5" t="s">
        <v>88</v>
      </c>
      <c r="AE395" s="23" t="n">
        <f>29207</f>
        <v>29207.0</v>
      </c>
    </row>
    <row r="396">
      <c r="A396" s="24" t="s">
        <v>989</v>
      </c>
      <c r="B396" s="25" t="s">
        <v>990</v>
      </c>
      <c r="C396" s="26"/>
      <c r="D396" s="27"/>
      <c r="E396" s="28" t="s">
        <v>133</v>
      </c>
      <c r="F396" s="20" t="n">
        <f>122</f>
        <v>122.0</v>
      </c>
      <c r="G396" s="21" t="n">
        <f>1209</f>
        <v>1209.0</v>
      </c>
      <c r="H396" s="21"/>
      <c r="I396" s="21" t="n">
        <f>1179</f>
        <v>1179.0</v>
      </c>
      <c r="J396" s="21" t="n">
        <f>10</f>
        <v>10.0</v>
      </c>
      <c r="K396" s="21" t="n">
        <f>10</f>
        <v>10.0</v>
      </c>
      <c r="L396" s="4" t="s">
        <v>65</v>
      </c>
      <c r="M396" s="22" t="n">
        <f>1045</f>
        <v>1045.0</v>
      </c>
      <c r="N396" s="5" t="s">
        <v>279</v>
      </c>
      <c r="O396" s="23" t="str">
        <f>"－"</f>
        <v>－</v>
      </c>
      <c r="P396" s="3" t="s">
        <v>1041</v>
      </c>
      <c r="Q396" s="21"/>
      <c r="R396" s="3" t="s">
        <v>1042</v>
      </c>
      <c r="S396" s="21" t="n">
        <f>4824947</f>
        <v>4824947.0</v>
      </c>
      <c r="T396" s="21" t="n">
        <f>4696537</f>
        <v>4696537.0</v>
      </c>
      <c r="U396" s="5" t="s">
        <v>65</v>
      </c>
      <c r="V396" s="23" t="n">
        <f>503167500</f>
        <v>5.031675E8</v>
      </c>
      <c r="W396" s="5" t="s">
        <v>279</v>
      </c>
      <c r="X396" s="23" t="str">
        <f>"－"</f>
        <v>－</v>
      </c>
      <c r="Y396" s="23"/>
      <c r="Z396" s="21" t="str">
        <f>"－"</f>
        <v>－</v>
      </c>
      <c r="AA396" s="21" t="n">
        <f>34422</f>
        <v>34422.0</v>
      </c>
      <c r="AB396" s="4" t="s">
        <v>279</v>
      </c>
      <c r="AC396" s="22" t="n">
        <f>35591</f>
        <v>35591.0</v>
      </c>
      <c r="AD396" s="5" t="s">
        <v>901</v>
      </c>
      <c r="AE396" s="23" t="n">
        <f>34412</f>
        <v>34412.0</v>
      </c>
    </row>
    <row r="397">
      <c r="A397" s="24" t="s">
        <v>989</v>
      </c>
      <c r="B397" s="25" t="s">
        <v>990</v>
      </c>
      <c r="C397" s="26"/>
      <c r="D397" s="27"/>
      <c r="E397" s="28" t="s">
        <v>139</v>
      </c>
      <c r="F397" s="20" t="n">
        <f>123</f>
        <v>123.0</v>
      </c>
      <c r="G397" s="21" t="n">
        <f>5160</f>
        <v>5160.0</v>
      </c>
      <c r="H397" s="21"/>
      <c r="I397" s="21" t="n">
        <f>5160</f>
        <v>5160.0</v>
      </c>
      <c r="J397" s="21" t="n">
        <f>42</f>
        <v>42.0</v>
      </c>
      <c r="K397" s="21" t="n">
        <f>42</f>
        <v>42.0</v>
      </c>
      <c r="L397" s="4" t="s">
        <v>111</v>
      </c>
      <c r="M397" s="22" t="n">
        <f>5125</f>
        <v>5125.0</v>
      </c>
      <c r="N397" s="5" t="s">
        <v>335</v>
      </c>
      <c r="O397" s="23" t="str">
        <f>"－"</f>
        <v>－</v>
      </c>
      <c r="P397" s="3" t="s">
        <v>1043</v>
      </c>
      <c r="Q397" s="21"/>
      <c r="R397" s="3" t="s">
        <v>1043</v>
      </c>
      <c r="S397" s="21" t="n">
        <f>24460407</f>
        <v>2.4460407E7</v>
      </c>
      <c r="T397" s="21" t="n">
        <f>24460407</f>
        <v>2.4460407E7</v>
      </c>
      <c r="U397" s="5" t="s">
        <v>111</v>
      </c>
      <c r="V397" s="23" t="n">
        <f>2987875000</f>
        <v>2.987875E9</v>
      </c>
      <c r="W397" s="5" t="s">
        <v>335</v>
      </c>
      <c r="X397" s="23" t="str">
        <f>"－"</f>
        <v>－</v>
      </c>
      <c r="Y397" s="23"/>
      <c r="Z397" s="21" t="str">
        <f>"－"</f>
        <v>－</v>
      </c>
      <c r="AA397" s="21" t="n">
        <f>12104</f>
        <v>12104.0</v>
      </c>
      <c r="AB397" s="4" t="s">
        <v>111</v>
      </c>
      <c r="AC397" s="22" t="n">
        <f>12139</f>
        <v>12139.0</v>
      </c>
      <c r="AD397" s="5" t="s">
        <v>335</v>
      </c>
      <c r="AE397" s="23" t="n">
        <f>7014</f>
        <v>7014.0</v>
      </c>
    </row>
    <row r="398">
      <c r="A398" s="24" t="s">
        <v>989</v>
      </c>
      <c r="B398" s="25" t="s">
        <v>990</v>
      </c>
      <c r="C398" s="26"/>
      <c r="D398" s="27"/>
      <c r="E398" s="28" t="s">
        <v>145</v>
      </c>
      <c r="F398" s="20" t="n">
        <f>122</f>
        <v>122.0</v>
      </c>
      <c r="G398" s="21" t="n">
        <f>51</f>
        <v>51.0</v>
      </c>
      <c r="H398" s="21"/>
      <c r="I398" s="21" t="n">
        <f>51</f>
        <v>51.0</v>
      </c>
      <c r="J398" s="21" t="n">
        <f>0</f>
        <v>0.0</v>
      </c>
      <c r="K398" s="21" t="n">
        <f>0</f>
        <v>0.0</v>
      </c>
      <c r="L398" s="4" t="s">
        <v>1009</v>
      </c>
      <c r="M398" s="22" t="n">
        <f>51</f>
        <v>51.0</v>
      </c>
      <c r="N398" s="5" t="s">
        <v>82</v>
      </c>
      <c r="O398" s="23" t="str">
        <f>"－"</f>
        <v>－</v>
      </c>
      <c r="P398" s="3" t="s">
        <v>1044</v>
      </c>
      <c r="Q398" s="21"/>
      <c r="R398" s="3" t="s">
        <v>1044</v>
      </c>
      <c r="S398" s="21" t="n">
        <f>251680</f>
        <v>251680.0</v>
      </c>
      <c r="T398" s="21" t="n">
        <f>251680</f>
        <v>251680.0</v>
      </c>
      <c r="U398" s="5" t="s">
        <v>1009</v>
      </c>
      <c r="V398" s="23" t="n">
        <f>30705000</f>
        <v>3.0705E7</v>
      </c>
      <c r="W398" s="5" t="s">
        <v>82</v>
      </c>
      <c r="X398" s="23" t="str">
        <f>"－"</f>
        <v>－</v>
      </c>
      <c r="Y398" s="23"/>
      <c r="Z398" s="21" t="str">
        <f>"－"</f>
        <v>－</v>
      </c>
      <c r="AA398" s="21" t="n">
        <f>12053</f>
        <v>12053.0</v>
      </c>
      <c r="AB398" s="4" t="s">
        <v>82</v>
      </c>
      <c r="AC398" s="22" t="n">
        <f>12104</f>
        <v>12104.0</v>
      </c>
      <c r="AD398" s="5" t="s">
        <v>1009</v>
      </c>
      <c r="AE398" s="23" t="n">
        <f>12053</f>
        <v>12053.0</v>
      </c>
    </row>
    <row r="399">
      <c r="A399" s="24" t="s">
        <v>989</v>
      </c>
      <c r="B399" s="25" t="s">
        <v>990</v>
      </c>
      <c r="C399" s="26"/>
      <c r="D399" s="27"/>
      <c r="E399" s="28" t="s">
        <v>150</v>
      </c>
      <c r="F399" s="20" t="n">
        <f>124</f>
        <v>124.0</v>
      </c>
      <c r="G399" s="21" t="n">
        <f>1643</f>
        <v>1643.0</v>
      </c>
      <c r="H399" s="21"/>
      <c r="I399" s="21" t="n">
        <f>1638</f>
        <v>1638.0</v>
      </c>
      <c r="J399" s="21" t="n">
        <f>13</f>
        <v>13.0</v>
      </c>
      <c r="K399" s="21" t="n">
        <f>13</f>
        <v>13.0</v>
      </c>
      <c r="L399" s="4" t="s">
        <v>390</v>
      </c>
      <c r="M399" s="22" t="n">
        <f>1548</f>
        <v>1548.0</v>
      </c>
      <c r="N399" s="5" t="s">
        <v>666</v>
      </c>
      <c r="O399" s="23" t="str">
        <f>"－"</f>
        <v>－</v>
      </c>
      <c r="P399" s="3" t="s">
        <v>1045</v>
      </c>
      <c r="Q399" s="21"/>
      <c r="R399" s="3" t="s">
        <v>1046</v>
      </c>
      <c r="S399" s="21" t="n">
        <f>8484484</f>
        <v>8484484.0</v>
      </c>
      <c r="T399" s="21" t="n">
        <f>8459726</f>
        <v>8459726.0</v>
      </c>
      <c r="U399" s="5" t="s">
        <v>390</v>
      </c>
      <c r="V399" s="23" t="n">
        <f>992784000</f>
        <v>9.92784E8</v>
      </c>
      <c r="W399" s="5" t="s">
        <v>666</v>
      </c>
      <c r="X399" s="23" t="str">
        <f>"－"</f>
        <v>－</v>
      </c>
      <c r="Y399" s="23"/>
      <c r="Z399" s="21" t="str">
        <f>"－"</f>
        <v>－</v>
      </c>
      <c r="AA399" s="21" t="n">
        <f>13496</f>
        <v>13496.0</v>
      </c>
      <c r="AB399" s="4" t="s">
        <v>390</v>
      </c>
      <c r="AC399" s="22" t="n">
        <f>13577</f>
        <v>13577.0</v>
      </c>
      <c r="AD399" s="5" t="s">
        <v>904</v>
      </c>
      <c r="AE399" s="23" t="n">
        <f>12029</f>
        <v>12029.0</v>
      </c>
    </row>
    <row r="400">
      <c r="A400" s="24" t="s">
        <v>989</v>
      </c>
      <c r="B400" s="25" t="s">
        <v>990</v>
      </c>
      <c r="C400" s="26"/>
      <c r="D400" s="27"/>
      <c r="E400" s="28" t="s">
        <v>154</v>
      </c>
      <c r="F400" s="20" t="n">
        <f>120</f>
        <v>120.0</v>
      </c>
      <c r="G400" s="21" t="n">
        <f>2067</f>
        <v>2067.0</v>
      </c>
      <c r="H400" s="21"/>
      <c r="I400" s="21" t="n">
        <f>2057</f>
        <v>2057.0</v>
      </c>
      <c r="J400" s="21" t="n">
        <f>17</f>
        <v>17.0</v>
      </c>
      <c r="K400" s="21" t="n">
        <f>17</f>
        <v>17.0</v>
      </c>
      <c r="L400" s="4" t="s">
        <v>974</v>
      </c>
      <c r="M400" s="22" t="n">
        <f>1448</f>
        <v>1448.0</v>
      </c>
      <c r="N400" s="5" t="s">
        <v>82</v>
      </c>
      <c r="O400" s="23" t="str">
        <f>"－"</f>
        <v>－</v>
      </c>
      <c r="P400" s="3" t="s">
        <v>1047</v>
      </c>
      <c r="Q400" s="21"/>
      <c r="R400" s="3" t="s">
        <v>1048</v>
      </c>
      <c r="S400" s="21" t="n">
        <f>11465525</f>
        <v>1.1465525E7</v>
      </c>
      <c r="T400" s="21" t="n">
        <f>11412983</f>
        <v>1.1412983E7</v>
      </c>
      <c r="U400" s="5" t="s">
        <v>974</v>
      </c>
      <c r="V400" s="23" t="n">
        <f>983312000</f>
        <v>9.83312E8</v>
      </c>
      <c r="W400" s="5" t="s">
        <v>82</v>
      </c>
      <c r="X400" s="23" t="str">
        <f>"－"</f>
        <v>－</v>
      </c>
      <c r="Y400" s="23"/>
      <c r="Z400" s="21" t="str">
        <f>"－"</f>
        <v>－</v>
      </c>
      <c r="AA400" s="21" t="n">
        <f>14845</f>
        <v>14845.0</v>
      </c>
      <c r="AB400" s="4" t="s">
        <v>974</v>
      </c>
      <c r="AC400" s="22" t="n">
        <f>14946</f>
        <v>14946.0</v>
      </c>
      <c r="AD400" s="5" t="s">
        <v>268</v>
      </c>
      <c r="AE400" s="23" t="n">
        <f>13488</f>
        <v>13488.0</v>
      </c>
    </row>
    <row r="401">
      <c r="A401" s="24" t="s">
        <v>1049</v>
      </c>
      <c r="B401" s="25" t="s">
        <v>1050</v>
      </c>
      <c r="C401" s="26"/>
      <c r="D401" s="27"/>
      <c r="E401" s="28" t="s">
        <v>48</v>
      </c>
      <c r="F401" s="20" t="n">
        <f>81</f>
        <v>81.0</v>
      </c>
      <c r="G401" s="21" t="n">
        <f>80133</f>
        <v>80133.0</v>
      </c>
      <c r="H401" s="21"/>
      <c r="I401" s="21" t="n">
        <f>38849</f>
        <v>38849.0</v>
      </c>
      <c r="J401" s="21" t="n">
        <f>989</f>
        <v>989.0</v>
      </c>
      <c r="K401" s="21" t="n">
        <f>480</f>
        <v>480.0</v>
      </c>
      <c r="L401" s="4" t="s">
        <v>53</v>
      </c>
      <c r="M401" s="22" t="n">
        <f>2098</f>
        <v>2098.0</v>
      </c>
      <c r="N401" s="5" t="s">
        <v>298</v>
      </c>
      <c r="O401" s="23" t="n">
        <f>325</f>
        <v>325.0</v>
      </c>
      <c r="P401" s="3" t="s">
        <v>1051</v>
      </c>
      <c r="Q401" s="21"/>
      <c r="R401" s="3" t="s">
        <v>1052</v>
      </c>
      <c r="S401" s="21" t="n">
        <f>231975241</f>
        <v>2.31975241E8</v>
      </c>
      <c r="T401" s="21" t="n">
        <f>109457617</f>
        <v>1.09457617E8</v>
      </c>
      <c r="U401" s="5" t="s">
        <v>53</v>
      </c>
      <c r="V401" s="23" t="n">
        <f>429099500</f>
        <v>4.290995E8</v>
      </c>
      <c r="W401" s="5" t="s">
        <v>298</v>
      </c>
      <c r="X401" s="23" t="n">
        <f>88143500</f>
        <v>8.81435E7</v>
      </c>
      <c r="Y401" s="23"/>
      <c r="Z401" s="21" t="str">
        <f>"－"</f>
        <v>－</v>
      </c>
      <c r="AA401" s="21" t="n">
        <f>10390</f>
        <v>10390.0</v>
      </c>
      <c r="AB401" s="4" t="s">
        <v>440</v>
      </c>
      <c r="AC401" s="22" t="n">
        <f>11199</f>
        <v>11199.0</v>
      </c>
      <c r="AD401" s="5" t="s">
        <v>1053</v>
      </c>
      <c r="AE401" s="23" t="n">
        <f>5500</f>
        <v>5500.0</v>
      </c>
    </row>
    <row r="402">
      <c r="A402" s="24" t="s">
        <v>1049</v>
      </c>
      <c r="B402" s="25" t="s">
        <v>1050</v>
      </c>
      <c r="C402" s="26"/>
      <c r="D402" s="27"/>
      <c r="E402" s="28" t="s">
        <v>56</v>
      </c>
      <c r="F402" s="20" t="n">
        <f>123</f>
        <v>123.0</v>
      </c>
      <c r="G402" s="21" t="n">
        <f>111781</f>
        <v>111781.0</v>
      </c>
      <c r="H402" s="21"/>
      <c r="I402" s="21" t="n">
        <f>45558</f>
        <v>45558.0</v>
      </c>
      <c r="J402" s="21" t="n">
        <f>909</f>
        <v>909.0</v>
      </c>
      <c r="K402" s="21" t="n">
        <f>370</f>
        <v>370.0</v>
      </c>
      <c r="L402" s="4" t="s">
        <v>510</v>
      </c>
      <c r="M402" s="22" t="n">
        <f>1673</f>
        <v>1673.0</v>
      </c>
      <c r="N402" s="5" t="s">
        <v>129</v>
      </c>
      <c r="O402" s="23" t="n">
        <f>55</f>
        <v>55.0</v>
      </c>
      <c r="P402" s="3" t="s">
        <v>1054</v>
      </c>
      <c r="Q402" s="21"/>
      <c r="R402" s="3" t="s">
        <v>1055</v>
      </c>
      <c r="S402" s="21" t="n">
        <f>200101260</f>
        <v>2.0010126E8</v>
      </c>
      <c r="T402" s="21" t="n">
        <f>78143488</f>
        <v>7.8143488E7</v>
      </c>
      <c r="U402" s="5" t="s">
        <v>192</v>
      </c>
      <c r="V402" s="23" t="n">
        <f>427306500</f>
        <v>4.273065E8</v>
      </c>
      <c r="W402" s="5" t="s">
        <v>129</v>
      </c>
      <c r="X402" s="23" t="n">
        <f>14354000</f>
        <v>1.4354E7</v>
      </c>
      <c r="Y402" s="23"/>
      <c r="Z402" s="21" t="str">
        <f>"－"</f>
        <v>－</v>
      </c>
      <c r="AA402" s="21" t="n">
        <f>4112</f>
        <v>4112.0</v>
      </c>
      <c r="AB402" s="4" t="s">
        <v>335</v>
      </c>
      <c r="AC402" s="22" t="n">
        <f>10411</f>
        <v>10411.0</v>
      </c>
      <c r="AD402" s="5" t="s">
        <v>927</v>
      </c>
      <c r="AE402" s="23" t="n">
        <f>4073</f>
        <v>4073.0</v>
      </c>
    </row>
    <row r="403">
      <c r="A403" s="24" t="s">
        <v>1049</v>
      </c>
      <c r="B403" s="25" t="s">
        <v>1050</v>
      </c>
      <c r="C403" s="26"/>
      <c r="D403" s="27"/>
      <c r="E403" s="28" t="s">
        <v>63</v>
      </c>
      <c r="F403" s="20" t="n">
        <f>122</f>
        <v>122.0</v>
      </c>
      <c r="G403" s="21" t="n">
        <f>85152</f>
        <v>85152.0</v>
      </c>
      <c r="H403" s="21"/>
      <c r="I403" s="21" t="n">
        <f>6028</f>
        <v>6028.0</v>
      </c>
      <c r="J403" s="21" t="n">
        <f>698</f>
        <v>698.0</v>
      </c>
      <c r="K403" s="21" t="n">
        <f>49</f>
        <v>49.0</v>
      </c>
      <c r="L403" s="4" t="s">
        <v>1056</v>
      </c>
      <c r="M403" s="22" t="n">
        <f>4109</f>
        <v>4109.0</v>
      </c>
      <c r="N403" s="5" t="s">
        <v>889</v>
      </c>
      <c r="O403" s="23" t="n">
        <f>26</f>
        <v>26.0</v>
      </c>
      <c r="P403" s="3" t="s">
        <v>1057</v>
      </c>
      <c r="Q403" s="21"/>
      <c r="R403" s="3" t="s">
        <v>1058</v>
      </c>
      <c r="S403" s="21" t="n">
        <f>191405582</f>
        <v>1.91405582E8</v>
      </c>
      <c r="T403" s="21" t="n">
        <f>13646902</f>
        <v>1.3646902E7</v>
      </c>
      <c r="U403" s="5" t="s">
        <v>1056</v>
      </c>
      <c r="V403" s="23" t="n">
        <f>1228131000</f>
        <v>1.228131E9</v>
      </c>
      <c r="W403" s="5" t="s">
        <v>889</v>
      </c>
      <c r="X403" s="23" t="n">
        <f>9414500</f>
        <v>9414500.0</v>
      </c>
      <c r="Y403" s="23"/>
      <c r="Z403" s="21" t="n">
        <f>20700</f>
        <v>20700.0</v>
      </c>
      <c r="AA403" s="21" t="n">
        <f>1564</f>
        <v>1564.0</v>
      </c>
      <c r="AB403" s="4" t="s">
        <v>202</v>
      </c>
      <c r="AC403" s="22" t="n">
        <f>6507</f>
        <v>6507.0</v>
      </c>
      <c r="AD403" s="5" t="s">
        <v>698</v>
      </c>
      <c r="AE403" s="23" t="n">
        <f>1515</f>
        <v>1515.0</v>
      </c>
    </row>
    <row r="404">
      <c r="A404" s="24" t="s">
        <v>1049</v>
      </c>
      <c r="B404" s="25" t="s">
        <v>1050</v>
      </c>
      <c r="C404" s="26"/>
      <c r="D404" s="27"/>
      <c r="E404" s="28" t="s">
        <v>70</v>
      </c>
      <c r="F404" s="20" t="n">
        <f>123</f>
        <v>123.0</v>
      </c>
      <c r="G404" s="21" t="n">
        <f>26799</f>
        <v>26799.0</v>
      </c>
      <c r="H404" s="21"/>
      <c r="I404" s="21" t="str">
        <f>"－"</f>
        <v>－</v>
      </c>
      <c r="J404" s="21" t="n">
        <f>218</f>
        <v>218.0</v>
      </c>
      <c r="K404" s="21" t="str">
        <f>"－"</f>
        <v>－</v>
      </c>
      <c r="L404" s="4" t="s">
        <v>737</v>
      </c>
      <c r="M404" s="22" t="n">
        <f>1070</f>
        <v>1070.0</v>
      </c>
      <c r="N404" s="5" t="s">
        <v>924</v>
      </c>
      <c r="O404" s="23" t="n">
        <f>4</f>
        <v>4.0</v>
      </c>
      <c r="P404" s="3" t="s">
        <v>1059</v>
      </c>
      <c r="Q404" s="21"/>
      <c r="R404" s="3" t="s">
        <v>247</v>
      </c>
      <c r="S404" s="21" t="n">
        <f>58144752</f>
        <v>5.8144752E7</v>
      </c>
      <c r="T404" s="21" t="str">
        <f>"－"</f>
        <v>－</v>
      </c>
      <c r="U404" s="5" t="s">
        <v>737</v>
      </c>
      <c r="V404" s="23" t="n">
        <f>290206500</f>
        <v>2.902065E8</v>
      </c>
      <c r="W404" s="5" t="s">
        <v>924</v>
      </c>
      <c r="X404" s="23" t="n">
        <f>1007500</f>
        <v>1007500.0</v>
      </c>
      <c r="Y404" s="23"/>
      <c r="Z404" s="21" t="n">
        <f>5970</f>
        <v>5970.0</v>
      </c>
      <c r="AA404" s="21" t="n">
        <f>575</f>
        <v>575.0</v>
      </c>
      <c r="AB404" s="4" t="s">
        <v>656</v>
      </c>
      <c r="AC404" s="22" t="n">
        <f>2922</f>
        <v>2922.0</v>
      </c>
      <c r="AD404" s="5" t="s">
        <v>573</v>
      </c>
      <c r="AE404" s="23" t="n">
        <f>345</f>
        <v>345.0</v>
      </c>
    </row>
    <row r="405">
      <c r="A405" s="24" t="s">
        <v>1049</v>
      </c>
      <c r="B405" s="25" t="s">
        <v>1050</v>
      </c>
      <c r="C405" s="26"/>
      <c r="D405" s="27"/>
      <c r="E405" s="28" t="s">
        <v>77</v>
      </c>
      <c r="F405" s="20" t="n">
        <f>122</f>
        <v>122.0</v>
      </c>
      <c r="G405" s="21" t="n">
        <f>16578</f>
        <v>16578.0</v>
      </c>
      <c r="H405" s="21"/>
      <c r="I405" s="21" t="n">
        <f>7000</f>
        <v>7000.0</v>
      </c>
      <c r="J405" s="21" t="n">
        <f>136</f>
        <v>136.0</v>
      </c>
      <c r="K405" s="21" t="n">
        <f>57</f>
        <v>57.0</v>
      </c>
      <c r="L405" s="4" t="s">
        <v>954</v>
      </c>
      <c r="M405" s="22" t="n">
        <f>2102</f>
        <v>2102.0</v>
      </c>
      <c r="N405" s="5" t="s">
        <v>404</v>
      </c>
      <c r="O405" s="23" t="n">
        <f>1</f>
        <v>1.0</v>
      </c>
      <c r="P405" s="3" t="s">
        <v>1060</v>
      </c>
      <c r="Q405" s="21"/>
      <c r="R405" s="3" t="s">
        <v>1061</v>
      </c>
      <c r="S405" s="21" t="n">
        <f>27289721</f>
        <v>2.7289721E7</v>
      </c>
      <c r="T405" s="21" t="n">
        <f>11245902</f>
        <v>1.1245902E7</v>
      </c>
      <c r="U405" s="5" t="s">
        <v>954</v>
      </c>
      <c r="V405" s="23" t="n">
        <f>468481500</f>
        <v>4.684815E8</v>
      </c>
      <c r="W405" s="5" t="s">
        <v>404</v>
      </c>
      <c r="X405" s="23" t="n">
        <f>226000</f>
        <v>226000.0</v>
      </c>
      <c r="Y405" s="23"/>
      <c r="Z405" s="21" t="n">
        <f>4529</f>
        <v>4529.0</v>
      </c>
      <c r="AA405" s="21" t="n">
        <f>428</f>
        <v>428.0</v>
      </c>
      <c r="AB405" s="4" t="s">
        <v>175</v>
      </c>
      <c r="AC405" s="22" t="n">
        <f>3482</f>
        <v>3482.0</v>
      </c>
      <c r="AD405" s="5" t="s">
        <v>669</v>
      </c>
      <c r="AE405" s="23" t="n">
        <f>108</f>
        <v>108.0</v>
      </c>
    </row>
    <row r="406">
      <c r="A406" s="24" t="s">
        <v>1049</v>
      </c>
      <c r="B406" s="25" t="s">
        <v>1050</v>
      </c>
      <c r="C406" s="26"/>
      <c r="D406" s="27"/>
      <c r="E406" s="28" t="s">
        <v>83</v>
      </c>
      <c r="F406" s="20" t="n">
        <f>124</f>
        <v>124.0</v>
      </c>
      <c r="G406" s="21" t="n">
        <f>6873</f>
        <v>6873.0</v>
      </c>
      <c r="H406" s="21"/>
      <c r="I406" s="21" t="n">
        <f>528</f>
        <v>528.0</v>
      </c>
      <c r="J406" s="21" t="n">
        <f>55</f>
        <v>55.0</v>
      </c>
      <c r="K406" s="21" t="n">
        <f>4</f>
        <v>4.0</v>
      </c>
      <c r="L406" s="4" t="s">
        <v>85</v>
      </c>
      <c r="M406" s="22" t="n">
        <f>303</f>
        <v>303.0</v>
      </c>
      <c r="N406" s="5" t="s">
        <v>272</v>
      </c>
      <c r="O406" s="23" t="n">
        <f>6</f>
        <v>6.0</v>
      </c>
      <c r="P406" s="3" t="s">
        <v>1062</v>
      </c>
      <c r="Q406" s="21"/>
      <c r="R406" s="3" t="s">
        <v>1063</v>
      </c>
      <c r="S406" s="21" t="n">
        <f>8888875</f>
        <v>8888875.0</v>
      </c>
      <c r="T406" s="21" t="n">
        <f>646327</f>
        <v>646327.0</v>
      </c>
      <c r="U406" s="5" t="s">
        <v>128</v>
      </c>
      <c r="V406" s="23" t="n">
        <f>51731000</f>
        <v>5.1731E7</v>
      </c>
      <c r="W406" s="5" t="s">
        <v>272</v>
      </c>
      <c r="X406" s="23" t="n">
        <f>886500</f>
        <v>886500.0</v>
      </c>
      <c r="Y406" s="23"/>
      <c r="Z406" s="21" t="n">
        <f>5</f>
        <v>5.0</v>
      </c>
      <c r="AA406" s="21" t="n">
        <f>388</f>
        <v>388.0</v>
      </c>
      <c r="AB406" s="4" t="s">
        <v>282</v>
      </c>
      <c r="AC406" s="22" t="n">
        <f>813</f>
        <v>813.0</v>
      </c>
      <c r="AD406" s="5" t="s">
        <v>303</v>
      </c>
      <c r="AE406" s="23" t="n">
        <f>167</f>
        <v>167.0</v>
      </c>
    </row>
    <row r="407">
      <c r="A407" s="24" t="s">
        <v>1049</v>
      </c>
      <c r="B407" s="25" t="s">
        <v>1050</v>
      </c>
      <c r="C407" s="26"/>
      <c r="D407" s="27"/>
      <c r="E407" s="28" t="s">
        <v>89</v>
      </c>
      <c r="F407" s="20" t="n">
        <f>121</f>
        <v>121.0</v>
      </c>
      <c r="G407" s="21" t="n">
        <f>5653</f>
        <v>5653.0</v>
      </c>
      <c r="H407" s="21"/>
      <c r="I407" s="21" t="n">
        <f>669</f>
        <v>669.0</v>
      </c>
      <c r="J407" s="21" t="n">
        <f>47</f>
        <v>47.0</v>
      </c>
      <c r="K407" s="21" t="n">
        <f>6</f>
        <v>6.0</v>
      </c>
      <c r="L407" s="4" t="s">
        <v>352</v>
      </c>
      <c r="M407" s="22" t="n">
        <f>305</f>
        <v>305.0</v>
      </c>
      <c r="N407" s="5" t="s">
        <v>1064</v>
      </c>
      <c r="O407" s="23" t="n">
        <f>1</f>
        <v>1.0</v>
      </c>
      <c r="P407" s="3" t="s">
        <v>1065</v>
      </c>
      <c r="Q407" s="21"/>
      <c r="R407" s="3" t="s">
        <v>1066</v>
      </c>
      <c r="S407" s="21" t="n">
        <f>8674537</f>
        <v>8674537.0</v>
      </c>
      <c r="T407" s="21" t="n">
        <f>894843</f>
        <v>894843.0</v>
      </c>
      <c r="U407" s="5" t="s">
        <v>352</v>
      </c>
      <c r="V407" s="23" t="n">
        <f>50711000</f>
        <v>5.0711E7</v>
      </c>
      <c r="W407" s="5" t="s">
        <v>1064</v>
      </c>
      <c r="X407" s="23" t="n">
        <f>210500</f>
        <v>210500.0</v>
      </c>
      <c r="Y407" s="23"/>
      <c r="Z407" s="21" t="str">
        <f>"－"</f>
        <v>－</v>
      </c>
      <c r="AA407" s="21" t="n">
        <f>506</f>
        <v>506.0</v>
      </c>
      <c r="AB407" s="4" t="s">
        <v>137</v>
      </c>
      <c r="AC407" s="22" t="n">
        <f>989</f>
        <v>989.0</v>
      </c>
      <c r="AD407" s="5" t="s">
        <v>94</v>
      </c>
      <c r="AE407" s="23" t="n">
        <f>147</f>
        <v>147.0</v>
      </c>
    </row>
    <row r="408">
      <c r="A408" s="24" t="s">
        <v>1049</v>
      </c>
      <c r="B408" s="25" t="s">
        <v>1050</v>
      </c>
      <c r="C408" s="26"/>
      <c r="D408" s="27"/>
      <c r="E408" s="28" t="s">
        <v>95</v>
      </c>
      <c r="F408" s="20" t="n">
        <f>124</f>
        <v>124.0</v>
      </c>
      <c r="G408" s="21" t="n">
        <f>5227</f>
        <v>5227.0</v>
      </c>
      <c r="H408" s="21"/>
      <c r="I408" s="21" t="str">
        <f>"－"</f>
        <v>－</v>
      </c>
      <c r="J408" s="21" t="n">
        <f>42</f>
        <v>42.0</v>
      </c>
      <c r="K408" s="21" t="str">
        <f>"－"</f>
        <v>－</v>
      </c>
      <c r="L408" s="4" t="s">
        <v>205</v>
      </c>
      <c r="M408" s="22" t="n">
        <f>320</f>
        <v>320.0</v>
      </c>
      <c r="N408" s="5" t="s">
        <v>302</v>
      </c>
      <c r="O408" s="23" t="str">
        <f>"－"</f>
        <v>－</v>
      </c>
      <c r="P408" s="3" t="s">
        <v>1067</v>
      </c>
      <c r="Q408" s="21"/>
      <c r="R408" s="3" t="s">
        <v>247</v>
      </c>
      <c r="S408" s="21" t="n">
        <f>7135250</f>
        <v>7135250.0</v>
      </c>
      <c r="T408" s="21" t="str">
        <f>"－"</f>
        <v>－</v>
      </c>
      <c r="U408" s="5" t="s">
        <v>205</v>
      </c>
      <c r="V408" s="23" t="n">
        <f>50093500</f>
        <v>5.00935E7</v>
      </c>
      <c r="W408" s="5" t="s">
        <v>302</v>
      </c>
      <c r="X408" s="23" t="str">
        <f>"－"</f>
        <v>－</v>
      </c>
      <c r="Y408" s="23"/>
      <c r="Z408" s="21" t="str">
        <f>"－"</f>
        <v>－</v>
      </c>
      <c r="AA408" s="21" t="n">
        <f>415</f>
        <v>415.0</v>
      </c>
      <c r="AB408" s="4" t="s">
        <v>213</v>
      </c>
      <c r="AC408" s="22" t="n">
        <f>812</f>
        <v>812.0</v>
      </c>
      <c r="AD408" s="5" t="s">
        <v>188</v>
      </c>
      <c r="AE408" s="23" t="n">
        <f>76</f>
        <v>76.0</v>
      </c>
    </row>
    <row r="409">
      <c r="A409" s="24" t="s">
        <v>1049</v>
      </c>
      <c r="B409" s="25" t="s">
        <v>1050</v>
      </c>
      <c r="C409" s="26"/>
      <c r="D409" s="27"/>
      <c r="E409" s="28" t="s">
        <v>101</v>
      </c>
      <c r="F409" s="20" t="n">
        <f>120</f>
        <v>120.0</v>
      </c>
      <c r="G409" s="21" t="n">
        <f>5788</f>
        <v>5788.0</v>
      </c>
      <c r="H409" s="21"/>
      <c r="I409" s="21" t="str">
        <f>"－"</f>
        <v>－</v>
      </c>
      <c r="J409" s="21" t="n">
        <f>48</f>
        <v>48.0</v>
      </c>
      <c r="K409" s="21" t="str">
        <f>"－"</f>
        <v>－</v>
      </c>
      <c r="L409" s="4" t="s">
        <v>116</v>
      </c>
      <c r="M409" s="22" t="n">
        <f>328</f>
        <v>328.0</v>
      </c>
      <c r="N409" s="5" t="s">
        <v>1068</v>
      </c>
      <c r="O409" s="23" t="str">
        <f>"－"</f>
        <v>－</v>
      </c>
      <c r="P409" s="3" t="s">
        <v>1069</v>
      </c>
      <c r="Q409" s="21"/>
      <c r="R409" s="3" t="s">
        <v>247</v>
      </c>
      <c r="S409" s="21" t="n">
        <f>9768654</f>
        <v>9768654.0</v>
      </c>
      <c r="T409" s="21" t="str">
        <f>"－"</f>
        <v>－</v>
      </c>
      <c r="U409" s="5" t="s">
        <v>116</v>
      </c>
      <c r="V409" s="23" t="n">
        <f>57414000</f>
        <v>5.7414E7</v>
      </c>
      <c r="W409" s="5" t="s">
        <v>1068</v>
      </c>
      <c r="X409" s="23" t="str">
        <f>"－"</f>
        <v>－</v>
      </c>
      <c r="Y409" s="23"/>
      <c r="Z409" s="21" t="str">
        <f>"－"</f>
        <v>－</v>
      </c>
      <c r="AA409" s="21" t="n">
        <f>833</f>
        <v>833.0</v>
      </c>
      <c r="AB409" s="4" t="s">
        <v>1070</v>
      </c>
      <c r="AC409" s="22" t="n">
        <f>957</f>
        <v>957.0</v>
      </c>
      <c r="AD409" s="5" t="s">
        <v>901</v>
      </c>
      <c r="AE409" s="23" t="n">
        <f>94</f>
        <v>94.0</v>
      </c>
    </row>
    <row r="410">
      <c r="A410" s="24" t="s">
        <v>1049</v>
      </c>
      <c r="B410" s="25" t="s">
        <v>1050</v>
      </c>
      <c r="C410" s="26"/>
      <c r="D410" s="27"/>
      <c r="E410" s="28" t="s">
        <v>106</v>
      </c>
      <c r="F410" s="20" t="n">
        <f>121</f>
        <v>121.0</v>
      </c>
      <c r="G410" s="21" t="n">
        <f>14557</f>
        <v>14557.0</v>
      </c>
      <c r="H410" s="21"/>
      <c r="I410" s="21" t="str">
        <f>"－"</f>
        <v>－</v>
      </c>
      <c r="J410" s="21" t="n">
        <f>120</f>
        <v>120.0</v>
      </c>
      <c r="K410" s="21" t="str">
        <f>"－"</f>
        <v>－</v>
      </c>
      <c r="L410" s="4" t="s">
        <v>983</v>
      </c>
      <c r="M410" s="22" t="n">
        <f>722</f>
        <v>722.0</v>
      </c>
      <c r="N410" s="5" t="s">
        <v>274</v>
      </c>
      <c r="O410" s="23" t="n">
        <f>2</f>
        <v>2.0</v>
      </c>
      <c r="P410" s="3" t="s">
        <v>1071</v>
      </c>
      <c r="Q410" s="21"/>
      <c r="R410" s="3" t="s">
        <v>247</v>
      </c>
      <c r="S410" s="21" t="n">
        <f>20431083</f>
        <v>2.0431083E7</v>
      </c>
      <c r="T410" s="21" t="str">
        <f>"－"</f>
        <v>－</v>
      </c>
      <c r="U410" s="5" t="s">
        <v>198</v>
      </c>
      <c r="V410" s="23" t="n">
        <f>127336500</f>
        <v>1.273365E8</v>
      </c>
      <c r="W410" s="5" t="s">
        <v>274</v>
      </c>
      <c r="X410" s="23" t="n">
        <f>381000</f>
        <v>381000.0</v>
      </c>
      <c r="Y410" s="23"/>
      <c r="Z410" s="21" t="str">
        <f>"－"</f>
        <v>－</v>
      </c>
      <c r="AA410" s="21" t="n">
        <f>712</f>
        <v>712.0</v>
      </c>
      <c r="AB410" s="4" t="s">
        <v>1072</v>
      </c>
      <c r="AC410" s="22" t="n">
        <f>1453</f>
        <v>1453.0</v>
      </c>
      <c r="AD410" s="5" t="s">
        <v>319</v>
      </c>
      <c r="AE410" s="23" t="n">
        <f>133</f>
        <v>133.0</v>
      </c>
    </row>
    <row r="411">
      <c r="A411" s="24" t="s">
        <v>1049</v>
      </c>
      <c r="B411" s="25" t="s">
        <v>1050</v>
      </c>
      <c r="C411" s="26"/>
      <c r="D411" s="27"/>
      <c r="E411" s="28" t="s">
        <v>112</v>
      </c>
      <c r="F411" s="20" t="n">
        <f>120</f>
        <v>120.0</v>
      </c>
      <c r="G411" s="21" t="n">
        <f>28651</f>
        <v>28651.0</v>
      </c>
      <c r="H411" s="21"/>
      <c r="I411" s="21" t="str">
        <f>"－"</f>
        <v>－</v>
      </c>
      <c r="J411" s="21" t="n">
        <f>239</f>
        <v>239.0</v>
      </c>
      <c r="K411" s="21" t="str">
        <f>"－"</f>
        <v>－</v>
      </c>
      <c r="L411" s="4" t="s">
        <v>68</v>
      </c>
      <c r="M411" s="22" t="n">
        <f>777</f>
        <v>777.0</v>
      </c>
      <c r="N411" s="5" t="s">
        <v>231</v>
      </c>
      <c r="O411" s="23" t="n">
        <f>24</f>
        <v>24.0</v>
      </c>
      <c r="P411" s="3" t="s">
        <v>1073</v>
      </c>
      <c r="Q411" s="21"/>
      <c r="R411" s="3" t="s">
        <v>247</v>
      </c>
      <c r="S411" s="21" t="n">
        <f>54905221</f>
        <v>5.4905221E7</v>
      </c>
      <c r="T411" s="21" t="str">
        <f>"－"</f>
        <v>－</v>
      </c>
      <c r="U411" s="5" t="s">
        <v>68</v>
      </c>
      <c r="V411" s="23" t="n">
        <f>335720500</f>
        <v>3.357205E8</v>
      </c>
      <c r="W411" s="5" t="s">
        <v>231</v>
      </c>
      <c r="X411" s="23" t="n">
        <f>4343000</f>
        <v>4343000.0</v>
      </c>
      <c r="Y411" s="23"/>
      <c r="Z411" s="21" t="str">
        <f>"－"</f>
        <v>－</v>
      </c>
      <c r="AA411" s="21" t="n">
        <f>785</f>
        <v>785.0</v>
      </c>
      <c r="AB411" s="4" t="s">
        <v>541</v>
      </c>
      <c r="AC411" s="22" t="n">
        <f>2854</f>
        <v>2854.0</v>
      </c>
      <c r="AD411" s="5" t="s">
        <v>194</v>
      </c>
      <c r="AE411" s="23" t="n">
        <f>186</f>
        <v>186.0</v>
      </c>
    </row>
    <row r="412">
      <c r="A412" s="24" t="s">
        <v>1049</v>
      </c>
      <c r="B412" s="25" t="s">
        <v>1050</v>
      </c>
      <c r="C412" s="26"/>
      <c r="D412" s="27"/>
      <c r="E412" s="28" t="s">
        <v>118</v>
      </c>
      <c r="F412" s="20" t="n">
        <f>122</f>
        <v>122.0</v>
      </c>
      <c r="G412" s="21" t="n">
        <f>7363</f>
        <v>7363.0</v>
      </c>
      <c r="H412" s="21"/>
      <c r="I412" s="21" t="str">
        <f>"－"</f>
        <v>－</v>
      </c>
      <c r="J412" s="21" t="n">
        <f>60</f>
        <v>60.0</v>
      </c>
      <c r="K412" s="21" t="str">
        <f>"－"</f>
        <v>－</v>
      </c>
      <c r="L412" s="4" t="s">
        <v>57</v>
      </c>
      <c r="M412" s="22" t="n">
        <f>367</f>
        <v>367.0</v>
      </c>
      <c r="N412" s="5" t="s">
        <v>230</v>
      </c>
      <c r="O412" s="23" t="n">
        <f>4</f>
        <v>4.0</v>
      </c>
      <c r="P412" s="3" t="s">
        <v>1074</v>
      </c>
      <c r="Q412" s="21"/>
      <c r="R412" s="3" t="s">
        <v>247</v>
      </c>
      <c r="S412" s="21" t="n">
        <f>17690598</f>
        <v>1.7690598E7</v>
      </c>
      <c r="T412" s="21" t="str">
        <f>"－"</f>
        <v>－</v>
      </c>
      <c r="U412" s="5" t="s">
        <v>263</v>
      </c>
      <c r="V412" s="23" t="n">
        <f>100838500</f>
        <v>1.008385E8</v>
      </c>
      <c r="W412" s="5" t="s">
        <v>230</v>
      </c>
      <c r="X412" s="23" t="n">
        <f>1110000</f>
        <v>1110000.0</v>
      </c>
      <c r="Y412" s="23"/>
      <c r="Z412" s="21" t="str">
        <f>"－"</f>
        <v>－</v>
      </c>
      <c r="AA412" s="21" t="n">
        <f>280</f>
        <v>280.0</v>
      </c>
      <c r="AB412" s="4" t="s">
        <v>335</v>
      </c>
      <c r="AC412" s="22" t="n">
        <f>772</f>
        <v>772.0</v>
      </c>
      <c r="AD412" s="5" t="s">
        <v>193</v>
      </c>
      <c r="AE412" s="23" t="n">
        <f>133</f>
        <v>133.0</v>
      </c>
    </row>
    <row r="413">
      <c r="A413" s="24" t="s">
        <v>1049</v>
      </c>
      <c r="B413" s="25" t="s">
        <v>1050</v>
      </c>
      <c r="C413" s="26"/>
      <c r="D413" s="27"/>
      <c r="E413" s="28" t="s">
        <v>124</v>
      </c>
      <c r="F413" s="20" t="n">
        <f>123</f>
        <v>123.0</v>
      </c>
      <c r="G413" s="21" t="n">
        <f>20690</f>
        <v>20690.0</v>
      </c>
      <c r="H413" s="21"/>
      <c r="I413" s="21" t="str">
        <f>"－"</f>
        <v>－</v>
      </c>
      <c r="J413" s="21" t="n">
        <f>168</f>
        <v>168.0</v>
      </c>
      <c r="K413" s="21" t="str">
        <f>"－"</f>
        <v>－</v>
      </c>
      <c r="L413" s="4" t="s">
        <v>1075</v>
      </c>
      <c r="M413" s="22" t="n">
        <f>693</f>
        <v>693.0</v>
      </c>
      <c r="N413" s="5" t="s">
        <v>279</v>
      </c>
      <c r="O413" s="23" t="n">
        <f>8</f>
        <v>8.0</v>
      </c>
      <c r="P413" s="3" t="s">
        <v>1076</v>
      </c>
      <c r="Q413" s="21"/>
      <c r="R413" s="3" t="s">
        <v>247</v>
      </c>
      <c r="S413" s="21" t="n">
        <f>38647252</f>
        <v>3.8647252E7</v>
      </c>
      <c r="T413" s="21" t="str">
        <f>"－"</f>
        <v>－</v>
      </c>
      <c r="U413" s="5" t="s">
        <v>1075</v>
      </c>
      <c r="V413" s="23" t="n">
        <f>180194500</f>
        <v>1.801945E8</v>
      </c>
      <c r="W413" s="5" t="s">
        <v>279</v>
      </c>
      <c r="X413" s="23" t="n">
        <f>1991000</f>
        <v>1991000.0</v>
      </c>
      <c r="Y413" s="23"/>
      <c r="Z413" s="21" t="str">
        <f>"－"</f>
        <v>－</v>
      </c>
      <c r="AA413" s="21" t="n">
        <f>948</f>
        <v>948.0</v>
      </c>
      <c r="AB413" s="4" t="s">
        <v>137</v>
      </c>
      <c r="AC413" s="22" t="n">
        <f>1189</f>
        <v>1189.0</v>
      </c>
      <c r="AD413" s="5" t="s">
        <v>211</v>
      </c>
      <c r="AE413" s="23" t="n">
        <f>120</f>
        <v>120.0</v>
      </c>
    </row>
    <row r="414">
      <c r="A414" s="24" t="s">
        <v>1049</v>
      </c>
      <c r="B414" s="25" t="s">
        <v>1050</v>
      </c>
      <c r="C414" s="26"/>
      <c r="D414" s="27"/>
      <c r="E414" s="28" t="s">
        <v>127</v>
      </c>
      <c r="F414" s="20" t="n">
        <f>122</f>
        <v>122.0</v>
      </c>
      <c r="G414" s="21" t="n">
        <f>29412</f>
        <v>29412.0</v>
      </c>
      <c r="H414" s="21"/>
      <c r="I414" s="21" t="str">
        <f>"－"</f>
        <v>－</v>
      </c>
      <c r="J414" s="21" t="n">
        <f>241</f>
        <v>241.0</v>
      </c>
      <c r="K414" s="21" t="str">
        <f>"－"</f>
        <v>－</v>
      </c>
      <c r="L414" s="4" t="s">
        <v>1077</v>
      </c>
      <c r="M414" s="22" t="n">
        <f>805</f>
        <v>805.0</v>
      </c>
      <c r="N414" s="5" t="s">
        <v>129</v>
      </c>
      <c r="O414" s="23" t="n">
        <f>14</f>
        <v>14.0</v>
      </c>
      <c r="P414" s="3" t="s">
        <v>1078</v>
      </c>
      <c r="Q414" s="21"/>
      <c r="R414" s="3" t="s">
        <v>247</v>
      </c>
      <c r="S414" s="21" t="n">
        <f>49207525</f>
        <v>4.9207525E7</v>
      </c>
      <c r="T414" s="21" t="str">
        <f>"－"</f>
        <v>－</v>
      </c>
      <c r="U414" s="5" t="s">
        <v>1008</v>
      </c>
      <c r="V414" s="23" t="n">
        <f>171069000</f>
        <v>1.71069E8</v>
      </c>
      <c r="W414" s="5" t="s">
        <v>129</v>
      </c>
      <c r="X414" s="23" t="n">
        <f>2742000</f>
        <v>2742000.0</v>
      </c>
      <c r="Y414" s="23"/>
      <c r="Z414" s="21" t="str">
        <f>"－"</f>
        <v>－</v>
      </c>
      <c r="AA414" s="21" t="n">
        <f>880</f>
        <v>880.0</v>
      </c>
      <c r="AB414" s="4" t="s">
        <v>84</v>
      </c>
      <c r="AC414" s="22" t="n">
        <f>2704</f>
        <v>2704.0</v>
      </c>
      <c r="AD414" s="5" t="s">
        <v>310</v>
      </c>
      <c r="AE414" s="23" t="n">
        <f>176</f>
        <v>176.0</v>
      </c>
    </row>
    <row r="415">
      <c r="A415" s="24" t="s">
        <v>1049</v>
      </c>
      <c r="B415" s="25" t="s">
        <v>1050</v>
      </c>
      <c r="C415" s="26"/>
      <c r="D415" s="27"/>
      <c r="E415" s="28" t="s">
        <v>133</v>
      </c>
      <c r="F415" s="20" t="n">
        <f>122</f>
        <v>122.0</v>
      </c>
      <c r="G415" s="21" t="n">
        <f>15623</f>
        <v>15623.0</v>
      </c>
      <c r="H415" s="21"/>
      <c r="I415" s="21" t="str">
        <f>"－"</f>
        <v>－</v>
      </c>
      <c r="J415" s="21" t="n">
        <f>128</f>
        <v>128.0</v>
      </c>
      <c r="K415" s="21" t="str">
        <f>"－"</f>
        <v>－</v>
      </c>
      <c r="L415" s="4" t="s">
        <v>862</v>
      </c>
      <c r="M415" s="22" t="n">
        <f>402</f>
        <v>402.0</v>
      </c>
      <c r="N415" s="5" t="s">
        <v>585</v>
      </c>
      <c r="O415" s="23" t="n">
        <f>2</f>
        <v>2.0</v>
      </c>
      <c r="P415" s="3" t="s">
        <v>1079</v>
      </c>
      <c r="Q415" s="21"/>
      <c r="R415" s="3" t="s">
        <v>247</v>
      </c>
      <c r="S415" s="21" t="n">
        <f>28462225</f>
        <v>2.8462225E7</v>
      </c>
      <c r="T415" s="21" t="str">
        <f>"－"</f>
        <v>－</v>
      </c>
      <c r="U415" s="5" t="s">
        <v>872</v>
      </c>
      <c r="V415" s="23" t="n">
        <f>87479000</f>
        <v>8.7479E7</v>
      </c>
      <c r="W415" s="5" t="s">
        <v>585</v>
      </c>
      <c r="X415" s="23" t="n">
        <f>471500</f>
        <v>471500.0</v>
      </c>
      <c r="Y415" s="23"/>
      <c r="Z415" s="21" t="str">
        <f>"－"</f>
        <v>－</v>
      </c>
      <c r="AA415" s="21" t="n">
        <f>254</f>
        <v>254.0</v>
      </c>
      <c r="AB415" s="4" t="s">
        <v>81</v>
      </c>
      <c r="AC415" s="22" t="n">
        <f>1871</f>
        <v>1871.0</v>
      </c>
      <c r="AD415" s="5" t="s">
        <v>641</v>
      </c>
      <c r="AE415" s="23" t="n">
        <f>167</f>
        <v>167.0</v>
      </c>
    </row>
    <row r="416">
      <c r="A416" s="24" t="s">
        <v>1049</v>
      </c>
      <c r="B416" s="25" t="s">
        <v>1050</v>
      </c>
      <c r="C416" s="26"/>
      <c r="D416" s="27"/>
      <c r="E416" s="28" t="s">
        <v>139</v>
      </c>
      <c r="F416" s="20" t="n">
        <f>123</f>
        <v>123.0</v>
      </c>
      <c r="G416" s="21" t="n">
        <f>3779</f>
        <v>3779.0</v>
      </c>
      <c r="H416" s="21"/>
      <c r="I416" s="21" t="str">
        <f>"－"</f>
        <v>－</v>
      </c>
      <c r="J416" s="21" t="n">
        <f>31</f>
        <v>31.0</v>
      </c>
      <c r="K416" s="21" t="str">
        <f>"－"</f>
        <v>－</v>
      </c>
      <c r="L416" s="4" t="s">
        <v>143</v>
      </c>
      <c r="M416" s="22" t="n">
        <f>98</f>
        <v>98.0</v>
      </c>
      <c r="N416" s="5" t="s">
        <v>1080</v>
      </c>
      <c r="O416" s="23" t="n">
        <f>1</f>
        <v>1.0</v>
      </c>
      <c r="P416" s="3" t="s">
        <v>1081</v>
      </c>
      <c r="Q416" s="21"/>
      <c r="R416" s="3" t="s">
        <v>247</v>
      </c>
      <c r="S416" s="21" t="n">
        <f>6990841</f>
        <v>6990841.0</v>
      </c>
      <c r="T416" s="21" t="str">
        <f>"－"</f>
        <v>－</v>
      </c>
      <c r="U416" s="5" t="s">
        <v>143</v>
      </c>
      <c r="V416" s="23" t="n">
        <f>21520500</f>
        <v>2.15205E7</v>
      </c>
      <c r="W416" s="5" t="s">
        <v>712</v>
      </c>
      <c r="X416" s="23" t="n">
        <f>236500</f>
        <v>236500.0</v>
      </c>
      <c r="Y416" s="23"/>
      <c r="Z416" s="21" t="str">
        <f>"－"</f>
        <v>－</v>
      </c>
      <c r="AA416" s="21" t="n">
        <f>176</f>
        <v>176.0</v>
      </c>
      <c r="AB416" s="4" t="s">
        <v>180</v>
      </c>
      <c r="AC416" s="22" t="n">
        <f>472</f>
        <v>472.0</v>
      </c>
      <c r="AD416" s="5" t="s">
        <v>930</v>
      </c>
      <c r="AE416" s="23" t="n">
        <f>112</f>
        <v>112.0</v>
      </c>
    </row>
    <row r="417">
      <c r="A417" s="24" t="s">
        <v>1049</v>
      </c>
      <c r="B417" s="25" t="s">
        <v>1050</v>
      </c>
      <c r="C417" s="26"/>
      <c r="D417" s="27"/>
      <c r="E417" s="28" t="s">
        <v>145</v>
      </c>
      <c r="F417" s="20" t="n">
        <f>122</f>
        <v>122.0</v>
      </c>
      <c r="G417" s="21" t="n">
        <f>1894</f>
        <v>1894.0</v>
      </c>
      <c r="H417" s="21"/>
      <c r="I417" s="21" t="str">
        <f>"－"</f>
        <v>－</v>
      </c>
      <c r="J417" s="21" t="n">
        <f>16</f>
        <v>16.0</v>
      </c>
      <c r="K417" s="21" t="str">
        <f>"－"</f>
        <v>－</v>
      </c>
      <c r="L417" s="4" t="s">
        <v>1082</v>
      </c>
      <c r="M417" s="22" t="n">
        <f>103</f>
        <v>103.0</v>
      </c>
      <c r="N417" s="5" t="s">
        <v>1012</v>
      </c>
      <c r="O417" s="23" t="str">
        <f>"－"</f>
        <v>－</v>
      </c>
      <c r="P417" s="3" t="s">
        <v>1083</v>
      </c>
      <c r="Q417" s="21"/>
      <c r="R417" s="3" t="s">
        <v>247</v>
      </c>
      <c r="S417" s="21" t="n">
        <f>3097701</f>
        <v>3097701.0</v>
      </c>
      <c r="T417" s="21" t="str">
        <f>"－"</f>
        <v>－</v>
      </c>
      <c r="U417" s="5" t="s">
        <v>1082</v>
      </c>
      <c r="V417" s="23" t="n">
        <f>20770500</f>
        <v>2.07705E7</v>
      </c>
      <c r="W417" s="5" t="s">
        <v>1012</v>
      </c>
      <c r="X417" s="23" t="str">
        <f>"－"</f>
        <v>－</v>
      </c>
      <c r="Y417" s="23"/>
      <c r="Z417" s="21" t="n">
        <f>2</f>
        <v>2.0</v>
      </c>
      <c r="AA417" s="21" t="n">
        <f>82</f>
        <v>82.0</v>
      </c>
      <c r="AB417" s="4" t="s">
        <v>1064</v>
      </c>
      <c r="AC417" s="22" t="n">
        <f>327</f>
        <v>327.0</v>
      </c>
      <c r="AD417" s="5" t="s">
        <v>208</v>
      </c>
      <c r="AE417" s="23" t="n">
        <f>36</f>
        <v>36.0</v>
      </c>
    </row>
    <row r="418">
      <c r="A418" s="24" t="s">
        <v>1049</v>
      </c>
      <c r="B418" s="25" t="s">
        <v>1050</v>
      </c>
      <c r="C418" s="26"/>
      <c r="D418" s="27"/>
      <c r="E418" s="28" t="s">
        <v>150</v>
      </c>
      <c r="F418" s="20" t="n">
        <f>124</f>
        <v>124.0</v>
      </c>
      <c r="G418" s="21" t="n">
        <f>1593</f>
        <v>1593.0</v>
      </c>
      <c r="H418" s="21"/>
      <c r="I418" s="21" t="str">
        <f>"－"</f>
        <v>－</v>
      </c>
      <c r="J418" s="21" t="n">
        <f>13</f>
        <v>13.0</v>
      </c>
      <c r="K418" s="21" t="str">
        <f>"－"</f>
        <v>－</v>
      </c>
      <c r="L418" s="4" t="s">
        <v>289</v>
      </c>
      <c r="M418" s="22" t="n">
        <f>109</f>
        <v>109.0</v>
      </c>
      <c r="N418" s="5" t="s">
        <v>216</v>
      </c>
      <c r="O418" s="23" t="str">
        <f>"－"</f>
        <v>－</v>
      </c>
      <c r="P418" s="3" t="s">
        <v>1084</v>
      </c>
      <c r="Q418" s="21"/>
      <c r="R418" s="3" t="s">
        <v>247</v>
      </c>
      <c r="S418" s="21" t="n">
        <f>2449867</f>
        <v>2449867.0</v>
      </c>
      <c r="T418" s="21" t="str">
        <f>"－"</f>
        <v>－</v>
      </c>
      <c r="U418" s="5" t="s">
        <v>289</v>
      </c>
      <c r="V418" s="23" t="n">
        <f>21638500</f>
        <v>2.16385E7</v>
      </c>
      <c r="W418" s="5" t="s">
        <v>216</v>
      </c>
      <c r="X418" s="23" t="str">
        <f>"－"</f>
        <v>－</v>
      </c>
      <c r="Y418" s="23"/>
      <c r="Z418" s="21" t="str">
        <f>"－"</f>
        <v>－</v>
      </c>
      <c r="AA418" s="21" t="n">
        <f>330</f>
        <v>330.0</v>
      </c>
      <c r="AB418" s="4" t="s">
        <v>927</v>
      </c>
      <c r="AC418" s="22" t="n">
        <f>330</f>
        <v>330.0</v>
      </c>
      <c r="AD418" s="5" t="s">
        <v>909</v>
      </c>
      <c r="AE418" s="23" t="n">
        <f>30</f>
        <v>30.0</v>
      </c>
    </row>
    <row r="419">
      <c r="A419" s="24" t="s">
        <v>1049</v>
      </c>
      <c r="B419" s="25" t="s">
        <v>1050</v>
      </c>
      <c r="C419" s="26"/>
      <c r="D419" s="27"/>
      <c r="E419" s="28" t="s">
        <v>154</v>
      </c>
      <c r="F419" s="20" t="n">
        <f>120</f>
        <v>120.0</v>
      </c>
      <c r="G419" s="21" t="n">
        <f>1422</f>
        <v>1422.0</v>
      </c>
      <c r="H419" s="21"/>
      <c r="I419" s="21" t="str">
        <f>"－"</f>
        <v>－</v>
      </c>
      <c r="J419" s="21" t="n">
        <f>12</f>
        <v>12.0</v>
      </c>
      <c r="K419" s="21" t="str">
        <f>"－"</f>
        <v>－</v>
      </c>
      <c r="L419" s="4" t="s">
        <v>64</v>
      </c>
      <c r="M419" s="22" t="n">
        <f>82</f>
        <v>82.0</v>
      </c>
      <c r="N419" s="5" t="s">
        <v>669</v>
      </c>
      <c r="O419" s="23" t="str">
        <f>"－"</f>
        <v>－</v>
      </c>
      <c r="P419" s="3" t="s">
        <v>1085</v>
      </c>
      <c r="Q419" s="21"/>
      <c r="R419" s="3" t="s">
        <v>247</v>
      </c>
      <c r="S419" s="21" t="n">
        <f>2402467</f>
        <v>2402467.0</v>
      </c>
      <c r="T419" s="21" t="str">
        <f>"－"</f>
        <v>－</v>
      </c>
      <c r="U419" s="5" t="s">
        <v>64</v>
      </c>
      <c r="V419" s="23" t="n">
        <f>16301000</f>
        <v>1.6301E7</v>
      </c>
      <c r="W419" s="5" t="s">
        <v>669</v>
      </c>
      <c r="X419" s="23" t="str">
        <f>"－"</f>
        <v>－</v>
      </c>
      <c r="Y419" s="23"/>
      <c r="Z419" s="21" t="str">
        <f>"－"</f>
        <v>－</v>
      </c>
      <c r="AA419" s="21" t="n">
        <f>83</f>
        <v>83.0</v>
      </c>
      <c r="AB419" s="4" t="s">
        <v>260</v>
      </c>
      <c r="AC419" s="22" t="n">
        <f>335</f>
        <v>335.0</v>
      </c>
      <c r="AD419" s="5" t="s">
        <v>1086</v>
      </c>
      <c r="AE419" s="23" t="n">
        <f>48</f>
        <v>48.0</v>
      </c>
    </row>
    <row r="420">
      <c r="A420" s="24" t="s">
        <v>1087</v>
      </c>
      <c r="B420" s="25" t="s">
        <v>1088</v>
      </c>
      <c r="C420" s="26"/>
      <c r="D420" s="27"/>
      <c r="E420" s="28"/>
      <c r="F420" s="20"/>
      <c r="G420" s="21"/>
      <c r="H420" s="21"/>
      <c r="I420" s="21"/>
      <c r="J420" s="21"/>
      <c r="K420" s="21"/>
      <c r="L420" s="4"/>
      <c r="M420" s="22"/>
      <c r="N420" s="5"/>
      <c r="O420" s="23"/>
      <c r="P420" s="3"/>
      <c r="Q420" s="21"/>
      <c r="R420" s="3"/>
      <c r="S420" s="21"/>
      <c r="T420" s="21"/>
      <c r="U420" s="5"/>
      <c r="V420" s="23"/>
      <c r="W420" s="5"/>
      <c r="X420" s="23"/>
      <c r="Y420" s="23"/>
      <c r="Z420" s="21"/>
      <c r="AA420" s="21"/>
      <c r="AB420" s="4"/>
      <c r="AC420" s="22"/>
      <c r="AD420" s="5"/>
      <c r="AE420" s="23"/>
    </row>
    <row r="421">
      <c r="A421" s="24" t="s">
        <v>1089</v>
      </c>
      <c r="B421" s="25" t="s">
        <v>1090</v>
      </c>
      <c r="C421" s="26"/>
      <c r="D421" s="27"/>
      <c r="E421" s="28" t="s">
        <v>150</v>
      </c>
      <c r="F421" s="20" t="n">
        <f>87</f>
        <v>87.0</v>
      </c>
      <c r="G421" s="21" t="str">
        <f>"－"</f>
        <v>－</v>
      </c>
      <c r="H421" s="21"/>
      <c r="I421" s="21" t="str">
        <f>"－"</f>
        <v>－</v>
      </c>
      <c r="J421" s="21" t="str">
        <f>"－"</f>
        <v>－</v>
      </c>
      <c r="K421" s="21" t="str">
        <f>"－"</f>
        <v>－</v>
      </c>
      <c r="L421" s="4" t="s">
        <v>238</v>
      </c>
      <c r="M421" s="22" t="str">
        <f>"－"</f>
        <v>－</v>
      </c>
      <c r="N421" s="5" t="s">
        <v>238</v>
      </c>
      <c r="O421" s="23" t="str">
        <f>"－"</f>
        <v>－</v>
      </c>
      <c r="P421" s="3" t="s">
        <v>247</v>
      </c>
      <c r="Q421" s="21"/>
      <c r="R421" s="3" t="s">
        <v>247</v>
      </c>
      <c r="S421" s="21" t="str">
        <f>"－"</f>
        <v>－</v>
      </c>
      <c r="T421" s="21" t="str">
        <f>"－"</f>
        <v>－</v>
      </c>
      <c r="U421" s="5" t="s">
        <v>238</v>
      </c>
      <c r="V421" s="23" t="str">
        <f>"－"</f>
        <v>－</v>
      </c>
      <c r="W421" s="5" t="s">
        <v>238</v>
      </c>
      <c r="X421" s="23" t="str">
        <f>"－"</f>
        <v>－</v>
      </c>
      <c r="Y421" s="23"/>
      <c r="Z421" s="21" t="str">
        <f>"－"</f>
        <v>－</v>
      </c>
      <c r="AA421" s="21" t="str">
        <f>"－"</f>
        <v>－</v>
      </c>
      <c r="AB421" s="4" t="s">
        <v>238</v>
      </c>
      <c r="AC421" s="22" t="str">
        <f>"－"</f>
        <v>－</v>
      </c>
      <c r="AD421" s="5" t="s">
        <v>238</v>
      </c>
      <c r="AE421" s="23" t="str">
        <f>"－"</f>
        <v>－</v>
      </c>
    </row>
    <row r="422">
      <c r="A422" s="24" t="s">
        <v>1089</v>
      </c>
      <c r="B422" s="25" t="s">
        <v>1090</v>
      </c>
      <c r="C422" s="26"/>
      <c r="D422" s="27"/>
      <c r="E422" s="28" t="s">
        <v>154</v>
      </c>
      <c r="F422" s="20" t="n">
        <f>120</f>
        <v>120.0</v>
      </c>
      <c r="G422" s="21" t="str">
        <f>"－"</f>
        <v>－</v>
      </c>
      <c r="H422" s="21"/>
      <c r="I422" s="21" t="str">
        <f>"－"</f>
        <v>－</v>
      </c>
      <c r="J422" s="21" t="str">
        <f>"－"</f>
        <v>－</v>
      </c>
      <c r="K422" s="21" t="str">
        <f>"－"</f>
        <v>－</v>
      </c>
      <c r="L422" s="4" t="s">
        <v>268</v>
      </c>
      <c r="M422" s="22" t="str">
        <f>"－"</f>
        <v>－</v>
      </c>
      <c r="N422" s="5" t="s">
        <v>268</v>
      </c>
      <c r="O422" s="23" t="str">
        <f>"－"</f>
        <v>－</v>
      </c>
      <c r="P422" s="3" t="s">
        <v>247</v>
      </c>
      <c r="Q422" s="21"/>
      <c r="R422" s="3" t="s">
        <v>247</v>
      </c>
      <c r="S422" s="21" t="str">
        <f>"－"</f>
        <v>－</v>
      </c>
      <c r="T422" s="21" t="str">
        <f>"－"</f>
        <v>－</v>
      </c>
      <c r="U422" s="5" t="s">
        <v>268</v>
      </c>
      <c r="V422" s="23" t="str">
        <f>"－"</f>
        <v>－</v>
      </c>
      <c r="W422" s="5" t="s">
        <v>268</v>
      </c>
      <c r="X422" s="23" t="str">
        <f>"－"</f>
        <v>－</v>
      </c>
      <c r="Y422" s="23"/>
      <c r="Z422" s="21" t="str">
        <f>"－"</f>
        <v>－</v>
      </c>
      <c r="AA422" s="21" t="str">
        <f>"－"</f>
        <v>－</v>
      </c>
      <c r="AB422" s="4" t="s">
        <v>268</v>
      </c>
      <c r="AC422" s="22" t="str">
        <f>"－"</f>
        <v>－</v>
      </c>
      <c r="AD422" s="5" t="s">
        <v>268</v>
      </c>
      <c r="AE422" s="23" t="str">
        <f>"－"</f>
        <v>－</v>
      </c>
    </row>
    <row r="423">
      <c r="A423" s="24" t="s">
        <v>1091</v>
      </c>
      <c r="B423" s="25" t="s">
        <v>1092</v>
      </c>
      <c r="C423" s="26"/>
      <c r="D423" s="27"/>
      <c r="E423" s="28" t="s">
        <v>150</v>
      </c>
      <c r="F423" s="20" t="n">
        <f>87</f>
        <v>87.0</v>
      </c>
      <c r="G423" s="21" t="str">
        <f>"－"</f>
        <v>－</v>
      </c>
      <c r="H423" s="21"/>
      <c r="I423" s="21" t="str">
        <f>"－"</f>
        <v>－</v>
      </c>
      <c r="J423" s="21" t="str">
        <f>"－"</f>
        <v>－</v>
      </c>
      <c r="K423" s="21" t="str">
        <f>"－"</f>
        <v>－</v>
      </c>
      <c r="L423" s="4" t="s">
        <v>238</v>
      </c>
      <c r="M423" s="22" t="str">
        <f>"－"</f>
        <v>－</v>
      </c>
      <c r="N423" s="5" t="s">
        <v>238</v>
      </c>
      <c r="O423" s="23" t="str">
        <f>"－"</f>
        <v>－</v>
      </c>
      <c r="P423" s="3" t="s">
        <v>247</v>
      </c>
      <c r="Q423" s="21"/>
      <c r="R423" s="3" t="s">
        <v>247</v>
      </c>
      <c r="S423" s="21" t="str">
        <f>"－"</f>
        <v>－</v>
      </c>
      <c r="T423" s="21" t="str">
        <f>"－"</f>
        <v>－</v>
      </c>
      <c r="U423" s="5" t="s">
        <v>238</v>
      </c>
      <c r="V423" s="23" t="str">
        <f>"－"</f>
        <v>－</v>
      </c>
      <c r="W423" s="5" t="s">
        <v>238</v>
      </c>
      <c r="X423" s="23" t="str">
        <f>"－"</f>
        <v>－</v>
      </c>
      <c r="Y423" s="23"/>
      <c r="Z423" s="21" t="str">
        <f>"－"</f>
        <v>－</v>
      </c>
      <c r="AA423" s="21" t="str">
        <f>"－"</f>
        <v>－</v>
      </c>
      <c r="AB423" s="4" t="s">
        <v>238</v>
      </c>
      <c r="AC423" s="22" t="str">
        <f>"－"</f>
        <v>－</v>
      </c>
      <c r="AD423" s="5" t="s">
        <v>238</v>
      </c>
      <c r="AE423" s="23" t="str">
        <f>"－"</f>
        <v>－</v>
      </c>
    </row>
    <row r="424">
      <c r="A424" s="24" t="s">
        <v>1091</v>
      </c>
      <c r="B424" s="25" t="s">
        <v>1092</v>
      </c>
      <c r="C424" s="26"/>
      <c r="D424" s="27"/>
      <c r="E424" s="28" t="s">
        <v>154</v>
      </c>
      <c r="F424" s="20" t="n">
        <f>120</f>
        <v>120.0</v>
      </c>
      <c r="G424" s="21" t="str">
        <f>"－"</f>
        <v>－</v>
      </c>
      <c r="H424" s="21"/>
      <c r="I424" s="21" t="str">
        <f>"－"</f>
        <v>－</v>
      </c>
      <c r="J424" s="21" t="str">
        <f>"－"</f>
        <v>－</v>
      </c>
      <c r="K424" s="21" t="str">
        <f>"－"</f>
        <v>－</v>
      </c>
      <c r="L424" s="4" t="s">
        <v>268</v>
      </c>
      <c r="M424" s="22" t="str">
        <f>"－"</f>
        <v>－</v>
      </c>
      <c r="N424" s="5" t="s">
        <v>268</v>
      </c>
      <c r="O424" s="23" t="str">
        <f>"－"</f>
        <v>－</v>
      </c>
      <c r="P424" s="3" t="s">
        <v>247</v>
      </c>
      <c r="Q424" s="21"/>
      <c r="R424" s="3" t="s">
        <v>247</v>
      </c>
      <c r="S424" s="21" t="str">
        <f>"－"</f>
        <v>－</v>
      </c>
      <c r="T424" s="21" t="str">
        <f>"－"</f>
        <v>－</v>
      </c>
      <c r="U424" s="5" t="s">
        <v>268</v>
      </c>
      <c r="V424" s="23" t="str">
        <f>"－"</f>
        <v>－</v>
      </c>
      <c r="W424" s="5" t="s">
        <v>268</v>
      </c>
      <c r="X424" s="23" t="str">
        <f>"－"</f>
        <v>－</v>
      </c>
      <c r="Y424" s="23"/>
      <c r="Z424" s="21" t="str">
        <f>"－"</f>
        <v>－</v>
      </c>
      <c r="AA424" s="21" t="str">
        <f>"－"</f>
        <v>－</v>
      </c>
      <c r="AB424" s="4" t="s">
        <v>268</v>
      </c>
      <c r="AC424" s="22" t="str">
        <f>"－"</f>
        <v>－</v>
      </c>
      <c r="AD424" s="5" t="s">
        <v>268</v>
      </c>
      <c r="AE424" s="23" t="str">
        <f>"－"</f>
        <v>－</v>
      </c>
    </row>
    <row r="425">
      <c r="A425" s="24" t="s">
        <v>1093</v>
      </c>
      <c r="B425" s="25" t="s">
        <v>1094</v>
      </c>
      <c r="C425" s="26"/>
      <c r="D425" s="27"/>
      <c r="E425" s="28" t="s">
        <v>150</v>
      </c>
      <c r="F425" s="20" t="n">
        <f>87</f>
        <v>87.0</v>
      </c>
      <c r="G425" s="21" t="str">
        <f>"－"</f>
        <v>－</v>
      </c>
      <c r="H425" s="21"/>
      <c r="I425" s="21" t="str">
        <f>"－"</f>
        <v>－</v>
      </c>
      <c r="J425" s="21" t="str">
        <f>"－"</f>
        <v>－</v>
      </c>
      <c r="K425" s="21" t="str">
        <f>"－"</f>
        <v>－</v>
      </c>
      <c r="L425" s="4" t="s">
        <v>238</v>
      </c>
      <c r="M425" s="22" t="str">
        <f>"－"</f>
        <v>－</v>
      </c>
      <c r="N425" s="5" t="s">
        <v>238</v>
      </c>
      <c r="O425" s="23" t="str">
        <f>"－"</f>
        <v>－</v>
      </c>
      <c r="P425" s="3" t="s">
        <v>247</v>
      </c>
      <c r="Q425" s="21"/>
      <c r="R425" s="3" t="s">
        <v>247</v>
      </c>
      <c r="S425" s="21" t="str">
        <f>"－"</f>
        <v>－</v>
      </c>
      <c r="T425" s="21" t="str">
        <f>"－"</f>
        <v>－</v>
      </c>
      <c r="U425" s="5" t="s">
        <v>238</v>
      </c>
      <c r="V425" s="23" t="str">
        <f>"－"</f>
        <v>－</v>
      </c>
      <c r="W425" s="5" t="s">
        <v>238</v>
      </c>
      <c r="X425" s="23" t="str">
        <f>"－"</f>
        <v>－</v>
      </c>
      <c r="Y425" s="23"/>
      <c r="Z425" s="21" t="str">
        <f>"－"</f>
        <v>－</v>
      </c>
      <c r="AA425" s="21" t="str">
        <f>"－"</f>
        <v>－</v>
      </c>
      <c r="AB425" s="4" t="s">
        <v>238</v>
      </c>
      <c r="AC425" s="22" t="str">
        <f>"－"</f>
        <v>－</v>
      </c>
      <c r="AD425" s="5" t="s">
        <v>238</v>
      </c>
      <c r="AE425" s="23" t="str">
        <f>"－"</f>
        <v>－</v>
      </c>
    </row>
    <row r="426">
      <c r="A426" s="24" t="s">
        <v>1093</v>
      </c>
      <c r="B426" s="25" t="s">
        <v>1094</v>
      </c>
      <c r="C426" s="26"/>
      <c r="D426" s="27"/>
      <c r="E426" s="28" t="s">
        <v>154</v>
      </c>
      <c r="F426" s="20" t="n">
        <f>120</f>
        <v>120.0</v>
      </c>
      <c r="G426" s="21" t="str">
        <f>"－"</f>
        <v>－</v>
      </c>
      <c r="H426" s="21"/>
      <c r="I426" s="21" t="str">
        <f>"－"</f>
        <v>－</v>
      </c>
      <c r="J426" s="21" t="str">
        <f>"－"</f>
        <v>－</v>
      </c>
      <c r="K426" s="21" t="str">
        <f>"－"</f>
        <v>－</v>
      </c>
      <c r="L426" s="4" t="s">
        <v>268</v>
      </c>
      <c r="M426" s="22" t="str">
        <f>"－"</f>
        <v>－</v>
      </c>
      <c r="N426" s="5" t="s">
        <v>268</v>
      </c>
      <c r="O426" s="23" t="str">
        <f>"－"</f>
        <v>－</v>
      </c>
      <c r="P426" s="3" t="s">
        <v>247</v>
      </c>
      <c r="Q426" s="21"/>
      <c r="R426" s="3" t="s">
        <v>247</v>
      </c>
      <c r="S426" s="21" t="str">
        <f>"－"</f>
        <v>－</v>
      </c>
      <c r="T426" s="21" t="str">
        <f>"－"</f>
        <v>－</v>
      </c>
      <c r="U426" s="5" t="s">
        <v>268</v>
      </c>
      <c r="V426" s="23" t="str">
        <f>"－"</f>
        <v>－</v>
      </c>
      <c r="W426" s="5" t="s">
        <v>268</v>
      </c>
      <c r="X426" s="23" t="str">
        <f>"－"</f>
        <v>－</v>
      </c>
      <c r="Y426" s="23"/>
      <c r="Z426" s="21" t="str">
        <f>"－"</f>
        <v>－</v>
      </c>
      <c r="AA426" s="21" t="str">
        <f>"－"</f>
        <v>－</v>
      </c>
      <c r="AB426" s="4" t="s">
        <v>268</v>
      </c>
      <c r="AC426" s="22" t="str">
        <f>"－"</f>
        <v>－</v>
      </c>
      <c r="AD426" s="5" t="s">
        <v>268</v>
      </c>
      <c r="AE426" s="23" t="str">
        <f>"－"</f>
        <v>－</v>
      </c>
    </row>
    <row r="427">
      <c r="A427" s="24" t="s">
        <v>1095</v>
      </c>
      <c r="B427" s="25" t="s">
        <v>1096</v>
      </c>
      <c r="C427" s="26"/>
      <c r="D427" s="27"/>
      <c r="E427" s="28" t="s">
        <v>305</v>
      </c>
      <c r="F427" s="20" t="n">
        <f>30</f>
        <v>30.0</v>
      </c>
      <c r="G427" s="21" t="n">
        <f>79437</f>
        <v>79437.0</v>
      </c>
      <c r="H427" s="21"/>
      <c r="I427" s="21" t="str">
        <f>"－"</f>
        <v>－</v>
      </c>
      <c r="J427" s="21" t="n">
        <f>2648</f>
        <v>2648.0</v>
      </c>
      <c r="K427" s="21" t="str">
        <f>"－"</f>
        <v>－</v>
      </c>
      <c r="L427" s="4" t="s">
        <v>1097</v>
      </c>
      <c r="M427" s="22" t="n">
        <f>18458</f>
        <v>18458.0</v>
      </c>
      <c r="N427" s="5" t="s">
        <v>914</v>
      </c>
      <c r="O427" s="23" t="n">
        <f>1171</f>
        <v>1171.0</v>
      </c>
      <c r="P427" s="3" t="s">
        <v>1098</v>
      </c>
      <c r="Q427" s="21"/>
      <c r="R427" s="3" t="s">
        <v>247</v>
      </c>
      <c r="S427" s="21" t="n">
        <f>297300045333</f>
        <v>2.97300045333E11</v>
      </c>
      <c r="T427" s="21" t="str">
        <f>"－"</f>
        <v>－</v>
      </c>
      <c r="U427" s="5" t="s">
        <v>1097</v>
      </c>
      <c r="V427" s="23" t="n">
        <f>2068805920000</f>
        <v>2.06880592E12</v>
      </c>
      <c r="W427" s="5" t="s">
        <v>914</v>
      </c>
      <c r="X427" s="23" t="n">
        <f>131813560000</f>
        <v>1.3181356E11</v>
      </c>
      <c r="Y427" s="23"/>
      <c r="Z427" s="21" t="str">
        <f>"－"</f>
        <v>－</v>
      </c>
      <c r="AA427" s="21" t="n">
        <f>20238</f>
        <v>20238.0</v>
      </c>
      <c r="AB427" s="4" t="s">
        <v>586</v>
      </c>
      <c r="AC427" s="22" t="n">
        <f>21126</f>
        <v>21126.0</v>
      </c>
      <c r="AD427" s="5" t="s">
        <v>889</v>
      </c>
      <c r="AE427" s="23" t="n">
        <f>9988</f>
        <v>9988.0</v>
      </c>
    </row>
    <row r="428">
      <c r="A428" s="24" t="s">
        <v>1095</v>
      </c>
      <c r="B428" s="25" t="s">
        <v>1096</v>
      </c>
      <c r="C428" s="26"/>
      <c r="D428" s="27"/>
      <c r="E428" s="28" t="s">
        <v>309</v>
      </c>
      <c r="F428" s="20" t="n">
        <f>126</f>
        <v>126.0</v>
      </c>
      <c r="G428" s="21" t="n">
        <f>140383</f>
        <v>140383.0</v>
      </c>
      <c r="H428" s="21"/>
      <c r="I428" s="21" t="str">
        <f>"－"</f>
        <v>－</v>
      </c>
      <c r="J428" s="21" t="n">
        <f>1114</f>
        <v>1114.0</v>
      </c>
      <c r="K428" s="21" t="str">
        <f>"－"</f>
        <v>－</v>
      </c>
      <c r="L428" s="4" t="s">
        <v>549</v>
      </c>
      <c r="M428" s="22" t="n">
        <f>6072</f>
        <v>6072.0</v>
      </c>
      <c r="N428" s="5" t="s">
        <v>895</v>
      </c>
      <c r="O428" s="23" t="n">
        <f>281</f>
        <v>281.0</v>
      </c>
      <c r="P428" s="3" t="s">
        <v>1099</v>
      </c>
      <c r="Q428" s="21"/>
      <c r="R428" s="3" t="s">
        <v>247</v>
      </c>
      <c r="S428" s="21" t="n">
        <f>125271822460</f>
        <v>1.2527182246E11</v>
      </c>
      <c r="T428" s="21" t="str">
        <f>"－"</f>
        <v>－</v>
      </c>
      <c r="U428" s="5" t="s">
        <v>549</v>
      </c>
      <c r="V428" s="23" t="n">
        <f>679890270000</f>
        <v>6.7989027E11</v>
      </c>
      <c r="W428" s="5" t="s">
        <v>895</v>
      </c>
      <c r="X428" s="23" t="n">
        <f>31927550000</f>
        <v>3.192755E10</v>
      </c>
      <c r="Y428" s="23"/>
      <c r="Z428" s="21" t="str">
        <f>"－"</f>
        <v>－</v>
      </c>
      <c r="AA428" s="21" t="n">
        <f>3695</f>
        <v>3695.0</v>
      </c>
      <c r="AB428" s="4" t="s">
        <v>263</v>
      </c>
      <c r="AC428" s="22" t="n">
        <f>20570</f>
        <v>20570.0</v>
      </c>
      <c r="AD428" s="5" t="s">
        <v>750</v>
      </c>
      <c r="AE428" s="23" t="n">
        <f>3284</f>
        <v>3284.0</v>
      </c>
    </row>
    <row r="429">
      <c r="A429" s="24" t="s">
        <v>1095</v>
      </c>
      <c r="B429" s="25" t="s">
        <v>1096</v>
      </c>
      <c r="C429" s="26"/>
      <c r="D429" s="27"/>
      <c r="E429" s="28" t="s">
        <v>313</v>
      </c>
      <c r="F429" s="20" t="n">
        <f>120</f>
        <v>120.0</v>
      </c>
      <c r="G429" s="21" t="n">
        <f>76050</f>
        <v>76050.0</v>
      </c>
      <c r="H429" s="21"/>
      <c r="I429" s="21" t="str">
        <f>"－"</f>
        <v>－</v>
      </c>
      <c r="J429" s="21" t="n">
        <f>634</f>
        <v>634.0</v>
      </c>
      <c r="K429" s="21" t="str">
        <f>"－"</f>
        <v>－</v>
      </c>
      <c r="L429" s="4" t="s">
        <v>81</v>
      </c>
      <c r="M429" s="22" t="n">
        <f>2754</f>
        <v>2754.0</v>
      </c>
      <c r="N429" s="5" t="s">
        <v>757</v>
      </c>
      <c r="O429" s="23" t="n">
        <f>138</f>
        <v>138.0</v>
      </c>
      <c r="P429" s="3" t="s">
        <v>1100</v>
      </c>
      <c r="Q429" s="21"/>
      <c r="R429" s="3" t="s">
        <v>247</v>
      </c>
      <c r="S429" s="21" t="n">
        <f>72543995750</f>
        <v>7.254399575E10</v>
      </c>
      <c r="T429" s="21" t="str">
        <f>"－"</f>
        <v>－</v>
      </c>
      <c r="U429" s="5" t="s">
        <v>81</v>
      </c>
      <c r="V429" s="23" t="n">
        <f>316229600000</f>
        <v>3.162296E11</v>
      </c>
      <c r="W429" s="5" t="s">
        <v>757</v>
      </c>
      <c r="X429" s="23" t="n">
        <f>15702060000</f>
        <v>1.570206E10</v>
      </c>
      <c r="Y429" s="23"/>
      <c r="Z429" s="21" t="str">
        <f>"－"</f>
        <v>－</v>
      </c>
      <c r="AA429" s="21" t="n">
        <f>1607</f>
        <v>1607.0</v>
      </c>
      <c r="AB429" s="4" t="s">
        <v>612</v>
      </c>
      <c r="AC429" s="22" t="n">
        <f>4929</f>
        <v>4929.0</v>
      </c>
      <c r="AD429" s="5" t="s">
        <v>234</v>
      </c>
      <c r="AE429" s="23" t="n">
        <f>1088</f>
        <v>1088.0</v>
      </c>
    </row>
    <row r="430">
      <c r="A430" s="24" t="s">
        <v>1095</v>
      </c>
      <c r="B430" s="25" t="s">
        <v>1096</v>
      </c>
      <c r="C430" s="26"/>
      <c r="D430" s="27"/>
      <c r="E430" s="28" t="s">
        <v>316</v>
      </c>
      <c r="F430" s="20" t="n">
        <f>126</f>
        <v>126.0</v>
      </c>
      <c r="G430" s="21" t="n">
        <f>55852</f>
        <v>55852.0</v>
      </c>
      <c r="H430" s="21"/>
      <c r="I430" s="21" t="str">
        <f>"－"</f>
        <v>－</v>
      </c>
      <c r="J430" s="21" t="n">
        <f>443</f>
        <v>443.0</v>
      </c>
      <c r="K430" s="21" t="str">
        <f>"－"</f>
        <v>－</v>
      </c>
      <c r="L430" s="4" t="s">
        <v>88</v>
      </c>
      <c r="M430" s="22" t="n">
        <f>1856</f>
        <v>1856.0</v>
      </c>
      <c r="N430" s="5" t="s">
        <v>594</v>
      </c>
      <c r="O430" s="23" t="n">
        <f>137</f>
        <v>137.0</v>
      </c>
      <c r="P430" s="3" t="s">
        <v>1101</v>
      </c>
      <c r="Q430" s="21"/>
      <c r="R430" s="3" t="s">
        <v>247</v>
      </c>
      <c r="S430" s="21" t="n">
        <f>50502768095</f>
        <v>5.0502768095E10</v>
      </c>
      <c r="T430" s="21" t="str">
        <f>"－"</f>
        <v>－</v>
      </c>
      <c r="U430" s="5" t="s">
        <v>88</v>
      </c>
      <c r="V430" s="23" t="n">
        <f>210409540000</f>
        <v>2.1040954E11</v>
      </c>
      <c r="W430" s="5" t="s">
        <v>594</v>
      </c>
      <c r="X430" s="23" t="n">
        <f>15559180000</f>
        <v>1.555918E10</v>
      </c>
      <c r="Y430" s="23"/>
      <c r="Z430" s="21" t="str">
        <f>"－"</f>
        <v>－</v>
      </c>
      <c r="AA430" s="21" t="n">
        <f>1466</f>
        <v>1466.0</v>
      </c>
      <c r="AB430" s="4" t="s">
        <v>1013</v>
      </c>
      <c r="AC430" s="22" t="n">
        <f>3789</f>
        <v>3789.0</v>
      </c>
      <c r="AD430" s="5" t="s">
        <v>245</v>
      </c>
      <c r="AE430" s="23" t="n">
        <f>950</f>
        <v>950.0</v>
      </c>
    </row>
    <row r="431">
      <c r="A431" s="24" t="s">
        <v>1095</v>
      </c>
      <c r="B431" s="25" t="s">
        <v>1096</v>
      </c>
      <c r="C431" s="26"/>
      <c r="D431" s="27"/>
      <c r="E431" s="28" t="s">
        <v>320</v>
      </c>
      <c r="F431" s="20" t="n">
        <f>121</f>
        <v>121.0</v>
      </c>
      <c r="G431" s="21" t="n">
        <f>68194</f>
        <v>68194.0</v>
      </c>
      <c r="H431" s="21"/>
      <c r="I431" s="21" t="str">
        <f>"－"</f>
        <v>－</v>
      </c>
      <c r="J431" s="21" t="n">
        <f>564</f>
        <v>564.0</v>
      </c>
      <c r="K431" s="21" t="str">
        <f>"－"</f>
        <v>－</v>
      </c>
      <c r="L431" s="4" t="s">
        <v>90</v>
      </c>
      <c r="M431" s="22" t="n">
        <f>1303</f>
        <v>1303.0</v>
      </c>
      <c r="N431" s="5" t="s">
        <v>69</v>
      </c>
      <c r="O431" s="23" t="n">
        <f>155</f>
        <v>155.0</v>
      </c>
      <c r="P431" s="3" t="s">
        <v>1102</v>
      </c>
      <c r="Q431" s="21"/>
      <c r="R431" s="3" t="s">
        <v>247</v>
      </c>
      <c r="S431" s="21" t="n">
        <f>64728821322</f>
        <v>6.4728821322E10</v>
      </c>
      <c r="T431" s="21" t="str">
        <f>"－"</f>
        <v>－</v>
      </c>
      <c r="U431" s="5" t="s">
        <v>90</v>
      </c>
      <c r="V431" s="23" t="n">
        <f>149825930000</f>
        <v>1.4982593E11</v>
      </c>
      <c r="W431" s="5" t="s">
        <v>69</v>
      </c>
      <c r="X431" s="23" t="n">
        <f>17787920000</f>
        <v>1.778792E10</v>
      </c>
      <c r="Y431" s="23"/>
      <c r="Z431" s="21" t="str">
        <f>"－"</f>
        <v>－</v>
      </c>
      <c r="AA431" s="21" t="n">
        <f>2856</f>
        <v>2856.0</v>
      </c>
      <c r="AB431" s="4" t="s">
        <v>1015</v>
      </c>
      <c r="AC431" s="22" t="n">
        <f>3596</f>
        <v>3596.0</v>
      </c>
      <c r="AD431" s="5" t="s">
        <v>268</v>
      </c>
      <c r="AE431" s="23" t="n">
        <f>1167</f>
        <v>1167.0</v>
      </c>
    </row>
    <row r="432">
      <c r="A432" s="24" t="s">
        <v>1095</v>
      </c>
      <c r="B432" s="25" t="s">
        <v>1096</v>
      </c>
      <c r="C432" s="26"/>
      <c r="D432" s="27"/>
      <c r="E432" s="28" t="s">
        <v>324</v>
      </c>
      <c r="F432" s="20" t="n">
        <f>125</f>
        <v>125.0</v>
      </c>
      <c r="G432" s="21" t="n">
        <f>101327</f>
        <v>101327.0</v>
      </c>
      <c r="H432" s="21"/>
      <c r="I432" s="21" t="str">
        <f>"－"</f>
        <v>－</v>
      </c>
      <c r="J432" s="21" t="n">
        <f>811</f>
        <v>811.0</v>
      </c>
      <c r="K432" s="21" t="str">
        <f>"－"</f>
        <v>－</v>
      </c>
      <c r="L432" s="4" t="s">
        <v>709</v>
      </c>
      <c r="M432" s="22" t="n">
        <f>1252</f>
        <v>1252.0</v>
      </c>
      <c r="N432" s="5" t="s">
        <v>398</v>
      </c>
      <c r="O432" s="23" t="n">
        <f>472</f>
        <v>472.0</v>
      </c>
      <c r="P432" s="3" t="s">
        <v>1103</v>
      </c>
      <c r="Q432" s="21"/>
      <c r="R432" s="3" t="s">
        <v>247</v>
      </c>
      <c r="S432" s="21" t="n">
        <f>93722770160</f>
        <v>9.372277016E10</v>
      </c>
      <c r="T432" s="21" t="str">
        <f>"－"</f>
        <v>－</v>
      </c>
      <c r="U432" s="5" t="s">
        <v>709</v>
      </c>
      <c r="V432" s="23" t="n">
        <f>145090350000</f>
        <v>1.4509035E11</v>
      </c>
      <c r="W432" s="5" t="s">
        <v>398</v>
      </c>
      <c r="X432" s="23" t="n">
        <f>54656700000</f>
        <v>5.46567E10</v>
      </c>
      <c r="Y432" s="23"/>
      <c r="Z432" s="21" t="str">
        <f>"－"</f>
        <v>－</v>
      </c>
      <c r="AA432" s="21" t="n">
        <f>2875</f>
        <v>2875.0</v>
      </c>
      <c r="AB432" s="4" t="s">
        <v>999</v>
      </c>
      <c r="AC432" s="22" t="n">
        <f>4455</f>
        <v>4455.0</v>
      </c>
      <c r="AD432" s="5" t="s">
        <v>563</v>
      </c>
      <c r="AE432" s="23" t="n">
        <f>1921</f>
        <v>1921.0</v>
      </c>
    </row>
    <row r="433">
      <c r="A433" s="24" t="s">
        <v>1095</v>
      </c>
      <c r="B433" s="25" t="s">
        <v>1096</v>
      </c>
      <c r="C433" s="26"/>
      <c r="D433" s="27"/>
      <c r="E433" s="28" t="s">
        <v>327</v>
      </c>
      <c r="F433" s="20" t="n">
        <f>122</f>
        <v>122.0</v>
      </c>
      <c r="G433" s="21" t="n">
        <f>99080</f>
        <v>99080.0</v>
      </c>
      <c r="H433" s="21"/>
      <c r="I433" s="21" t="str">
        <f>"－"</f>
        <v>－</v>
      </c>
      <c r="J433" s="21" t="n">
        <f>812</f>
        <v>812.0</v>
      </c>
      <c r="K433" s="21" t="str">
        <f>"－"</f>
        <v>－</v>
      </c>
      <c r="L433" s="4" t="s">
        <v>658</v>
      </c>
      <c r="M433" s="22" t="n">
        <f>2004</f>
        <v>2004.0</v>
      </c>
      <c r="N433" s="5" t="s">
        <v>170</v>
      </c>
      <c r="O433" s="23" t="n">
        <f>4</f>
        <v>4.0</v>
      </c>
      <c r="P433" s="3" t="s">
        <v>1104</v>
      </c>
      <c r="Q433" s="21"/>
      <c r="R433" s="3" t="s">
        <v>247</v>
      </c>
      <c r="S433" s="21" t="n">
        <f>94066564754</f>
        <v>9.4066564754E10</v>
      </c>
      <c r="T433" s="21" t="str">
        <f>"－"</f>
        <v>－</v>
      </c>
      <c r="U433" s="5" t="s">
        <v>658</v>
      </c>
      <c r="V433" s="23" t="n">
        <f>233140440000</f>
        <v>2.3314044E11</v>
      </c>
      <c r="W433" s="5" t="s">
        <v>170</v>
      </c>
      <c r="X433" s="23" t="n">
        <f>459720000</f>
        <v>4.5972E8</v>
      </c>
      <c r="Y433" s="23"/>
      <c r="Z433" s="21" t="str">
        <f>"－"</f>
        <v>－</v>
      </c>
      <c r="AA433" s="21" t="n">
        <f>4853</f>
        <v>4853.0</v>
      </c>
      <c r="AB433" s="4" t="s">
        <v>1022</v>
      </c>
      <c r="AC433" s="22" t="n">
        <f>5183</f>
        <v>5183.0</v>
      </c>
      <c r="AD433" s="5" t="s">
        <v>528</v>
      </c>
      <c r="AE433" s="23" t="n">
        <f>2146</f>
        <v>2146.0</v>
      </c>
    </row>
    <row r="434">
      <c r="A434" s="24" t="s">
        <v>1095</v>
      </c>
      <c r="B434" s="25" t="s">
        <v>1096</v>
      </c>
      <c r="C434" s="26"/>
      <c r="D434" s="27"/>
      <c r="E434" s="28" t="s">
        <v>331</v>
      </c>
      <c r="F434" s="20" t="n">
        <f>124</f>
        <v>124.0</v>
      </c>
      <c r="G434" s="21" t="n">
        <f>61596</f>
        <v>61596.0</v>
      </c>
      <c r="H434" s="21"/>
      <c r="I434" s="21" t="str">
        <f>"－"</f>
        <v>－</v>
      </c>
      <c r="J434" s="21" t="n">
        <f>497</f>
        <v>497.0</v>
      </c>
      <c r="K434" s="21" t="str">
        <f>"－"</f>
        <v>－</v>
      </c>
      <c r="L434" s="4" t="s">
        <v>823</v>
      </c>
      <c r="M434" s="22" t="n">
        <f>1325</f>
        <v>1325.0</v>
      </c>
      <c r="N434" s="5" t="s">
        <v>119</v>
      </c>
      <c r="O434" s="23" t="n">
        <f>166</f>
        <v>166.0</v>
      </c>
      <c r="P434" s="3" t="s">
        <v>1105</v>
      </c>
      <c r="Q434" s="21"/>
      <c r="R434" s="3" t="s">
        <v>247</v>
      </c>
      <c r="S434" s="21" t="n">
        <f>57865667661</f>
        <v>5.7865667661E10</v>
      </c>
      <c r="T434" s="21" t="str">
        <f>"－"</f>
        <v>－</v>
      </c>
      <c r="U434" s="5" t="s">
        <v>823</v>
      </c>
      <c r="V434" s="23" t="n">
        <f>155262830000</f>
        <v>1.5526283E11</v>
      </c>
      <c r="W434" s="5" t="s">
        <v>119</v>
      </c>
      <c r="X434" s="23" t="n">
        <f>19065250000</f>
        <v>1.906525E10</v>
      </c>
      <c r="Y434" s="23"/>
      <c r="Z434" s="21" t="str">
        <f>"－"</f>
        <v>－</v>
      </c>
      <c r="AA434" s="21" t="n">
        <f>342</f>
        <v>342.0</v>
      </c>
      <c r="AB434" s="4" t="s">
        <v>853</v>
      </c>
      <c r="AC434" s="22" t="n">
        <f>6738</f>
        <v>6738.0</v>
      </c>
      <c r="AD434" s="5" t="s">
        <v>520</v>
      </c>
      <c r="AE434" s="23" t="n">
        <f>237</f>
        <v>237.0</v>
      </c>
    </row>
    <row r="435">
      <c r="A435" s="24" t="s">
        <v>1095</v>
      </c>
      <c r="B435" s="25" t="s">
        <v>1096</v>
      </c>
      <c r="C435" s="26"/>
      <c r="D435" s="27"/>
      <c r="E435" s="28" t="s">
        <v>336</v>
      </c>
      <c r="F435" s="20" t="n">
        <f>122</f>
        <v>122.0</v>
      </c>
      <c r="G435" s="21" t="n">
        <f>7700</f>
        <v>7700.0</v>
      </c>
      <c r="H435" s="21"/>
      <c r="I435" s="21" t="str">
        <f>"－"</f>
        <v>－</v>
      </c>
      <c r="J435" s="21" t="n">
        <f>63</f>
        <v>63.0</v>
      </c>
      <c r="K435" s="21" t="str">
        <f>"－"</f>
        <v>－</v>
      </c>
      <c r="L435" s="4" t="s">
        <v>300</v>
      </c>
      <c r="M435" s="22" t="n">
        <f>740</f>
        <v>740.0</v>
      </c>
      <c r="N435" s="5" t="s">
        <v>116</v>
      </c>
      <c r="O435" s="23" t="str">
        <f>"－"</f>
        <v>－</v>
      </c>
      <c r="P435" s="3" t="s">
        <v>1106</v>
      </c>
      <c r="Q435" s="21"/>
      <c r="R435" s="3" t="s">
        <v>247</v>
      </c>
      <c r="S435" s="21" t="n">
        <f>7334207787</f>
        <v>7.334207787E9</v>
      </c>
      <c r="T435" s="21" t="str">
        <f>"－"</f>
        <v>－</v>
      </c>
      <c r="U435" s="5" t="s">
        <v>300</v>
      </c>
      <c r="V435" s="23" t="n">
        <f>85988000000</f>
        <v>8.5988E10</v>
      </c>
      <c r="W435" s="5" t="s">
        <v>116</v>
      </c>
      <c r="X435" s="23" t="str">
        <f>"－"</f>
        <v>－</v>
      </c>
      <c r="Y435" s="23"/>
      <c r="Z435" s="21" t="str">
        <f>"－"</f>
        <v>－</v>
      </c>
      <c r="AA435" s="21" t="n">
        <f>2</f>
        <v>2.0</v>
      </c>
      <c r="AB435" s="4" t="s">
        <v>872</v>
      </c>
      <c r="AC435" s="22" t="n">
        <f>1583</f>
        <v>1583.0</v>
      </c>
      <c r="AD435" s="5" t="s">
        <v>379</v>
      </c>
      <c r="AE435" s="23" t="n">
        <f>2</f>
        <v>2.0</v>
      </c>
    </row>
    <row r="436">
      <c r="A436" s="24" t="s">
        <v>1095</v>
      </c>
      <c r="B436" s="25" t="s">
        <v>1096</v>
      </c>
      <c r="C436" s="26"/>
      <c r="D436" s="27"/>
      <c r="E436" s="28" t="s">
        <v>340</v>
      </c>
      <c r="F436" s="20" t="n">
        <f>125</f>
        <v>125.0</v>
      </c>
      <c r="G436" s="21" t="n">
        <f>100624</f>
        <v>100624.0</v>
      </c>
      <c r="H436" s="21"/>
      <c r="I436" s="21" t="str">
        <f>"－"</f>
        <v>－</v>
      </c>
      <c r="J436" s="21" t="n">
        <f>805</f>
        <v>805.0</v>
      </c>
      <c r="K436" s="21" t="str">
        <f>"－"</f>
        <v>－</v>
      </c>
      <c r="L436" s="4" t="s">
        <v>183</v>
      </c>
      <c r="M436" s="22" t="n">
        <f>3802</f>
        <v>3802.0</v>
      </c>
      <c r="N436" s="5" t="s">
        <v>666</v>
      </c>
      <c r="O436" s="23" t="str">
        <f>"－"</f>
        <v>－</v>
      </c>
      <c r="P436" s="3" t="s">
        <v>1107</v>
      </c>
      <c r="Q436" s="21"/>
      <c r="R436" s="3" t="s">
        <v>247</v>
      </c>
      <c r="S436" s="21" t="n">
        <f>87338671280</f>
        <v>8.733867128E10</v>
      </c>
      <c r="T436" s="21" t="str">
        <f>"－"</f>
        <v>－</v>
      </c>
      <c r="U436" s="5" t="s">
        <v>183</v>
      </c>
      <c r="V436" s="23" t="n">
        <f>411039450000</f>
        <v>4.1103945E11</v>
      </c>
      <c r="W436" s="5" t="s">
        <v>666</v>
      </c>
      <c r="X436" s="23" t="str">
        <f>"－"</f>
        <v>－</v>
      </c>
      <c r="Y436" s="23"/>
      <c r="Z436" s="21" t="str">
        <f>"－"</f>
        <v>－</v>
      </c>
      <c r="AA436" s="21" t="n">
        <f>1422</f>
        <v>1422.0</v>
      </c>
      <c r="AB436" s="4" t="s">
        <v>1108</v>
      </c>
      <c r="AC436" s="22" t="n">
        <f>10479</f>
        <v>10479.0</v>
      </c>
      <c r="AD436" s="5" t="s">
        <v>666</v>
      </c>
      <c r="AE436" s="23" t="n">
        <f>2</f>
        <v>2.0</v>
      </c>
    </row>
    <row r="437">
      <c r="A437" s="24" t="s">
        <v>1095</v>
      </c>
      <c r="B437" s="25" t="s">
        <v>1096</v>
      </c>
      <c r="C437" s="26"/>
      <c r="D437" s="27"/>
      <c r="E437" s="28" t="s">
        <v>344</v>
      </c>
      <c r="F437" s="20" t="n">
        <f>121</f>
        <v>121.0</v>
      </c>
      <c r="G437" s="21" t="n">
        <f>10577</f>
        <v>10577.0</v>
      </c>
      <c r="H437" s="21"/>
      <c r="I437" s="21" t="str">
        <f>"－"</f>
        <v>－</v>
      </c>
      <c r="J437" s="21" t="n">
        <f>87</f>
        <v>87.0</v>
      </c>
      <c r="K437" s="21" t="str">
        <f>"－"</f>
        <v>－</v>
      </c>
      <c r="L437" s="4" t="s">
        <v>603</v>
      </c>
      <c r="M437" s="22" t="n">
        <f>585</f>
        <v>585.0</v>
      </c>
      <c r="N437" s="5" t="s">
        <v>1056</v>
      </c>
      <c r="O437" s="23" t="str">
        <f>"－"</f>
        <v>－</v>
      </c>
      <c r="P437" s="3" t="s">
        <v>1109</v>
      </c>
      <c r="Q437" s="21"/>
      <c r="R437" s="3" t="s">
        <v>247</v>
      </c>
      <c r="S437" s="21" t="n">
        <f>9506112975</f>
        <v>9.506112975E9</v>
      </c>
      <c r="T437" s="21" t="str">
        <f>"－"</f>
        <v>－</v>
      </c>
      <c r="U437" s="5" t="s">
        <v>603</v>
      </c>
      <c r="V437" s="23" t="n">
        <f>63334120000</f>
        <v>6.333412E10</v>
      </c>
      <c r="W437" s="5" t="s">
        <v>1056</v>
      </c>
      <c r="X437" s="23" t="str">
        <f>"－"</f>
        <v>－</v>
      </c>
      <c r="Y437" s="23"/>
      <c r="Z437" s="21" t="str">
        <f>"－"</f>
        <v>－</v>
      </c>
      <c r="AA437" s="21" t="n">
        <f>166</f>
        <v>166.0</v>
      </c>
      <c r="AB437" s="4" t="s">
        <v>669</v>
      </c>
      <c r="AC437" s="22" t="n">
        <f>1511</f>
        <v>1511.0</v>
      </c>
      <c r="AD437" s="5" t="s">
        <v>914</v>
      </c>
      <c r="AE437" s="23" t="n">
        <f>161</f>
        <v>161.0</v>
      </c>
    </row>
    <row r="438">
      <c r="A438" s="24" t="s">
        <v>1095</v>
      </c>
      <c r="B438" s="25" t="s">
        <v>1096</v>
      </c>
      <c r="C438" s="26"/>
      <c r="D438" s="27"/>
      <c r="E438" s="28" t="s">
        <v>347</v>
      </c>
      <c r="F438" s="20" t="n">
        <f>125</f>
        <v>125.0</v>
      </c>
      <c r="G438" s="21" t="n">
        <f>363</f>
        <v>363.0</v>
      </c>
      <c r="H438" s="21"/>
      <c r="I438" s="21" t="str">
        <f>"－"</f>
        <v>－</v>
      </c>
      <c r="J438" s="21" t="n">
        <f>3</f>
        <v>3.0</v>
      </c>
      <c r="K438" s="21" t="str">
        <f>"－"</f>
        <v>－</v>
      </c>
      <c r="L438" s="4" t="s">
        <v>96</v>
      </c>
      <c r="M438" s="22" t="n">
        <f>93</f>
        <v>93.0</v>
      </c>
      <c r="N438" s="5" t="s">
        <v>263</v>
      </c>
      <c r="O438" s="23" t="str">
        <f>"－"</f>
        <v>－</v>
      </c>
      <c r="P438" s="3" t="s">
        <v>1110</v>
      </c>
      <c r="Q438" s="21"/>
      <c r="R438" s="3" t="s">
        <v>247</v>
      </c>
      <c r="S438" s="21" t="n">
        <f>321610480</f>
        <v>3.2161048E8</v>
      </c>
      <c r="T438" s="21" t="str">
        <f>"－"</f>
        <v>－</v>
      </c>
      <c r="U438" s="5" t="s">
        <v>96</v>
      </c>
      <c r="V438" s="23" t="n">
        <f>10314770000</f>
        <v>1.031477E10</v>
      </c>
      <c r="W438" s="5" t="s">
        <v>263</v>
      </c>
      <c r="X438" s="23" t="str">
        <f>"－"</f>
        <v>－</v>
      </c>
      <c r="Y438" s="23"/>
      <c r="Z438" s="21" t="str">
        <f>"－"</f>
        <v>－</v>
      </c>
      <c r="AA438" s="21" t="n">
        <f>26</f>
        <v>26.0</v>
      </c>
      <c r="AB438" s="4" t="s">
        <v>140</v>
      </c>
      <c r="AC438" s="22" t="n">
        <f>171</f>
        <v>171.0</v>
      </c>
      <c r="AD438" s="5" t="s">
        <v>84</v>
      </c>
      <c r="AE438" s="23" t="n">
        <f>26</f>
        <v>26.0</v>
      </c>
    </row>
    <row r="439">
      <c r="A439" s="24" t="s">
        <v>1095</v>
      </c>
      <c r="B439" s="25" t="s">
        <v>1096</v>
      </c>
      <c r="C439" s="26"/>
      <c r="D439" s="27"/>
      <c r="E439" s="28" t="s">
        <v>351</v>
      </c>
      <c r="F439" s="20" t="n">
        <f>120</f>
        <v>120.0</v>
      </c>
      <c r="G439" s="21" t="n">
        <f>81</f>
        <v>81.0</v>
      </c>
      <c r="H439" s="21"/>
      <c r="I439" s="21" t="str">
        <f>"－"</f>
        <v>－</v>
      </c>
      <c r="J439" s="21" t="n">
        <f>1</f>
        <v>1.0</v>
      </c>
      <c r="K439" s="21" t="str">
        <f>"－"</f>
        <v>－</v>
      </c>
      <c r="L439" s="4" t="s">
        <v>49</v>
      </c>
      <c r="M439" s="22" t="n">
        <f>28</f>
        <v>28.0</v>
      </c>
      <c r="N439" s="5" t="s">
        <v>279</v>
      </c>
      <c r="O439" s="23" t="str">
        <f>"－"</f>
        <v>－</v>
      </c>
      <c r="P439" s="3" t="s">
        <v>1111</v>
      </c>
      <c r="Q439" s="21"/>
      <c r="R439" s="3" t="s">
        <v>247</v>
      </c>
      <c r="S439" s="21" t="n">
        <f>74506750</f>
        <v>7.450675E7</v>
      </c>
      <c r="T439" s="21" t="str">
        <f>"－"</f>
        <v>－</v>
      </c>
      <c r="U439" s="5" t="s">
        <v>49</v>
      </c>
      <c r="V439" s="23" t="n">
        <f>3090500000</f>
        <v>3.0905E9</v>
      </c>
      <c r="W439" s="5" t="s">
        <v>279</v>
      </c>
      <c r="X439" s="23" t="str">
        <f>"－"</f>
        <v>－</v>
      </c>
      <c r="Y439" s="23"/>
      <c r="Z439" s="21" t="str">
        <f>"－"</f>
        <v>－</v>
      </c>
      <c r="AA439" s="21" t="str">
        <f>"－"</f>
        <v>－</v>
      </c>
      <c r="AB439" s="4" t="s">
        <v>279</v>
      </c>
      <c r="AC439" s="22" t="n">
        <f>26</f>
        <v>26.0</v>
      </c>
      <c r="AD439" s="5" t="s">
        <v>1112</v>
      </c>
      <c r="AE439" s="23" t="str">
        <f>"－"</f>
        <v>－</v>
      </c>
    </row>
    <row r="440">
      <c r="A440" s="24" t="s">
        <v>1095</v>
      </c>
      <c r="B440" s="25" t="s">
        <v>1096</v>
      </c>
      <c r="C440" s="26"/>
      <c r="D440" s="27"/>
      <c r="E440" s="28" t="s">
        <v>355</v>
      </c>
      <c r="F440" s="20" t="n">
        <f>126</f>
        <v>126.0</v>
      </c>
      <c r="G440" s="21" t="str">
        <f>"－"</f>
        <v>－</v>
      </c>
      <c r="H440" s="21"/>
      <c r="I440" s="21" t="str">
        <f>"－"</f>
        <v>－</v>
      </c>
      <c r="J440" s="21" t="str">
        <f>"－"</f>
        <v>－</v>
      </c>
      <c r="K440" s="21" t="str">
        <f>"－"</f>
        <v>－</v>
      </c>
      <c r="L440" s="4" t="s">
        <v>335</v>
      </c>
      <c r="M440" s="22" t="str">
        <f>"－"</f>
        <v>－</v>
      </c>
      <c r="N440" s="5" t="s">
        <v>335</v>
      </c>
      <c r="O440" s="23" t="str">
        <f>"－"</f>
        <v>－</v>
      </c>
      <c r="P440" s="3" t="s">
        <v>247</v>
      </c>
      <c r="Q440" s="21"/>
      <c r="R440" s="3" t="s">
        <v>247</v>
      </c>
      <c r="S440" s="21" t="str">
        <f>"－"</f>
        <v>－</v>
      </c>
      <c r="T440" s="21" t="str">
        <f>"－"</f>
        <v>－</v>
      </c>
      <c r="U440" s="5" t="s">
        <v>335</v>
      </c>
      <c r="V440" s="23" t="str">
        <f>"－"</f>
        <v>－</v>
      </c>
      <c r="W440" s="5" t="s">
        <v>335</v>
      </c>
      <c r="X440" s="23" t="str">
        <f>"－"</f>
        <v>－</v>
      </c>
      <c r="Y440" s="23"/>
      <c r="Z440" s="21" t="str">
        <f>"－"</f>
        <v>－</v>
      </c>
      <c r="AA440" s="21" t="str">
        <f>"－"</f>
        <v>－</v>
      </c>
      <c r="AB440" s="4" t="s">
        <v>335</v>
      </c>
      <c r="AC440" s="22" t="str">
        <f>"－"</f>
        <v>－</v>
      </c>
      <c r="AD440" s="5" t="s">
        <v>335</v>
      </c>
      <c r="AE440" s="23" t="str">
        <f>"－"</f>
        <v>－</v>
      </c>
    </row>
    <row r="441">
      <c r="A441" s="24" t="s">
        <v>1095</v>
      </c>
      <c r="B441" s="25" t="s">
        <v>1096</v>
      </c>
      <c r="C441" s="26"/>
      <c r="D441" s="27"/>
      <c r="E441" s="28" t="s">
        <v>358</v>
      </c>
      <c r="F441" s="20" t="n">
        <f>120</f>
        <v>120.0</v>
      </c>
      <c r="G441" s="21" t="str">
        <f>"－"</f>
        <v>－</v>
      </c>
      <c r="H441" s="21"/>
      <c r="I441" s="21" t="str">
        <f>"－"</f>
        <v>－</v>
      </c>
      <c r="J441" s="21" t="str">
        <f>"－"</f>
        <v>－</v>
      </c>
      <c r="K441" s="21" t="str">
        <f>"－"</f>
        <v>－</v>
      </c>
      <c r="L441" s="4" t="s">
        <v>279</v>
      </c>
      <c r="M441" s="22" t="str">
        <f>"－"</f>
        <v>－</v>
      </c>
      <c r="N441" s="5" t="s">
        <v>279</v>
      </c>
      <c r="O441" s="23" t="str">
        <f>"－"</f>
        <v>－</v>
      </c>
      <c r="P441" s="3" t="s">
        <v>247</v>
      </c>
      <c r="Q441" s="21"/>
      <c r="R441" s="3" t="s">
        <v>247</v>
      </c>
      <c r="S441" s="21" t="str">
        <f>"－"</f>
        <v>－</v>
      </c>
      <c r="T441" s="21" t="str">
        <f>"－"</f>
        <v>－</v>
      </c>
      <c r="U441" s="5" t="s">
        <v>279</v>
      </c>
      <c r="V441" s="23" t="str">
        <f>"－"</f>
        <v>－</v>
      </c>
      <c r="W441" s="5" t="s">
        <v>279</v>
      </c>
      <c r="X441" s="23" t="str">
        <f>"－"</f>
        <v>－</v>
      </c>
      <c r="Y441" s="23"/>
      <c r="Z441" s="21" t="str">
        <f>"－"</f>
        <v>－</v>
      </c>
      <c r="AA441" s="21" t="str">
        <f>"－"</f>
        <v>－</v>
      </c>
      <c r="AB441" s="4" t="s">
        <v>279</v>
      </c>
      <c r="AC441" s="22" t="str">
        <f>"－"</f>
        <v>－</v>
      </c>
      <c r="AD441" s="5" t="s">
        <v>279</v>
      </c>
      <c r="AE441" s="23" t="str">
        <f>"－"</f>
        <v>－</v>
      </c>
    </row>
    <row r="442">
      <c r="A442" s="24" t="s">
        <v>1095</v>
      </c>
      <c r="B442" s="25" t="s">
        <v>1096</v>
      </c>
      <c r="C442" s="26"/>
      <c r="D442" s="27"/>
      <c r="E442" s="28" t="s">
        <v>361</v>
      </c>
      <c r="F442" s="20" t="n">
        <f>126</f>
        <v>126.0</v>
      </c>
      <c r="G442" s="21" t="str">
        <f>"－"</f>
        <v>－</v>
      </c>
      <c r="H442" s="21"/>
      <c r="I442" s="21" t="str">
        <f>"－"</f>
        <v>－</v>
      </c>
      <c r="J442" s="21" t="str">
        <f>"－"</f>
        <v>－</v>
      </c>
      <c r="K442" s="21" t="str">
        <f>"－"</f>
        <v>－</v>
      </c>
      <c r="L442" s="4" t="s">
        <v>335</v>
      </c>
      <c r="M442" s="22" t="str">
        <f>"－"</f>
        <v>－</v>
      </c>
      <c r="N442" s="5" t="s">
        <v>335</v>
      </c>
      <c r="O442" s="23" t="str">
        <f>"－"</f>
        <v>－</v>
      </c>
      <c r="P442" s="3" t="s">
        <v>247</v>
      </c>
      <c r="Q442" s="21"/>
      <c r="R442" s="3" t="s">
        <v>247</v>
      </c>
      <c r="S442" s="21" t="str">
        <f>"－"</f>
        <v>－</v>
      </c>
      <c r="T442" s="21" t="str">
        <f>"－"</f>
        <v>－</v>
      </c>
      <c r="U442" s="5" t="s">
        <v>335</v>
      </c>
      <c r="V442" s="23" t="str">
        <f>"－"</f>
        <v>－</v>
      </c>
      <c r="W442" s="5" t="s">
        <v>335</v>
      </c>
      <c r="X442" s="23" t="str">
        <f>"－"</f>
        <v>－</v>
      </c>
      <c r="Y442" s="23"/>
      <c r="Z442" s="21" t="str">
        <f>"－"</f>
        <v>－</v>
      </c>
      <c r="AA442" s="21" t="str">
        <f>"－"</f>
        <v>－</v>
      </c>
      <c r="AB442" s="4" t="s">
        <v>335</v>
      </c>
      <c r="AC442" s="22" t="str">
        <f>"－"</f>
        <v>－</v>
      </c>
      <c r="AD442" s="5" t="s">
        <v>335</v>
      </c>
      <c r="AE442" s="23" t="str">
        <f>"－"</f>
        <v>－</v>
      </c>
    </row>
    <row r="443">
      <c r="A443" s="24" t="s">
        <v>1095</v>
      </c>
      <c r="B443" s="25" t="s">
        <v>1096</v>
      </c>
      <c r="C443" s="26"/>
      <c r="D443" s="27"/>
      <c r="E443" s="28" t="s">
        <v>365</v>
      </c>
      <c r="F443" s="20" t="n">
        <f>122</f>
        <v>122.0</v>
      </c>
      <c r="G443" s="21" t="str">
        <f>"－"</f>
        <v>－</v>
      </c>
      <c r="H443" s="21"/>
      <c r="I443" s="21" t="str">
        <f>"－"</f>
        <v>－</v>
      </c>
      <c r="J443" s="21" t="str">
        <f>"－"</f>
        <v>－</v>
      </c>
      <c r="K443" s="21" t="str">
        <f>"－"</f>
        <v>－</v>
      </c>
      <c r="L443" s="4" t="s">
        <v>279</v>
      </c>
      <c r="M443" s="22" t="str">
        <f>"－"</f>
        <v>－</v>
      </c>
      <c r="N443" s="5" t="s">
        <v>279</v>
      </c>
      <c r="O443" s="23" t="str">
        <f>"－"</f>
        <v>－</v>
      </c>
      <c r="P443" s="3" t="s">
        <v>247</v>
      </c>
      <c r="Q443" s="21"/>
      <c r="R443" s="3" t="s">
        <v>247</v>
      </c>
      <c r="S443" s="21" t="str">
        <f>"－"</f>
        <v>－</v>
      </c>
      <c r="T443" s="21" t="str">
        <f>"－"</f>
        <v>－</v>
      </c>
      <c r="U443" s="5" t="s">
        <v>279</v>
      </c>
      <c r="V443" s="23" t="str">
        <f>"－"</f>
        <v>－</v>
      </c>
      <c r="W443" s="5" t="s">
        <v>279</v>
      </c>
      <c r="X443" s="23" t="str">
        <f>"－"</f>
        <v>－</v>
      </c>
      <c r="Y443" s="23"/>
      <c r="Z443" s="21" t="str">
        <f>"－"</f>
        <v>－</v>
      </c>
      <c r="AA443" s="21" t="str">
        <f>"－"</f>
        <v>－</v>
      </c>
      <c r="AB443" s="4" t="s">
        <v>279</v>
      </c>
      <c r="AC443" s="22" t="str">
        <f>"－"</f>
        <v>－</v>
      </c>
      <c r="AD443" s="5" t="s">
        <v>279</v>
      </c>
      <c r="AE443" s="23" t="str">
        <f>"－"</f>
        <v>－</v>
      </c>
    </row>
    <row r="444">
      <c r="A444" s="24" t="s">
        <v>1095</v>
      </c>
      <c r="B444" s="25" t="s">
        <v>1096</v>
      </c>
      <c r="C444" s="26"/>
      <c r="D444" s="27"/>
      <c r="E444" s="28" t="s">
        <v>368</v>
      </c>
      <c r="F444" s="20" t="n">
        <f>124</f>
        <v>124.0</v>
      </c>
      <c r="G444" s="21" t="str">
        <f>"－"</f>
        <v>－</v>
      </c>
      <c r="H444" s="21"/>
      <c r="I444" s="21" t="str">
        <f>"－"</f>
        <v>－</v>
      </c>
      <c r="J444" s="21" t="str">
        <f>"－"</f>
        <v>－</v>
      </c>
      <c r="K444" s="21" t="str">
        <f>"－"</f>
        <v>－</v>
      </c>
      <c r="L444" s="4" t="s">
        <v>335</v>
      </c>
      <c r="M444" s="22" t="str">
        <f>"－"</f>
        <v>－</v>
      </c>
      <c r="N444" s="5" t="s">
        <v>335</v>
      </c>
      <c r="O444" s="23" t="str">
        <f>"－"</f>
        <v>－</v>
      </c>
      <c r="P444" s="3" t="s">
        <v>247</v>
      </c>
      <c r="Q444" s="21"/>
      <c r="R444" s="3" t="s">
        <v>247</v>
      </c>
      <c r="S444" s="21" t="str">
        <f>"－"</f>
        <v>－</v>
      </c>
      <c r="T444" s="21" t="str">
        <f>"－"</f>
        <v>－</v>
      </c>
      <c r="U444" s="5" t="s">
        <v>335</v>
      </c>
      <c r="V444" s="23" t="str">
        <f>"－"</f>
        <v>－</v>
      </c>
      <c r="W444" s="5" t="s">
        <v>335</v>
      </c>
      <c r="X444" s="23" t="str">
        <f>"－"</f>
        <v>－</v>
      </c>
      <c r="Y444" s="23"/>
      <c r="Z444" s="21" t="str">
        <f>"－"</f>
        <v>－</v>
      </c>
      <c r="AA444" s="21" t="str">
        <f>"－"</f>
        <v>－</v>
      </c>
      <c r="AB444" s="4" t="s">
        <v>335</v>
      </c>
      <c r="AC444" s="22" t="str">
        <f>"－"</f>
        <v>－</v>
      </c>
      <c r="AD444" s="5" t="s">
        <v>335</v>
      </c>
      <c r="AE444" s="23" t="str">
        <f>"－"</f>
        <v>－</v>
      </c>
    </row>
    <row r="445">
      <c r="A445" s="24" t="s">
        <v>1095</v>
      </c>
      <c r="B445" s="25" t="s">
        <v>1096</v>
      </c>
      <c r="C445" s="26"/>
      <c r="D445" s="27"/>
      <c r="E445" s="28" t="s">
        <v>371</v>
      </c>
      <c r="F445" s="20" t="n">
        <f>121</f>
        <v>121.0</v>
      </c>
      <c r="G445" s="21" t="str">
        <f>"－"</f>
        <v>－</v>
      </c>
      <c r="H445" s="21"/>
      <c r="I445" s="21" t="str">
        <f>"－"</f>
        <v>－</v>
      </c>
      <c r="J445" s="21" t="str">
        <f>"－"</f>
        <v>－</v>
      </c>
      <c r="K445" s="21" t="str">
        <f>"－"</f>
        <v>－</v>
      </c>
      <c r="L445" s="4" t="s">
        <v>279</v>
      </c>
      <c r="M445" s="22" t="str">
        <f>"－"</f>
        <v>－</v>
      </c>
      <c r="N445" s="5" t="s">
        <v>279</v>
      </c>
      <c r="O445" s="23" t="str">
        <f>"－"</f>
        <v>－</v>
      </c>
      <c r="P445" s="3" t="s">
        <v>247</v>
      </c>
      <c r="Q445" s="21"/>
      <c r="R445" s="3" t="s">
        <v>247</v>
      </c>
      <c r="S445" s="21" t="str">
        <f>"－"</f>
        <v>－</v>
      </c>
      <c r="T445" s="21" t="str">
        <f>"－"</f>
        <v>－</v>
      </c>
      <c r="U445" s="5" t="s">
        <v>279</v>
      </c>
      <c r="V445" s="23" t="str">
        <f>"－"</f>
        <v>－</v>
      </c>
      <c r="W445" s="5" t="s">
        <v>279</v>
      </c>
      <c r="X445" s="23" t="str">
        <f>"－"</f>
        <v>－</v>
      </c>
      <c r="Y445" s="23"/>
      <c r="Z445" s="21" t="str">
        <f>"－"</f>
        <v>－</v>
      </c>
      <c r="AA445" s="21" t="str">
        <f>"－"</f>
        <v>－</v>
      </c>
      <c r="AB445" s="4" t="s">
        <v>279</v>
      </c>
      <c r="AC445" s="22" t="str">
        <f>"－"</f>
        <v>－</v>
      </c>
      <c r="AD445" s="5" t="s">
        <v>279</v>
      </c>
      <c r="AE445" s="23" t="str">
        <f>"－"</f>
        <v>－</v>
      </c>
    </row>
    <row r="446">
      <c r="A446" s="24" t="s">
        <v>1095</v>
      </c>
      <c r="B446" s="25" t="s">
        <v>1096</v>
      </c>
      <c r="C446" s="26"/>
      <c r="D446" s="27"/>
      <c r="E446" s="28" t="s">
        <v>375</v>
      </c>
      <c r="F446" s="20" t="n">
        <f>124</f>
        <v>124.0</v>
      </c>
      <c r="G446" s="21" t="str">
        <f>"－"</f>
        <v>－</v>
      </c>
      <c r="H446" s="21"/>
      <c r="I446" s="21" t="str">
        <f>"－"</f>
        <v>－</v>
      </c>
      <c r="J446" s="21" t="str">
        <f>"－"</f>
        <v>－</v>
      </c>
      <c r="K446" s="21" t="str">
        <f>"－"</f>
        <v>－</v>
      </c>
      <c r="L446" s="4" t="s">
        <v>335</v>
      </c>
      <c r="M446" s="22" t="str">
        <f>"－"</f>
        <v>－</v>
      </c>
      <c r="N446" s="5" t="s">
        <v>335</v>
      </c>
      <c r="O446" s="23" t="str">
        <f>"－"</f>
        <v>－</v>
      </c>
      <c r="P446" s="3" t="s">
        <v>247</v>
      </c>
      <c r="Q446" s="21"/>
      <c r="R446" s="3" t="s">
        <v>247</v>
      </c>
      <c r="S446" s="21" t="str">
        <f>"－"</f>
        <v>－</v>
      </c>
      <c r="T446" s="21" t="str">
        <f>"－"</f>
        <v>－</v>
      </c>
      <c r="U446" s="5" t="s">
        <v>335</v>
      </c>
      <c r="V446" s="23" t="str">
        <f>"－"</f>
        <v>－</v>
      </c>
      <c r="W446" s="5" t="s">
        <v>335</v>
      </c>
      <c r="X446" s="23" t="str">
        <f>"－"</f>
        <v>－</v>
      </c>
      <c r="Y446" s="23"/>
      <c r="Z446" s="21" t="str">
        <f>"－"</f>
        <v>－</v>
      </c>
      <c r="AA446" s="21" t="str">
        <f>"－"</f>
        <v>－</v>
      </c>
      <c r="AB446" s="4" t="s">
        <v>335</v>
      </c>
      <c r="AC446" s="22" t="str">
        <f>"－"</f>
        <v>－</v>
      </c>
      <c r="AD446" s="5" t="s">
        <v>335</v>
      </c>
      <c r="AE446" s="23" t="str">
        <f>"－"</f>
        <v>－</v>
      </c>
    </row>
    <row r="447">
      <c r="A447" s="24" t="s">
        <v>1095</v>
      </c>
      <c r="B447" s="25" t="s">
        <v>1096</v>
      </c>
      <c r="C447" s="26"/>
      <c r="D447" s="27"/>
      <c r="E447" s="28" t="s">
        <v>378</v>
      </c>
      <c r="F447" s="20" t="n">
        <f>122</f>
        <v>122.0</v>
      </c>
      <c r="G447" s="21" t="str">
        <f>"－"</f>
        <v>－</v>
      </c>
      <c r="H447" s="21"/>
      <c r="I447" s="21" t="str">
        <f>"－"</f>
        <v>－</v>
      </c>
      <c r="J447" s="21" t="str">
        <f>"－"</f>
        <v>－</v>
      </c>
      <c r="K447" s="21" t="str">
        <f>"－"</f>
        <v>－</v>
      </c>
      <c r="L447" s="4" t="s">
        <v>82</v>
      </c>
      <c r="M447" s="22" t="str">
        <f>"－"</f>
        <v>－</v>
      </c>
      <c r="N447" s="5" t="s">
        <v>82</v>
      </c>
      <c r="O447" s="23" t="str">
        <f>"－"</f>
        <v>－</v>
      </c>
      <c r="P447" s="3" t="s">
        <v>247</v>
      </c>
      <c r="Q447" s="21"/>
      <c r="R447" s="3" t="s">
        <v>247</v>
      </c>
      <c r="S447" s="21" t="str">
        <f>"－"</f>
        <v>－</v>
      </c>
      <c r="T447" s="21" t="str">
        <f>"－"</f>
        <v>－</v>
      </c>
      <c r="U447" s="5" t="s">
        <v>82</v>
      </c>
      <c r="V447" s="23" t="str">
        <f>"－"</f>
        <v>－</v>
      </c>
      <c r="W447" s="5" t="s">
        <v>82</v>
      </c>
      <c r="X447" s="23" t="str">
        <f>"－"</f>
        <v>－</v>
      </c>
      <c r="Y447" s="23"/>
      <c r="Z447" s="21" t="str">
        <f>"－"</f>
        <v>－</v>
      </c>
      <c r="AA447" s="21" t="str">
        <f>"－"</f>
        <v>－</v>
      </c>
      <c r="AB447" s="4" t="s">
        <v>82</v>
      </c>
      <c r="AC447" s="22" t="str">
        <f>"－"</f>
        <v>－</v>
      </c>
      <c r="AD447" s="5" t="s">
        <v>82</v>
      </c>
      <c r="AE447" s="23" t="str">
        <f>"－"</f>
        <v>－</v>
      </c>
    </row>
    <row r="448">
      <c r="A448" s="24" t="s">
        <v>1095</v>
      </c>
      <c r="B448" s="25" t="s">
        <v>1096</v>
      </c>
      <c r="C448" s="26"/>
      <c r="D448" s="27"/>
      <c r="E448" s="28" t="s">
        <v>383</v>
      </c>
      <c r="F448" s="20" t="n">
        <f>125</f>
        <v>125.0</v>
      </c>
      <c r="G448" s="21" t="str">
        <f>"－"</f>
        <v>－</v>
      </c>
      <c r="H448" s="21"/>
      <c r="I448" s="21" t="str">
        <f>"－"</f>
        <v>－</v>
      </c>
      <c r="J448" s="21" t="str">
        <f>"－"</f>
        <v>－</v>
      </c>
      <c r="K448" s="21" t="str">
        <f>"－"</f>
        <v>－</v>
      </c>
      <c r="L448" s="4" t="s">
        <v>666</v>
      </c>
      <c r="M448" s="22" t="str">
        <f>"－"</f>
        <v>－</v>
      </c>
      <c r="N448" s="5" t="s">
        <v>666</v>
      </c>
      <c r="O448" s="23" t="str">
        <f>"－"</f>
        <v>－</v>
      </c>
      <c r="P448" s="3" t="s">
        <v>247</v>
      </c>
      <c r="Q448" s="21"/>
      <c r="R448" s="3" t="s">
        <v>247</v>
      </c>
      <c r="S448" s="21" t="str">
        <f>"－"</f>
        <v>－</v>
      </c>
      <c r="T448" s="21" t="str">
        <f>"－"</f>
        <v>－</v>
      </c>
      <c r="U448" s="5" t="s">
        <v>666</v>
      </c>
      <c r="V448" s="23" t="str">
        <f>"－"</f>
        <v>－</v>
      </c>
      <c r="W448" s="5" t="s">
        <v>666</v>
      </c>
      <c r="X448" s="23" t="str">
        <f>"－"</f>
        <v>－</v>
      </c>
      <c r="Y448" s="23"/>
      <c r="Z448" s="21" t="str">
        <f>"－"</f>
        <v>－</v>
      </c>
      <c r="AA448" s="21" t="str">
        <f>"－"</f>
        <v>－</v>
      </c>
      <c r="AB448" s="4" t="s">
        <v>666</v>
      </c>
      <c r="AC448" s="22" t="str">
        <f>"－"</f>
        <v>－</v>
      </c>
      <c r="AD448" s="5" t="s">
        <v>666</v>
      </c>
      <c r="AE448" s="23" t="str">
        <f>"－"</f>
        <v>－</v>
      </c>
    </row>
    <row r="449">
      <c r="A449" s="24" t="s">
        <v>1095</v>
      </c>
      <c r="B449" s="25" t="s">
        <v>1096</v>
      </c>
      <c r="C449" s="26"/>
      <c r="D449" s="27"/>
      <c r="E449" s="28" t="s">
        <v>386</v>
      </c>
      <c r="F449" s="20" t="n">
        <f>121</f>
        <v>121.0</v>
      </c>
      <c r="G449" s="21" t="str">
        <f>"－"</f>
        <v>－</v>
      </c>
      <c r="H449" s="21"/>
      <c r="I449" s="21" t="str">
        <f>"－"</f>
        <v>－</v>
      </c>
      <c r="J449" s="21" t="str">
        <f>"－"</f>
        <v>－</v>
      </c>
      <c r="K449" s="21" t="str">
        <f>"－"</f>
        <v>－</v>
      </c>
      <c r="L449" s="4" t="s">
        <v>268</v>
      </c>
      <c r="M449" s="22" t="str">
        <f>"－"</f>
        <v>－</v>
      </c>
      <c r="N449" s="5" t="s">
        <v>268</v>
      </c>
      <c r="O449" s="23" t="str">
        <f>"－"</f>
        <v>－</v>
      </c>
      <c r="P449" s="3" t="s">
        <v>247</v>
      </c>
      <c r="Q449" s="21"/>
      <c r="R449" s="3" t="s">
        <v>247</v>
      </c>
      <c r="S449" s="21" t="str">
        <f>"－"</f>
        <v>－</v>
      </c>
      <c r="T449" s="21" t="str">
        <f>"－"</f>
        <v>－</v>
      </c>
      <c r="U449" s="5" t="s">
        <v>268</v>
      </c>
      <c r="V449" s="23" t="str">
        <f>"－"</f>
        <v>－</v>
      </c>
      <c r="W449" s="5" t="s">
        <v>268</v>
      </c>
      <c r="X449" s="23" t="str">
        <f>"－"</f>
        <v>－</v>
      </c>
      <c r="Y449" s="23"/>
      <c r="Z449" s="21" t="str">
        <f>"－"</f>
        <v>－</v>
      </c>
      <c r="AA449" s="21" t="str">
        <f>"－"</f>
        <v>－</v>
      </c>
      <c r="AB449" s="4" t="s">
        <v>268</v>
      </c>
      <c r="AC449" s="22" t="str">
        <f>"－"</f>
        <v>－</v>
      </c>
      <c r="AD449" s="5" t="s">
        <v>268</v>
      </c>
      <c r="AE449" s="23" t="str">
        <f>"－"</f>
        <v>－</v>
      </c>
    </row>
    <row r="450">
      <c r="A450" s="24" t="s">
        <v>1095</v>
      </c>
      <c r="B450" s="25" t="s">
        <v>1096</v>
      </c>
      <c r="C450" s="26"/>
      <c r="D450" s="27"/>
      <c r="E450" s="28" t="s">
        <v>389</v>
      </c>
      <c r="F450" s="20" t="n">
        <f>124</f>
        <v>124.0</v>
      </c>
      <c r="G450" s="21" t="str">
        <f>"－"</f>
        <v>－</v>
      </c>
      <c r="H450" s="21"/>
      <c r="I450" s="21" t="str">
        <f>"－"</f>
        <v>－</v>
      </c>
      <c r="J450" s="21" t="str">
        <f>"－"</f>
        <v>－</v>
      </c>
      <c r="K450" s="21" t="str">
        <f>"－"</f>
        <v>－</v>
      </c>
      <c r="L450" s="4" t="s">
        <v>263</v>
      </c>
      <c r="M450" s="22" t="str">
        <f>"－"</f>
        <v>－</v>
      </c>
      <c r="N450" s="5" t="s">
        <v>263</v>
      </c>
      <c r="O450" s="23" t="str">
        <f>"－"</f>
        <v>－</v>
      </c>
      <c r="P450" s="3" t="s">
        <v>247</v>
      </c>
      <c r="Q450" s="21"/>
      <c r="R450" s="3" t="s">
        <v>247</v>
      </c>
      <c r="S450" s="21" t="str">
        <f>"－"</f>
        <v>－</v>
      </c>
      <c r="T450" s="21" t="str">
        <f>"－"</f>
        <v>－</v>
      </c>
      <c r="U450" s="5" t="s">
        <v>263</v>
      </c>
      <c r="V450" s="23" t="str">
        <f>"－"</f>
        <v>－</v>
      </c>
      <c r="W450" s="5" t="s">
        <v>263</v>
      </c>
      <c r="X450" s="23" t="str">
        <f>"－"</f>
        <v>－</v>
      </c>
      <c r="Y450" s="23"/>
      <c r="Z450" s="21" t="str">
        <f>"－"</f>
        <v>－</v>
      </c>
      <c r="AA450" s="21" t="str">
        <f>"－"</f>
        <v>－</v>
      </c>
      <c r="AB450" s="4" t="s">
        <v>263</v>
      </c>
      <c r="AC450" s="22" t="str">
        <f>"－"</f>
        <v>－</v>
      </c>
      <c r="AD450" s="5" t="s">
        <v>263</v>
      </c>
      <c r="AE450" s="23" t="str">
        <f>"－"</f>
        <v>－</v>
      </c>
    </row>
    <row r="451">
      <c r="A451" s="24" t="s">
        <v>1095</v>
      </c>
      <c r="B451" s="25" t="s">
        <v>1096</v>
      </c>
      <c r="C451" s="26"/>
      <c r="D451" s="27"/>
      <c r="E451" s="28" t="s">
        <v>393</v>
      </c>
      <c r="F451" s="20" t="n">
        <f>121</f>
        <v>121.0</v>
      </c>
      <c r="G451" s="21" t="str">
        <f>"－"</f>
        <v>－</v>
      </c>
      <c r="H451" s="21"/>
      <c r="I451" s="21" t="str">
        <f>"－"</f>
        <v>－</v>
      </c>
      <c r="J451" s="21" t="str">
        <f>"－"</f>
        <v>－</v>
      </c>
      <c r="K451" s="21" t="str">
        <f>"－"</f>
        <v>－</v>
      </c>
      <c r="L451" s="4" t="s">
        <v>279</v>
      </c>
      <c r="M451" s="22" t="str">
        <f>"－"</f>
        <v>－</v>
      </c>
      <c r="N451" s="5" t="s">
        <v>279</v>
      </c>
      <c r="O451" s="23" t="str">
        <f>"－"</f>
        <v>－</v>
      </c>
      <c r="P451" s="3" t="s">
        <v>247</v>
      </c>
      <c r="Q451" s="21"/>
      <c r="R451" s="3" t="s">
        <v>247</v>
      </c>
      <c r="S451" s="21" t="str">
        <f>"－"</f>
        <v>－</v>
      </c>
      <c r="T451" s="21" t="str">
        <f>"－"</f>
        <v>－</v>
      </c>
      <c r="U451" s="5" t="s">
        <v>279</v>
      </c>
      <c r="V451" s="23" t="str">
        <f>"－"</f>
        <v>－</v>
      </c>
      <c r="W451" s="5" t="s">
        <v>279</v>
      </c>
      <c r="X451" s="23" t="str">
        <f>"－"</f>
        <v>－</v>
      </c>
      <c r="Y451" s="23"/>
      <c r="Z451" s="21" t="str">
        <f>"－"</f>
        <v>－</v>
      </c>
      <c r="AA451" s="21" t="str">
        <f>"－"</f>
        <v>－</v>
      </c>
      <c r="AB451" s="4" t="s">
        <v>279</v>
      </c>
      <c r="AC451" s="22" t="str">
        <f>"－"</f>
        <v>－</v>
      </c>
      <c r="AD451" s="5" t="s">
        <v>279</v>
      </c>
      <c r="AE451" s="23" t="str">
        <f>"－"</f>
        <v>－</v>
      </c>
    </row>
    <row r="452">
      <c r="A452" s="24" t="s">
        <v>1095</v>
      </c>
      <c r="B452" s="25" t="s">
        <v>1096</v>
      </c>
      <c r="C452" s="26"/>
      <c r="D452" s="27"/>
      <c r="E452" s="28" t="s">
        <v>397</v>
      </c>
      <c r="F452" s="20" t="n">
        <f>125</f>
        <v>125.0</v>
      </c>
      <c r="G452" s="21" t="str">
        <f>"－"</f>
        <v>－</v>
      </c>
      <c r="H452" s="21"/>
      <c r="I452" s="21" t="str">
        <f>"－"</f>
        <v>－</v>
      </c>
      <c r="J452" s="21" t="str">
        <f>"－"</f>
        <v>－</v>
      </c>
      <c r="K452" s="21" t="str">
        <f>"－"</f>
        <v>－</v>
      </c>
      <c r="L452" s="4" t="s">
        <v>335</v>
      </c>
      <c r="M452" s="22" t="str">
        <f>"－"</f>
        <v>－</v>
      </c>
      <c r="N452" s="5" t="s">
        <v>335</v>
      </c>
      <c r="O452" s="23" t="str">
        <f>"－"</f>
        <v>－</v>
      </c>
      <c r="P452" s="3" t="s">
        <v>247</v>
      </c>
      <c r="Q452" s="21"/>
      <c r="R452" s="3" t="s">
        <v>247</v>
      </c>
      <c r="S452" s="21" t="str">
        <f>"－"</f>
        <v>－</v>
      </c>
      <c r="T452" s="21" t="str">
        <f>"－"</f>
        <v>－</v>
      </c>
      <c r="U452" s="5" t="s">
        <v>335</v>
      </c>
      <c r="V452" s="23" t="str">
        <f>"－"</f>
        <v>－</v>
      </c>
      <c r="W452" s="5" t="s">
        <v>335</v>
      </c>
      <c r="X452" s="23" t="str">
        <f>"－"</f>
        <v>－</v>
      </c>
      <c r="Y452" s="23"/>
      <c r="Z452" s="21" t="str">
        <f>"－"</f>
        <v>－</v>
      </c>
      <c r="AA452" s="21" t="str">
        <f>"－"</f>
        <v>－</v>
      </c>
      <c r="AB452" s="4" t="s">
        <v>335</v>
      </c>
      <c r="AC452" s="22" t="str">
        <f>"－"</f>
        <v>－</v>
      </c>
      <c r="AD452" s="5" t="s">
        <v>335</v>
      </c>
      <c r="AE452" s="23" t="str">
        <f>"－"</f>
        <v>－</v>
      </c>
    </row>
    <row r="453">
      <c r="A453" s="24" t="s">
        <v>1095</v>
      </c>
      <c r="B453" s="25" t="s">
        <v>1096</v>
      </c>
      <c r="C453" s="26"/>
      <c r="D453" s="27"/>
      <c r="E453" s="28" t="s">
        <v>401</v>
      </c>
      <c r="F453" s="20" t="n">
        <f>120</f>
        <v>120.0</v>
      </c>
      <c r="G453" s="21" t="str">
        <f>"－"</f>
        <v>－</v>
      </c>
      <c r="H453" s="21"/>
      <c r="I453" s="21" t="str">
        <f>"－"</f>
        <v>－</v>
      </c>
      <c r="J453" s="21" t="str">
        <f>"－"</f>
        <v>－</v>
      </c>
      <c r="K453" s="21" t="str">
        <f>"－"</f>
        <v>－</v>
      </c>
      <c r="L453" s="4" t="s">
        <v>279</v>
      </c>
      <c r="M453" s="22" t="str">
        <f>"－"</f>
        <v>－</v>
      </c>
      <c r="N453" s="5" t="s">
        <v>279</v>
      </c>
      <c r="O453" s="23" t="str">
        <f>"－"</f>
        <v>－</v>
      </c>
      <c r="P453" s="3" t="s">
        <v>247</v>
      </c>
      <c r="Q453" s="21"/>
      <c r="R453" s="3" t="s">
        <v>247</v>
      </c>
      <c r="S453" s="21" t="str">
        <f>"－"</f>
        <v>－</v>
      </c>
      <c r="T453" s="21" t="str">
        <f>"－"</f>
        <v>－</v>
      </c>
      <c r="U453" s="5" t="s">
        <v>279</v>
      </c>
      <c r="V453" s="23" t="str">
        <f>"－"</f>
        <v>－</v>
      </c>
      <c r="W453" s="5" t="s">
        <v>279</v>
      </c>
      <c r="X453" s="23" t="str">
        <f>"－"</f>
        <v>－</v>
      </c>
      <c r="Y453" s="23"/>
      <c r="Z453" s="21" t="str">
        <f>"－"</f>
        <v>－</v>
      </c>
      <c r="AA453" s="21" t="str">
        <f>"－"</f>
        <v>－</v>
      </c>
      <c r="AB453" s="4" t="s">
        <v>279</v>
      </c>
      <c r="AC453" s="22" t="str">
        <f>"－"</f>
        <v>－</v>
      </c>
      <c r="AD453" s="5" t="s">
        <v>279</v>
      </c>
      <c r="AE453" s="23" t="str">
        <f>"－"</f>
        <v>－</v>
      </c>
    </row>
    <row r="454">
      <c r="A454" s="24" t="s">
        <v>1095</v>
      </c>
      <c r="B454" s="25" t="s">
        <v>1096</v>
      </c>
      <c r="C454" s="26"/>
      <c r="D454" s="27"/>
      <c r="E454" s="28" t="s">
        <v>405</v>
      </c>
      <c r="F454" s="20" t="n">
        <f>123</f>
        <v>123.0</v>
      </c>
      <c r="G454" s="21" t="str">
        <f>"－"</f>
        <v>－</v>
      </c>
      <c r="H454" s="21"/>
      <c r="I454" s="21" t="str">
        <f>"－"</f>
        <v>－</v>
      </c>
      <c r="J454" s="21" t="str">
        <f>"－"</f>
        <v>－</v>
      </c>
      <c r="K454" s="21" t="str">
        <f>"－"</f>
        <v>－</v>
      </c>
      <c r="L454" s="4" t="s">
        <v>335</v>
      </c>
      <c r="M454" s="22" t="str">
        <f>"－"</f>
        <v>－</v>
      </c>
      <c r="N454" s="5" t="s">
        <v>335</v>
      </c>
      <c r="O454" s="23" t="str">
        <f>"－"</f>
        <v>－</v>
      </c>
      <c r="P454" s="3" t="s">
        <v>247</v>
      </c>
      <c r="Q454" s="21"/>
      <c r="R454" s="3" t="s">
        <v>247</v>
      </c>
      <c r="S454" s="21" t="str">
        <f>"－"</f>
        <v>－</v>
      </c>
      <c r="T454" s="21" t="str">
        <f>"－"</f>
        <v>－</v>
      </c>
      <c r="U454" s="5" t="s">
        <v>335</v>
      </c>
      <c r="V454" s="23" t="str">
        <f>"－"</f>
        <v>－</v>
      </c>
      <c r="W454" s="5" t="s">
        <v>335</v>
      </c>
      <c r="X454" s="23" t="str">
        <f>"－"</f>
        <v>－</v>
      </c>
      <c r="Y454" s="23"/>
      <c r="Z454" s="21" t="str">
        <f>"－"</f>
        <v>－</v>
      </c>
      <c r="AA454" s="21" t="str">
        <f>"－"</f>
        <v>－</v>
      </c>
      <c r="AB454" s="4" t="s">
        <v>335</v>
      </c>
      <c r="AC454" s="22" t="str">
        <f>"－"</f>
        <v>－</v>
      </c>
      <c r="AD454" s="5" t="s">
        <v>335</v>
      </c>
      <c r="AE454" s="23" t="str">
        <f>"－"</f>
        <v>－</v>
      </c>
    </row>
    <row r="455">
      <c r="A455" s="24" t="s">
        <v>1095</v>
      </c>
      <c r="B455" s="25" t="s">
        <v>1096</v>
      </c>
      <c r="C455" s="26"/>
      <c r="D455" s="27"/>
      <c r="E455" s="28" t="s">
        <v>409</v>
      </c>
      <c r="F455" s="20" t="n">
        <f>121</f>
        <v>121.0</v>
      </c>
      <c r="G455" s="21" t="str">
        <f>"－"</f>
        <v>－</v>
      </c>
      <c r="H455" s="21"/>
      <c r="I455" s="21" t="str">
        <f>"－"</f>
        <v>－</v>
      </c>
      <c r="J455" s="21" t="str">
        <f>"－"</f>
        <v>－</v>
      </c>
      <c r="K455" s="21" t="str">
        <f>"－"</f>
        <v>－</v>
      </c>
      <c r="L455" s="4" t="s">
        <v>279</v>
      </c>
      <c r="M455" s="22" t="str">
        <f>"－"</f>
        <v>－</v>
      </c>
      <c r="N455" s="5" t="s">
        <v>279</v>
      </c>
      <c r="O455" s="23" t="str">
        <f>"－"</f>
        <v>－</v>
      </c>
      <c r="P455" s="3" t="s">
        <v>247</v>
      </c>
      <c r="Q455" s="21"/>
      <c r="R455" s="3" t="s">
        <v>247</v>
      </c>
      <c r="S455" s="21" t="str">
        <f>"－"</f>
        <v>－</v>
      </c>
      <c r="T455" s="21" t="str">
        <f>"－"</f>
        <v>－</v>
      </c>
      <c r="U455" s="5" t="s">
        <v>279</v>
      </c>
      <c r="V455" s="23" t="str">
        <f>"－"</f>
        <v>－</v>
      </c>
      <c r="W455" s="5" t="s">
        <v>279</v>
      </c>
      <c r="X455" s="23" t="str">
        <f>"－"</f>
        <v>－</v>
      </c>
      <c r="Y455" s="23"/>
      <c r="Z455" s="21" t="str">
        <f>"－"</f>
        <v>－</v>
      </c>
      <c r="AA455" s="21" t="str">
        <f>"－"</f>
        <v>－</v>
      </c>
      <c r="AB455" s="4" t="s">
        <v>279</v>
      </c>
      <c r="AC455" s="22" t="str">
        <f>"－"</f>
        <v>－</v>
      </c>
      <c r="AD455" s="5" t="s">
        <v>279</v>
      </c>
      <c r="AE455" s="23" t="str">
        <f>"－"</f>
        <v>－</v>
      </c>
    </row>
    <row r="456">
      <c r="A456" s="24" t="s">
        <v>1095</v>
      </c>
      <c r="B456" s="25" t="s">
        <v>1096</v>
      </c>
      <c r="C456" s="26"/>
      <c r="D456" s="27"/>
      <c r="E456" s="28" t="s">
        <v>412</v>
      </c>
      <c r="F456" s="20" t="n">
        <f>124</f>
        <v>124.0</v>
      </c>
      <c r="G456" s="21" t="str">
        <f>"－"</f>
        <v>－</v>
      </c>
      <c r="H456" s="21"/>
      <c r="I456" s="21" t="str">
        <f>"－"</f>
        <v>－</v>
      </c>
      <c r="J456" s="21" t="str">
        <f>"－"</f>
        <v>－</v>
      </c>
      <c r="K456" s="21" t="str">
        <f>"－"</f>
        <v>－</v>
      </c>
      <c r="L456" s="4" t="s">
        <v>335</v>
      </c>
      <c r="M456" s="22" t="str">
        <f>"－"</f>
        <v>－</v>
      </c>
      <c r="N456" s="5" t="s">
        <v>335</v>
      </c>
      <c r="O456" s="23" t="str">
        <f>"－"</f>
        <v>－</v>
      </c>
      <c r="P456" s="3" t="s">
        <v>247</v>
      </c>
      <c r="Q456" s="21"/>
      <c r="R456" s="3" t="s">
        <v>247</v>
      </c>
      <c r="S456" s="21" t="str">
        <f>"－"</f>
        <v>－</v>
      </c>
      <c r="T456" s="21" t="str">
        <f>"－"</f>
        <v>－</v>
      </c>
      <c r="U456" s="5" t="s">
        <v>335</v>
      </c>
      <c r="V456" s="23" t="str">
        <f>"－"</f>
        <v>－</v>
      </c>
      <c r="W456" s="5" t="s">
        <v>335</v>
      </c>
      <c r="X456" s="23" t="str">
        <f>"－"</f>
        <v>－</v>
      </c>
      <c r="Y456" s="23"/>
      <c r="Z456" s="21" t="str">
        <f>"－"</f>
        <v>－</v>
      </c>
      <c r="AA456" s="21" t="str">
        <f>"－"</f>
        <v>－</v>
      </c>
      <c r="AB456" s="4" t="s">
        <v>335</v>
      </c>
      <c r="AC456" s="22" t="str">
        <f>"－"</f>
        <v>－</v>
      </c>
      <c r="AD456" s="5" t="s">
        <v>335</v>
      </c>
      <c r="AE456" s="23" t="str">
        <f>"－"</f>
        <v>－</v>
      </c>
    </row>
    <row r="457">
      <c r="A457" s="24" t="s">
        <v>1095</v>
      </c>
      <c r="B457" s="25" t="s">
        <v>1096</v>
      </c>
      <c r="C457" s="26"/>
      <c r="D457" s="27"/>
      <c r="E457" s="28" t="s">
        <v>415</v>
      </c>
      <c r="F457" s="20" t="n">
        <f>121</f>
        <v>121.0</v>
      </c>
      <c r="G457" s="21" t="str">
        <f>"－"</f>
        <v>－</v>
      </c>
      <c r="H457" s="21"/>
      <c r="I457" s="21" t="str">
        <f>"－"</f>
        <v>－</v>
      </c>
      <c r="J457" s="21" t="str">
        <f>"－"</f>
        <v>－</v>
      </c>
      <c r="K457" s="21" t="str">
        <f>"－"</f>
        <v>－</v>
      </c>
      <c r="L457" s="4" t="s">
        <v>279</v>
      </c>
      <c r="M457" s="22" t="str">
        <f>"－"</f>
        <v>－</v>
      </c>
      <c r="N457" s="5" t="s">
        <v>279</v>
      </c>
      <c r="O457" s="23" t="str">
        <f>"－"</f>
        <v>－</v>
      </c>
      <c r="P457" s="3" t="s">
        <v>247</v>
      </c>
      <c r="Q457" s="21"/>
      <c r="R457" s="3" t="s">
        <v>247</v>
      </c>
      <c r="S457" s="21" t="str">
        <f>"－"</f>
        <v>－</v>
      </c>
      <c r="T457" s="21" t="str">
        <f>"－"</f>
        <v>－</v>
      </c>
      <c r="U457" s="5" t="s">
        <v>279</v>
      </c>
      <c r="V457" s="23" t="str">
        <f>"－"</f>
        <v>－</v>
      </c>
      <c r="W457" s="5" t="s">
        <v>279</v>
      </c>
      <c r="X457" s="23" t="str">
        <f>"－"</f>
        <v>－</v>
      </c>
      <c r="Y457" s="23"/>
      <c r="Z457" s="21" t="str">
        <f>"－"</f>
        <v>－</v>
      </c>
      <c r="AA457" s="21" t="str">
        <f>"－"</f>
        <v>－</v>
      </c>
      <c r="AB457" s="4" t="s">
        <v>279</v>
      </c>
      <c r="AC457" s="22" t="str">
        <f>"－"</f>
        <v>－</v>
      </c>
      <c r="AD457" s="5" t="s">
        <v>279</v>
      </c>
      <c r="AE457" s="23" t="str">
        <f>"－"</f>
        <v>－</v>
      </c>
    </row>
    <row r="458">
      <c r="A458" s="24" t="s">
        <v>1095</v>
      </c>
      <c r="B458" s="25" t="s">
        <v>1096</v>
      </c>
      <c r="C458" s="26"/>
      <c r="D458" s="27"/>
      <c r="E458" s="28" t="s">
        <v>418</v>
      </c>
      <c r="F458" s="20" t="n">
        <f>124</f>
        <v>124.0</v>
      </c>
      <c r="G458" s="21" t="str">
        <f>"－"</f>
        <v>－</v>
      </c>
      <c r="H458" s="21"/>
      <c r="I458" s="21" t="str">
        <f>"－"</f>
        <v>－</v>
      </c>
      <c r="J458" s="21" t="str">
        <f>"－"</f>
        <v>－</v>
      </c>
      <c r="K458" s="21" t="str">
        <f>"－"</f>
        <v>－</v>
      </c>
      <c r="L458" s="4" t="s">
        <v>335</v>
      </c>
      <c r="M458" s="22" t="str">
        <f>"－"</f>
        <v>－</v>
      </c>
      <c r="N458" s="5" t="s">
        <v>335</v>
      </c>
      <c r="O458" s="23" t="str">
        <f>"－"</f>
        <v>－</v>
      </c>
      <c r="P458" s="3" t="s">
        <v>247</v>
      </c>
      <c r="Q458" s="21"/>
      <c r="R458" s="3" t="s">
        <v>247</v>
      </c>
      <c r="S458" s="21" t="str">
        <f>"－"</f>
        <v>－</v>
      </c>
      <c r="T458" s="21" t="str">
        <f>"－"</f>
        <v>－</v>
      </c>
      <c r="U458" s="5" t="s">
        <v>335</v>
      </c>
      <c r="V458" s="23" t="str">
        <f>"－"</f>
        <v>－</v>
      </c>
      <c r="W458" s="5" t="s">
        <v>335</v>
      </c>
      <c r="X458" s="23" t="str">
        <f>"－"</f>
        <v>－</v>
      </c>
      <c r="Y458" s="23"/>
      <c r="Z458" s="21" t="str">
        <f>"－"</f>
        <v>－</v>
      </c>
      <c r="AA458" s="21" t="str">
        <f>"－"</f>
        <v>－</v>
      </c>
      <c r="AB458" s="4" t="s">
        <v>335</v>
      </c>
      <c r="AC458" s="22" t="str">
        <f>"－"</f>
        <v>－</v>
      </c>
      <c r="AD458" s="5" t="s">
        <v>335</v>
      </c>
      <c r="AE458" s="23" t="str">
        <f>"－"</f>
        <v>－</v>
      </c>
    </row>
    <row r="459">
      <c r="A459" s="24" t="s">
        <v>1095</v>
      </c>
      <c r="B459" s="25" t="s">
        <v>1096</v>
      </c>
      <c r="C459" s="26"/>
      <c r="D459" s="27"/>
      <c r="E459" s="28" t="s">
        <v>422</v>
      </c>
      <c r="F459" s="20" t="n">
        <f>122</f>
        <v>122.0</v>
      </c>
      <c r="G459" s="21" t="str">
        <f>"－"</f>
        <v>－</v>
      </c>
      <c r="H459" s="21"/>
      <c r="I459" s="21" t="str">
        <f>"－"</f>
        <v>－</v>
      </c>
      <c r="J459" s="21" t="str">
        <f>"－"</f>
        <v>－</v>
      </c>
      <c r="K459" s="21" t="str">
        <f>"－"</f>
        <v>－</v>
      </c>
      <c r="L459" s="4" t="s">
        <v>82</v>
      </c>
      <c r="M459" s="22" t="str">
        <f>"－"</f>
        <v>－</v>
      </c>
      <c r="N459" s="5" t="s">
        <v>82</v>
      </c>
      <c r="O459" s="23" t="str">
        <f>"－"</f>
        <v>－</v>
      </c>
      <c r="P459" s="3" t="s">
        <v>247</v>
      </c>
      <c r="Q459" s="21"/>
      <c r="R459" s="3" t="s">
        <v>247</v>
      </c>
      <c r="S459" s="21" t="str">
        <f>"－"</f>
        <v>－</v>
      </c>
      <c r="T459" s="21" t="str">
        <f>"－"</f>
        <v>－</v>
      </c>
      <c r="U459" s="5" t="s">
        <v>82</v>
      </c>
      <c r="V459" s="23" t="str">
        <f>"－"</f>
        <v>－</v>
      </c>
      <c r="W459" s="5" t="s">
        <v>82</v>
      </c>
      <c r="X459" s="23" t="str">
        <f>"－"</f>
        <v>－</v>
      </c>
      <c r="Y459" s="23"/>
      <c r="Z459" s="21" t="str">
        <f>"－"</f>
        <v>－</v>
      </c>
      <c r="AA459" s="21" t="str">
        <f>"－"</f>
        <v>－</v>
      </c>
      <c r="AB459" s="4" t="s">
        <v>82</v>
      </c>
      <c r="AC459" s="22" t="str">
        <f>"－"</f>
        <v>－</v>
      </c>
      <c r="AD459" s="5" t="s">
        <v>82</v>
      </c>
      <c r="AE459" s="23" t="str">
        <f>"－"</f>
        <v>－</v>
      </c>
    </row>
    <row r="460">
      <c r="A460" s="24" t="s">
        <v>1095</v>
      </c>
      <c r="B460" s="25" t="s">
        <v>1096</v>
      </c>
      <c r="C460" s="26"/>
      <c r="D460" s="27"/>
      <c r="E460" s="28" t="s">
        <v>425</v>
      </c>
      <c r="F460" s="20" t="n">
        <f>125</f>
        <v>125.0</v>
      </c>
      <c r="G460" s="21" t="str">
        <f>"－"</f>
        <v>－</v>
      </c>
      <c r="H460" s="21"/>
      <c r="I460" s="21" t="str">
        <f>"－"</f>
        <v>－</v>
      </c>
      <c r="J460" s="21" t="str">
        <f>"－"</f>
        <v>－</v>
      </c>
      <c r="K460" s="21" t="str">
        <f>"－"</f>
        <v>－</v>
      </c>
      <c r="L460" s="4" t="s">
        <v>263</v>
      </c>
      <c r="M460" s="22" t="str">
        <f>"－"</f>
        <v>－</v>
      </c>
      <c r="N460" s="5" t="s">
        <v>263</v>
      </c>
      <c r="O460" s="23" t="str">
        <f>"－"</f>
        <v>－</v>
      </c>
      <c r="P460" s="3" t="s">
        <v>247</v>
      </c>
      <c r="Q460" s="21"/>
      <c r="R460" s="3" t="s">
        <v>247</v>
      </c>
      <c r="S460" s="21" t="str">
        <f>"－"</f>
        <v>－</v>
      </c>
      <c r="T460" s="21" t="str">
        <f>"－"</f>
        <v>－</v>
      </c>
      <c r="U460" s="5" t="s">
        <v>263</v>
      </c>
      <c r="V460" s="23" t="str">
        <f>"－"</f>
        <v>－</v>
      </c>
      <c r="W460" s="5" t="s">
        <v>263</v>
      </c>
      <c r="X460" s="23" t="str">
        <f>"－"</f>
        <v>－</v>
      </c>
      <c r="Y460" s="23"/>
      <c r="Z460" s="21" t="str">
        <f>"－"</f>
        <v>－</v>
      </c>
      <c r="AA460" s="21" t="str">
        <f>"－"</f>
        <v>－</v>
      </c>
      <c r="AB460" s="4" t="s">
        <v>263</v>
      </c>
      <c r="AC460" s="22" t="str">
        <f>"－"</f>
        <v>－</v>
      </c>
      <c r="AD460" s="5" t="s">
        <v>263</v>
      </c>
      <c r="AE460" s="23" t="str">
        <f>"－"</f>
        <v>－</v>
      </c>
    </row>
    <row r="461">
      <c r="A461" s="24" t="s">
        <v>1095</v>
      </c>
      <c r="B461" s="25" t="s">
        <v>1096</v>
      </c>
      <c r="C461" s="26"/>
      <c r="D461" s="27"/>
      <c r="E461" s="28" t="s">
        <v>428</v>
      </c>
      <c r="F461" s="20" t="n">
        <f>120</f>
        <v>120.0</v>
      </c>
      <c r="G461" s="21" t="str">
        <f>"－"</f>
        <v>－</v>
      </c>
      <c r="H461" s="21"/>
      <c r="I461" s="21" t="str">
        <f>"－"</f>
        <v>－</v>
      </c>
      <c r="J461" s="21" t="str">
        <f>"－"</f>
        <v>－</v>
      </c>
      <c r="K461" s="21" t="str">
        <f>"－"</f>
        <v>－</v>
      </c>
      <c r="L461" s="4" t="s">
        <v>279</v>
      </c>
      <c r="M461" s="22" t="str">
        <f>"－"</f>
        <v>－</v>
      </c>
      <c r="N461" s="5" t="s">
        <v>279</v>
      </c>
      <c r="O461" s="23" t="str">
        <f>"－"</f>
        <v>－</v>
      </c>
      <c r="P461" s="3" t="s">
        <v>247</v>
      </c>
      <c r="Q461" s="21"/>
      <c r="R461" s="3" t="s">
        <v>247</v>
      </c>
      <c r="S461" s="21" t="str">
        <f>"－"</f>
        <v>－</v>
      </c>
      <c r="T461" s="21" t="str">
        <f>"－"</f>
        <v>－</v>
      </c>
      <c r="U461" s="5" t="s">
        <v>279</v>
      </c>
      <c r="V461" s="23" t="str">
        <f>"－"</f>
        <v>－</v>
      </c>
      <c r="W461" s="5" t="s">
        <v>279</v>
      </c>
      <c r="X461" s="23" t="str">
        <f>"－"</f>
        <v>－</v>
      </c>
      <c r="Y461" s="23"/>
      <c r="Z461" s="21" t="str">
        <f>"－"</f>
        <v>－</v>
      </c>
      <c r="AA461" s="21" t="str">
        <f>"－"</f>
        <v>－</v>
      </c>
      <c r="AB461" s="4" t="s">
        <v>279</v>
      </c>
      <c r="AC461" s="22" t="str">
        <f>"－"</f>
        <v>－</v>
      </c>
      <c r="AD461" s="5" t="s">
        <v>279</v>
      </c>
      <c r="AE461" s="23" t="str">
        <f>"－"</f>
        <v>－</v>
      </c>
    </row>
    <row r="462">
      <c r="A462" s="24" t="s">
        <v>1095</v>
      </c>
      <c r="B462" s="25" t="s">
        <v>1096</v>
      </c>
      <c r="C462" s="26"/>
      <c r="D462" s="27"/>
      <c r="E462" s="28" t="s">
        <v>433</v>
      </c>
      <c r="F462" s="20" t="n">
        <f>125</f>
        <v>125.0</v>
      </c>
      <c r="G462" s="21" t="str">
        <f>"－"</f>
        <v>－</v>
      </c>
      <c r="H462" s="21"/>
      <c r="I462" s="21" t="str">
        <f>"－"</f>
        <v>－</v>
      </c>
      <c r="J462" s="21" t="str">
        <f>"－"</f>
        <v>－</v>
      </c>
      <c r="K462" s="21" t="str">
        <f>"－"</f>
        <v>－</v>
      </c>
      <c r="L462" s="4" t="s">
        <v>335</v>
      </c>
      <c r="M462" s="22" t="str">
        <f>"－"</f>
        <v>－</v>
      </c>
      <c r="N462" s="5" t="s">
        <v>335</v>
      </c>
      <c r="O462" s="23" t="str">
        <f>"－"</f>
        <v>－</v>
      </c>
      <c r="P462" s="3" t="s">
        <v>247</v>
      </c>
      <c r="Q462" s="21"/>
      <c r="R462" s="3" t="s">
        <v>247</v>
      </c>
      <c r="S462" s="21" t="str">
        <f>"－"</f>
        <v>－</v>
      </c>
      <c r="T462" s="21" t="str">
        <f>"－"</f>
        <v>－</v>
      </c>
      <c r="U462" s="5" t="s">
        <v>335</v>
      </c>
      <c r="V462" s="23" t="str">
        <f>"－"</f>
        <v>－</v>
      </c>
      <c r="W462" s="5" t="s">
        <v>335</v>
      </c>
      <c r="X462" s="23" t="str">
        <f>"－"</f>
        <v>－</v>
      </c>
      <c r="Y462" s="23"/>
      <c r="Z462" s="21" t="str">
        <f>"－"</f>
        <v>－</v>
      </c>
      <c r="AA462" s="21" t="str">
        <f>"－"</f>
        <v>－</v>
      </c>
      <c r="AB462" s="4" t="s">
        <v>335</v>
      </c>
      <c r="AC462" s="22" t="str">
        <f>"－"</f>
        <v>－</v>
      </c>
      <c r="AD462" s="5" t="s">
        <v>335</v>
      </c>
      <c r="AE462" s="23" t="str">
        <f>"－"</f>
        <v>－</v>
      </c>
    </row>
    <row r="463">
      <c r="A463" s="24" t="s">
        <v>1095</v>
      </c>
      <c r="B463" s="25" t="s">
        <v>1096</v>
      </c>
      <c r="C463" s="26"/>
      <c r="D463" s="27"/>
      <c r="E463" s="28" t="s">
        <v>437</v>
      </c>
      <c r="F463" s="20" t="n">
        <f>120</f>
        <v>120.0</v>
      </c>
      <c r="G463" s="21" t="str">
        <f>"－"</f>
        <v>－</v>
      </c>
      <c r="H463" s="21"/>
      <c r="I463" s="21" t="str">
        <f>"－"</f>
        <v>－</v>
      </c>
      <c r="J463" s="21" t="str">
        <f>"－"</f>
        <v>－</v>
      </c>
      <c r="K463" s="21" t="str">
        <f>"－"</f>
        <v>－</v>
      </c>
      <c r="L463" s="4" t="s">
        <v>279</v>
      </c>
      <c r="M463" s="22" t="str">
        <f>"－"</f>
        <v>－</v>
      </c>
      <c r="N463" s="5" t="s">
        <v>279</v>
      </c>
      <c r="O463" s="23" t="str">
        <f>"－"</f>
        <v>－</v>
      </c>
      <c r="P463" s="3" t="s">
        <v>247</v>
      </c>
      <c r="Q463" s="21"/>
      <c r="R463" s="3" t="s">
        <v>247</v>
      </c>
      <c r="S463" s="21" t="str">
        <f>"－"</f>
        <v>－</v>
      </c>
      <c r="T463" s="21" t="str">
        <f>"－"</f>
        <v>－</v>
      </c>
      <c r="U463" s="5" t="s">
        <v>279</v>
      </c>
      <c r="V463" s="23" t="str">
        <f>"－"</f>
        <v>－</v>
      </c>
      <c r="W463" s="5" t="s">
        <v>279</v>
      </c>
      <c r="X463" s="23" t="str">
        <f>"－"</f>
        <v>－</v>
      </c>
      <c r="Y463" s="23"/>
      <c r="Z463" s="21" t="str">
        <f>"－"</f>
        <v>－</v>
      </c>
      <c r="AA463" s="21" t="str">
        <f>"－"</f>
        <v>－</v>
      </c>
      <c r="AB463" s="4" t="s">
        <v>279</v>
      </c>
      <c r="AC463" s="22" t="str">
        <f>"－"</f>
        <v>－</v>
      </c>
      <c r="AD463" s="5" t="s">
        <v>279</v>
      </c>
      <c r="AE463" s="23" t="str">
        <f>"－"</f>
        <v>－</v>
      </c>
    </row>
    <row r="464">
      <c r="A464" s="24" t="s">
        <v>1095</v>
      </c>
      <c r="B464" s="25" t="s">
        <v>1096</v>
      </c>
      <c r="C464" s="26"/>
      <c r="D464" s="27"/>
      <c r="E464" s="28" t="s">
        <v>441</v>
      </c>
      <c r="F464" s="20" t="n">
        <f>125</f>
        <v>125.0</v>
      </c>
      <c r="G464" s="21" t="str">
        <f>"－"</f>
        <v>－</v>
      </c>
      <c r="H464" s="21"/>
      <c r="I464" s="21" t="str">
        <f>"－"</f>
        <v>－</v>
      </c>
      <c r="J464" s="21" t="str">
        <f>"－"</f>
        <v>－</v>
      </c>
      <c r="K464" s="21" t="str">
        <f>"－"</f>
        <v>－</v>
      </c>
      <c r="L464" s="4" t="s">
        <v>335</v>
      </c>
      <c r="M464" s="22" t="str">
        <f>"－"</f>
        <v>－</v>
      </c>
      <c r="N464" s="5" t="s">
        <v>335</v>
      </c>
      <c r="O464" s="23" t="str">
        <f>"－"</f>
        <v>－</v>
      </c>
      <c r="P464" s="3" t="s">
        <v>247</v>
      </c>
      <c r="Q464" s="21"/>
      <c r="R464" s="3" t="s">
        <v>247</v>
      </c>
      <c r="S464" s="21" t="str">
        <f>"－"</f>
        <v>－</v>
      </c>
      <c r="T464" s="21" t="str">
        <f>"－"</f>
        <v>－</v>
      </c>
      <c r="U464" s="5" t="s">
        <v>335</v>
      </c>
      <c r="V464" s="23" t="str">
        <f>"－"</f>
        <v>－</v>
      </c>
      <c r="W464" s="5" t="s">
        <v>335</v>
      </c>
      <c r="X464" s="23" t="str">
        <f>"－"</f>
        <v>－</v>
      </c>
      <c r="Y464" s="23"/>
      <c r="Z464" s="21" t="str">
        <f>"－"</f>
        <v>－</v>
      </c>
      <c r="AA464" s="21" t="str">
        <f>"－"</f>
        <v>－</v>
      </c>
      <c r="AB464" s="4" t="s">
        <v>335</v>
      </c>
      <c r="AC464" s="22" t="str">
        <f>"－"</f>
        <v>－</v>
      </c>
      <c r="AD464" s="5" t="s">
        <v>335</v>
      </c>
      <c r="AE464" s="23" t="str">
        <f>"－"</f>
        <v>－</v>
      </c>
    </row>
    <row r="465">
      <c r="A465" s="24" t="s">
        <v>1095</v>
      </c>
      <c r="B465" s="25" t="s">
        <v>1096</v>
      </c>
      <c r="C465" s="26"/>
      <c r="D465" s="27"/>
      <c r="E465" s="28" t="s">
        <v>48</v>
      </c>
      <c r="F465" s="20" t="n">
        <f>121</f>
        <v>121.0</v>
      </c>
      <c r="G465" s="21" t="str">
        <f>"－"</f>
        <v>－</v>
      </c>
      <c r="H465" s="21"/>
      <c r="I465" s="21" t="str">
        <f>"－"</f>
        <v>－</v>
      </c>
      <c r="J465" s="21" t="str">
        <f>"－"</f>
        <v>－</v>
      </c>
      <c r="K465" s="21" t="str">
        <f>"－"</f>
        <v>－</v>
      </c>
      <c r="L465" s="4" t="s">
        <v>279</v>
      </c>
      <c r="M465" s="22" t="str">
        <f>"－"</f>
        <v>－</v>
      </c>
      <c r="N465" s="5" t="s">
        <v>279</v>
      </c>
      <c r="O465" s="23" t="str">
        <f>"－"</f>
        <v>－</v>
      </c>
      <c r="P465" s="3" t="s">
        <v>247</v>
      </c>
      <c r="Q465" s="21"/>
      <c r="R465" s="3" t="s">
        <v>247</v>
      </c>
      <c r="S465" s="21" t="str">
        <f>"－"</f>
        <v>－</v>
      </c>
      <c r="T465" s="21" t="str">
        <f>"－"</f>
        <v>－</v>
      </c>
      <c r="U465" s="5" t="s">
        <v>279</v>
      </c>
      <c r="V465" s="23" t="str">
        <f>"－"</f>
        <v>－</v>
      </c>
      <c r="W465" s="5" t="s">
        <v>279</v>
      </c>
      <c r="X465" s="23" t="str">
        <f>"－"</f>
        <v>－</v>
      </c>
      <c r="Y465" s="23"/>
      <c r="Z465" s="21" t="str">
        <f>"－"</f>
        <v>－</v>
      </c>
      <c r="AA465" s="21" t="str">
        <f>"－"</f>
        <v>－</v>
      </c>
      <c r="AB465" s="4" t="s">
        <v>279</v>
      </c>
      <c r="AC465" s="22" t="str">
        <f>"－"</f>
        <v>－</v>
      </c>
      <c r="AD465" s="5" t="s">
        <v>279</v>
      </c>
      <c r="AE465" s="23" t="str">
        <f>"－"</f>
        <v>－</v>
      </c>
    </row>
    <row r="466">
      <c r="A466" s="24" t="s">
        <v>1095</v>
      </c>
      <c r="B466" s="25" t="s">
        <v>1096</v>
      </c>
      <c r="C466" s="26"/>
      <c r="D466" s="27"/>
      <c r="E466" s="28" t="s">
        <v>56</v>
      </c>
      <c r="F466" s="20" t="n">
        <f>123</f>
        <v>123.0</v>
      </c>
      <c r="G466" s="21" t="str">
        <f>"－"</f>
        <v>－</v>
      </c>
      <c r="H466" s="21"/>
      <c r="I466" s="21" t="str">
        <f>"－"</f>
        <v>－</v>
      </c>
      <c r="J466" s="21" t="str">
        <f>"－"</f>
        <v>－</v>
      </c>
      <c r="K466" s="21" t="str">
        <f>"－"</f>
        <v>－</v>
      </c>
      <c r="L466" s="4" t="s">
        <v>335</v>
      </c>
      <c r="M466" s="22" t="str">
        <f>"－"</f>
        <v>－</v>
      </c>
      <c r="N466" s="5" t="s">
        <v>335</v>
      </c>
      <c r="O466" s="23" t="str">
        <f>"－"</f>
        <v>－</v>
      </c>
      <c r="P466" s="3" t="s">
        <v>247</v>
      </c>
      <c r="Q466" s="21"/>
      <c r="R466" s="3" t="s">
        <v>247</v>
      </c>
      <c r="S466" s="21" t="str">
        <f>"－"</f>
        <v>－</v>
      </c>
      <c r="T466" s="21" t="str">
        <f>"－"</f>
        <v>－</v>
      </c>
      <c r="U466" s="5" t="s">
        <v>335</v>
      </c>
      <c r="V466" s="23" t="str">
        <f>"－"</f>
        <v>－</v>
      </c>
      <c r="W466" s="5" t="s">
        <v>335</v>
      </c>
      <c r="X466" s="23" t="str">
        <f>"－"</f>
        <v>－</v>
      </c>
      <c r="Y466" s="23"/>
      <c r="Z466" s="21" t="str">
        <f>"－"</f>
        <v>－</v>
      </c>
      <c r="AA466" s="21" t="str">
        <f>"－"</f>
        <v>－</v>
      </c>
      <c r="AB466" s="4" t="s">
        <v>335</v>
      </c>
      <c r="AC466" s="22" t="str">
        <f>"－"</f>
        <v>－</v>
      </c>
      <c r="AD466" s="5" t="s">
        <v>335</v>
      </c>
      <c r="AE466" s="23" t="str">
        <f>"－"</f>
        <v>－</v>
      </c>
    </row>
    <row r="467">
      <c r="A467" s="24" t="s">
        <v>1095</v>
      </c>
      <c r="B467" s="25" t="s">
        <v>1096</v>
      </c>
      <c r="C467" s="26"/>
      <c r="D467" s="27"/>
      <c r="E467" s="28" t="s">
        <v>63</v>
      </c>
      <c r="F467" s="20" t="n">
        <f>122</f>
        <v>122.0</v>
      </c>
      <c r="G467" s="21" t="str">
        <f>"－"</f>
        <v>－</v>
      </c>
      <c r="H467" s="21"/>
      <c r="I467" s="21" t="str">
        <f>"－"</f>
        <v>－</v>
      </c>
      <c r="J467" s="21" t="str">
        <f>"－"</f>
        <v>－</v>
      </c>
      <c r="K467" s="21" t="str">
        <f>"－"</f>
        <v>－</v>
      </c>
      <c r="L467" s="4" t="s">
        <v>279</v>
      </c>
      <c r="M467" s="22" t="str">
        <f>"－"</f>
        <v>－</v>
      </c>
      <c r="N467" s="5" t="s">
        <v>279</v>
      </c>
      <c r="O467" s="23" t="str">
        <f>"－"</f>
        <v>－</v>
      </c>
      <c r="P467" s="3" t="s">
        <v>247</v>
      </c>
      <c r="Q467" s="21"/>
      <c r="R467" s="3" t="s">
        <v>247</v>
      </c>
      <c r="S467" s="21" t="str">
        <f>"－"</f>
        <v>－</v>
      </c>
      <c r="T467" s="21" t="str">
        <f>"－"</f>
        <v>－</v>
      </c>
      <c r="U467" s="5" t="s">
        <v>279</v>
      </c>
      <c r="V467" s="23" t="str">
        <f>"－"</f>
        <v>－</v>
      </c>
      <c r="W467" s="5" t="s">
        <v>279</v>
      </c>
      <c r="X467" s="23" t="str">
        <f>"－"</f>
        <v>－</v>
      </c>
      <c r="Y467" s="23"/>
      <c r="Z467" s="21" t="str">
        <f>"－"</f>
        <v>－</v>
      </c>
      <c r="AA467" s="21" t="str">
        <f>"－"</f>
        <v>－</v>
      </c>
      <c r="AB467" s="4" t="s">
        <v>279</v>
      </c>
      <c r="AC467" s="22" t="str">
        <f>"－"</f>
        <v>－</v>
      </c>
      <c r="AD467" s="5" t="s">
        <v>279</v>
      </c>
      <c r="AE467" s="23" t="str">
        <f>"－"</f>
        <v>－</v>
      </c>
    </row>
    <row r="468">
      <c r="A468" s="24" t="s">
        <v>1095</v>
      </c>
      <c r="B468" s="25" t="s">
        <v>1096</v>
      </c>
      <c r="C468" s="26"/>
      <c r="D468" s="27"/>
      <c r="E468" s="28" t="s">
        <v>70</v>
      </c>
      <c r="F468" s="20" t="n">
        <f>123</f>
        <v>123.0</v>
      </c>
      <c r="G468" s="21" t="str">
        <f>"－"</f>
        <v>－</v>
      </c>
      <c r="H468" s="21"/>
      <c r="I468" s="21" t="str">
        <f>"－"</f>
        <v>－</v>
      </c>
      <c r="J468" s="21" t="str">
        <f>"－"</f>
        <v>－</v>
      </c>
      <c r="K468" s="21" t="str">
        <f>"－"</f>
        <v>－</v>
      </c>
      <c r="L468" s="4" t="s">
        <v>335</v>
      </c>
      <c r="M468" s="22" t="str">
        <f>"－"</f>
        <v>－</v>
      </c>
      <c r="N468" s="5" t="s">
        <v>335</v>
      </c>
      <c r="O468" s="23" t="str">
        <f>"－"</f>
        <v>－</v>
      </c>
      <c r="P468" s="3" t="s">
        <v>247</v>
      </c>
      <c r="Q468" s="21"/>
      <c r="R468" s="3" t="s">
        <v>247</v>
      </c>
      <c r="S468" s="21" t="str">
        <f>"－"</f>
        <v>－</v>
      </c>
      <c r="T468" s="21" t="str">
        <f>"－"</f>
        <v>－</v>
      </c>
      <c r="U468" s="5" t="s">
        <v>335</v>
      </c>
      <c r="V468" s="23" t="str">
        <f>"－"</f>
        <v>－</v>
      </c>
      <c r="W468" s="5" t="s">
        <v>335</v>
      </c>
      <c r="X468" s="23" t="str">
        <f>"－"</f>
        <v>－</v>
      </c>
      <c r="Y468" s="23"/>
      <c r="Z468" s="21" t="str">
        <f>"－"</f>
        <v>－</v>
      </c>
      <c r="AA468" s="21" t="str">
        <f>"－"</f>
        <v>－</v>
      </c>
      <c r="AB468" s="4" t="s">
        <v>335</v>
      </c>
      <c r="AC468" s="22" t="str">
        <f>"－"</f>
        <v>－</v>
      </c>
      <c r="AD468" s="5" t="s">
        <v>335</v>
      </c>
      <c r="AE468" s="23" t="str">
        <f>"－"</f>
        <v>－</v>
      </c>
    </row>
    <row r="469">
      <c r="A469" s="24" t="s">
        <v>1095</v>
      </c>
      <c r="B469" s="25" t="s">
        <v>1096</v>
      </c>
      <c r="C469" s="26"/>
      <c r="D469" s="27"/>
      <c r="E469" s="28" t="s">
        <v>77</v>
      </c>
      <c r="F469" s="20" t="n">
        <f>122</f>
        <v>122.0</v>
      </c>
      <c r="G469" s="21" t="str">
        <f>"－"</f>
        <v>－</v>
      </c>
      <c r="H469" s="21"/>
      <c r="I469" s="21" t="str">
        <f>"－"</f>
        <v>－</v>
      </c>
      <c r="J469" s="21" t="str">
        <f>"－"</f>
        <v>－</v>
      </c>
      <c r="K469" s="21" t="str">
        <f>"－"</f>
        <v>－</v>
      </c>
      <c r="L469" s="4" t="s">
        <v>82</v>
      </c>
      <c r="M469" s="22" t="str">
        <f>"－"</f>
        <v>－</v>
      </c>
      <c r="N469" s="5" t="s">
        <v>82</v>
      </c>
      <c r="O469" s="23" t="str">
        <f>"－"</f>
        <v>－</v>
      </c>
      <c r="P469" s="3" t="s">
        <v>247</v>
      </c>
      <c r="Q469" s="21"/>
      <c r="R469" s="3" t="s">
        <v>247</v>
      </c>
      <c r="S469" s="21" t="str">
        <f>"－"</f>
        <v>－</v>
      </c>
      <c r="T469" s="21" t="str">
        <f>"－"</f>
        <v>－</v>
      </c>
      <c r="U469" s="5" t="s">
        <v>82</v>
      </c>
      <c r="V469" s="23" t="str">
        <f>"－"</f>
        <v>－</v>
      </c>
      <c r="W469" s="5" t="s">
        <v>82</v>
      </c>
      <c r="X469" s="23" t="str">
        <f>"－"</f>
        <v>－</v>
      </c>
      <c r="Y469" s="23"/>
      <c r="Z469" s="21" t="str">
        <f>"－"</f>
        <v>－</v>
      </c>
      <c r="AA469" s="21" t="str">
        <f>"－"</f>
        <v>－</v>
      </c>
      <c r="AB469" s="4" t="s">
        <v>82</v>
      </c>
      <c r="AC469" s="22" t="str">
        <f>"－"</f>
        <v>－</v>
      </c>
      <c r="AD469" s="5" t="s">
        <v>82</v>
      </c>
      <c r="AE469" s="23" t="str">
        <f>"－"</f>
        <v>－</v>
      </c>
    </row>
    <row r="470">
      <c r="A470" s="24" t="s">
        <v>1095</v>
      </c>
      <c r="B470" s="25" t="s">
        <v>1096</v>
      </c>
      <c r="C470" s="26"/>
      <c r="D470" s="27"/>
      <c r="E470" s="28" t="s">
        <v>83</v>
      </c>
      <c r="F470" s="20" t="n">
        <f>124</f>
        <v>124.0</v>
      </c>
      <c r="G470" s="21" t="str">
        <f>"－"</f>
        <v>－</v>
      </c>
      <c r="H470" s="21"/>
      <c r="I470" s="21" t="str">
        <f>"－"</f>
        <v>－</v>
      </c>
      <c r="J470" s="21" t="str">
        <f>"－"</f>
        <v>－</v>
      </c>
      <c r="K470" s="21" t="str">
        <f>"－"</f>
        <v>－</v>
      </c>
      <c r="L470" s="4" t="s">
        <v>666</v>
      </c>
      <c r="M470" s="22" t="str">
        <f>"－"</f>
        <v>－</v>
      </c>
      <c r="N470" s="5" t="s">
        <v>666</v>
      </c>
      <c r="O470" s="23" t="str">
        <f>"－"</f>
        <v>－</v>
      </c>
      <c r="P470" s="3" t="s">
        <v>247</v>
      </c>
      <c r="Q470" s="21"/>
      <c r="R470" s="3" t="s">
        <v>247</v>
      </c>
      <c r="S470" s="21" t="str">
        <f>"－"</f>
        <v>－</v>
      </c>
      <c r="T470" s="21" t="str">
        <f>"－"</f>
        <v>－</v>
      </c>
      <c r="U470" s="5" t="s">
        <v>666</v>
      </c>
      <c r="V470" s="23" t="str">
        <f>"－"</f>
        <v>－</v>
      </c>
      <c r="W470" s="5" t="s">
        <v>666</v>
      </c>
      <c r="X470" s="23" t="str">
        <f>"－"</f>
        <v>－</v>
      </c>
      <c r="Y470" s="23"/>
      <c r="Z470" s="21" t="str">
        <f>"－"</f>
        <v>－</v>
      </c>
      <c r="AA470" s="21" t="str">
        <f>"－"</f>
        <v>－</v>
      </c>
      <c r="AB470" s="4" t="s">
        <v>666</v>
      </c>
      <c r="AC470" s="22" t="str">
        <f>"－"</f>
        <v>－</v>
      </c>
      <c r="AD470" s="5" t="s">
        <v>666</v>
      </c>
      <c r="AE470" s="23" t="str">
        <f>"－"</f>
        <v>－</v>
      </c>
    </row>
    <row r="471">
      <c r="A471" s="24" t="s">
        <v>1095</v>
      </c>
      <c r="B471" s="25" t="s">
        <v>1096</v>
      </c>
      <c r="C471" s="26"/>
      <c r="D471" s="27"/>
      <c r="E471" s="28" t="s">
        <v>89</v>
      </c>
      <c r="F471" s="20" t="n">
        <f>121</f>
        <v>121.0</v>
      </c>
      <c r="G471" s="21" t="str">
        <f>"－"</f>
        <v>－</v>
      </c>
      <c r="H471" s="21"/>
      <c r="I471" s="21" t="str">
        <f>"－"</f>
        <v>－</v>
      </c>
      <c r="J471" s="21" t="str">
        <f>"－"</f>
        <v>－</v>
      </c>
      <c r="K471" s="21" t="str">
        <f>"－"</f>
        <v>－</v>
      </c>
      <c r="L471" s="4" t="s">
        <v>268</v>
      </c>
      <c r="M471" s="22" t="str">
        <f>"－"</f>
        <v>－</v>
      </c>
      <c r="N471" s="5" t="s">
        <v>268</v>
      </c>
      <c r="O471" s="23" t="str">
        <f>"－"</f>
        <v>－</v>
      </c>
      <c r="P471" s="3" t="s">
        <v>247</v>
      </c>
      <c r="Q471" s="21"/>
      <c r="R471" s="3" t="s">
        <v>247</v>
      </c>
      <c r="S471" s="21" t="str">
        <f>"－"</f>
        <v>－</v>
      </c>
      <c r="T471" s="21" t="str">
        <f>"－"</f>
        <v>－</v>
      </c>
      <c r="U471" s="5" t="s">
        <v>268</v>
      </c>
      <c r="V471" s="23" t="str">
        <f>"－"</f>
        <v>－</v>
      </c>
      <c r="W471" s="5" t="s">
        <v>268</v>
      </c>
      <c r="X471" s="23" t="str">
        <f>"－"</f>
        <v>－</v>
      </c>
      <c r="Y471" s="23"/>
      <c r="Z471" s="21" t="str">
        <f>"－"</f>
        <v>－</v>
      </c>
      <c r="AA471" s="21" t="str">
        <f>"－"</f>
        <v>－</v>
      </c>
      <c r="AB471" s="4" t="s">
        <v>268</v>
      </c>
      <c r="AC471" s="22" t="str">
        <f>"－"</f>
        <v>－</v>
      </c>
      <c r="AD471" s="5" t="s">
        <v>268</v>
      </c>
      <c r="AE471" s="23" t="str">
        <f>"－"</f>
        <v>－</v>
      </c>
    </row>
    <row r="472">
      <c r="A472" s="24" t="s">
        <v>1095</v>
      </c>
      <c r="B472" s="25" t="s">
        <v>1096</v>
      </c>
      <c r="C472" s="26"/>
      <c r="D472" s="27"/>
      <c r="E472" s="28" t="s">
        <v>95</v>
      </c>
      <c r="F472" s="20" t="n">
        <f>124</f>
        <v>124.0</v>
      </c>
      <c r="G472" s="21" t="str">
        <f>"－"</f>
        <v>－</v>
      </c>
      <c r="H472" s="21"/>
      <c r="I472" s="21" t="str">
        <f>"－"</f>
        <v>－</v>
      </c>
      <c r="J472" s="21" t="str">
        <f>"－"</f>
        <v>－</v>
      </c>
      <c r="K472" s="21" t="str">
        <f>"－"</f>
        <v>－</v>
      </c>
      <c r="L472" s="4" t="s">
        <v>263</v>
      </c>
      <c r="M472" s="22" t="str">
        <f>"－"</f>
        <v>－</v>
      </c>
      <c r="N472" s="5" t="s">
        <v>263</v>
      </c>
      <c r="O472" s="23" t="str">
        <f>"－"</f>
        <v>－</v>
      </c>
      <c r="P472" s="3" t="s">
        <v>247</v>
      </c>
      <c r="Q472" s="21"/>
      <c r="R472" s="3" t="s">
        <v>247</v>
      </c>
      <c r="S472" s="21" t="str">
        <f>"－"</f>
        <v>－</v>
      </c>
      <c r="T472" s="21" t="str">
        <f>"－"</f>
        <v>－</v>
      </c>
      <c r="U472" s="5" t="s">
        <v>263</v>
      </c>
      <c r="V472" s="23" t="str">
        <f>"－"</f>
        <v>－</v>
      </c>
      <c r="W472" s="5" t="s">
        <v>263</v>
      </c>
      <c r="X472" s="23" t="str">
        <f>"－"</f>
        <v>－</v>
      </c>
      <c r="Y472" s="23"/>
      <c r="Z472" s="21" t="str">
        <f>"－"</f>
        <v>－</v>
      </c>
      <c r="AA472" s="21" t="str">
        <f>"－"</f>
        <v>－</v>
      </c>
      <c r="AB472" s="4" t="s">
        <v>263</v>
      </c>
      <c r="AC472" s="22" t="str">
        <f>"－"</f>
        <v>－</v>
      </c>
      <c r="AD472" s="5" t="s">
        <v>263</v>
      </c>
      <c r="AE472" s="23" t="str">
        <f>"－"</f>
        <v>－</v>
      </c>
    </row>
    <row r="473">
      <c r="A473" s="24" t="s">
        <v>1095</v>
      </c>
      <c r="B473" s="25" t="s">
        <v>1096</v>
      </c>
      <c r="C473" s="26"/>
      <c r="D473" s="27"/>
      <c r="E473" s="28" t="s">
        <v>101</v>
      </c>
      <c r="F473" s="20" t="n">
        <f>120</f>
        <v>120.0</v>
      </c>
      <c r="G473" s="21" t="str">
        <f>"－"</f>
        <v>－</v>
      </c>
      <c r="H473" s="21"/>
      <c r="I473" s="21" t="str">
        <f>"－"</f>
        <v>－</v>
      </c>
      <c r="J473" s="21" t="str">
        <f>"－"</f>
        <v>－</v>
      </c>
      <c r="K473" s="21" t="str">
        <f>"－"</f>
        <v>－</v>
      </c>
      <c r="L473" s="4" t="s">
        <v>279</v>
      </c>
      <c r="M473" s="22" t="str">
        <f>"－"</f>
        <v>－</v>
      </c>
      <c r="N473" s="5" t="s">
        <v>279</v>
      </c>
      <c r="O473" s="23" t="str">
        <f>"－"</f>
        <v>－</v>
      </c>
      <c r="P473" s="3" t="s">
        <v>247</v>
      </c>
      <c r="Q473" s="21"/>
      <c r="R473" s="3" t="s">
        <v>247</v>
      </c>
      <c r="S473" s="21" t="str">
        <f>"－"</f>
        <v>－</v>
      </c>
      <c r="T473" s="21" t="str">
        <f>"－"</f>
        <v>－</v>
      </c>
      <c r="U473" s="5" t="s">
        <v>279</v>
      </c>
      <c r="V473" s="23" t="str">
        <f>"－"</f>
        <v>－</v>
      </c>
      <c r="W473" s="5" t="s">
        <v>279</v>
      </c>
      <c r="X473" s="23" t="str">
        <f>"－"</f>
        <v>－</v>
      </c>
      <c r="Y473" s="23"/>
      <c r="Z473" s="21" t="str">
        <f>"－"</f>
        <v>－</v>
      </c>
      <c r="AA473" s="21" t="str">
        <f>"－"</f>
        <v>－</v>
      </c>
      <c r="AB473" s="4" t="s">
        <v>279</v>
      </c>
      <c r="AC473" s="22" t="str">
        <f>"－"</f>
        <v>－</v>
      </c>
      <c r="AD473" s="5" t="s">
        <v>279</v>
      </c>
      <c r="AE473" s="23" t="str">
        <f>"－"</f>
        <v>－</v>
      </c>
    </row>
    <row r="474">
      <c r="A474" s="24" t="s">
        <v>1095</v>
      </c>
      <c r="B474" s="25" t="s">
        <v>1096</v>
      </c>
      <c r="C474" s="26"/>
      <c r="D474" s="27"/>
      <c r="E474" s="28" t="s">
        <v>106</v>
      </c>
      <c r="F474" s="20" t="n">
        <f>121</f>
        <v>121.0</v>
      </c>
      <c r="G474" s="21" t="str">
        <f>"－"</f>
        <v>－</v>
      </c>
      <c r="H474" s="21"/>
      <c r="I474" s="21" t="str">
        <f>"－"</f>
        <v>－</v>
      </c>
      <c r="J474" s="21" t="str">
        <f>"－"</f>
        <v>－</v>
      </c>
      <c r="K474" s="21" t="str">
        <f>"－"</f>
        <v>－</v>
      </c>
      <c r="L474" s="4" t="s">
        <v>335</v>
      </c>
      <c r="M474" s="22" t="str">
        <f>"－"</f>
        <v>－</v>
      </c>
      <c r="N474" s="5" t="s">
        <v>335</v>
      </c>
      <c r="O474" s="23" t="str">
        <f>"－"</f>
        <v>－</v>
      </c>
      <c r="P474" s="3" t="s">
        <v>247</v>
      </c>
      <c r="Q474" s="21"/>
      <c r="R474" s="3" t="s">
        <v>247</v>
      </c>
      <c r="S474" s="21" t="str">
        <f>"－"</f>
        <v>－</v>
      </c>
      <c r="T474" s="21" t="str">
        <f>"－"</f>
        <v>－</v>
      </c>
      <c r="U474" s="5" t="s">
        <v>335</v>
      </c>
      <c r="V474" s="23" t="str">
        <f>"－"</f>
        <v>－</v>
      </c>
      <c r="W474" s="5" t="s">
        <v>335</v>
      </c>
      <c r="X474" s="23" t="str">
        <f>"－"</f>
        <v>－</v>
      </c>
      <c r="Y474" s="23"/>
      <c r="Z474" s="21" t="str">
        <f>"－"</f>
        <v>－</v>
      </c>
      <c r="AA474" s="21" t="str">
        <f>"－"</f>
        <v>－</v>
      </c>
      <c r="AB474" s="4" t="s">
        <v>335</v>
      </c>
      <c r="AC474" s="22" t="str">
        <f>"－"</f>
        <v>－</v>
      </c>
      <c r="AD474" s="5" t="s">
        <v>335</v>
      </c>
      <c r="AE474" s="23" t="str">
        <f>"－"</f>
        <v>－</v>
      </c>
    </row>
    <row r="475">
      <c r="A475" s="24" t="s">
        <v>1095</v>
      </c>
      <c r="B475" s="25" t="s">
        <v>1096</v>
      </c>
      <c r="C475" s="26"/>
      <c r="D475" s="27"/>
      <c r="E475" s="28" t="s">
        <v>112</v>
      </c>
      <c r="F475" s="20" t="n">
        <f>120</f>
        <v>120.0</v>
      </c>
      <c r="G475" s="21" t="str">
        <f>"－"</f>
        <v>－</v>
      </c>
      <c r="H475" s="21"/>
      <c r="I475" s="21" t="str">
        <f>"－"</f>
        <v>－</v>
      </c>
      <c r="J475" s="21" t="str">
        <f>"－"</f>
        <v>－</v>
      </c>
      <c r="K475" s="21" t="str">
        <f>"－"</f>
        <v>－</v>
      </c>
      <c r="L475" s="4" t="s">
        <v>279</v>
      </c>
      <c r="M475" s="22" t="str">
        <f>"－"</f>
        <v>－</v>
      </c>
      <c r="N475" s="5" t="s">
        <v>279</v>
      </c>
      <c r="O475" s="23" t="str">
        <f>"－"</f>
        <v>－</v>
      </c>
      <c r="P475" s="3" t="s">
        <v>247</v>
      </c>
      <c r="Q475" s="21"/>
      <c r="R475" s="3" t="s">
        <v>247</v>
      </c>
      <c r="S475" s="21" t="str">
        <f>"－"</f>
        <v>－</v>
      </c>
      <c r="T475" s="21" t="str">
        <f>"－"</f>
        <v>－</v>
      </c>
      <c r="U475" s="5" t="s">
        <v>279</v>
      </c>
      <c r="V475" s="23" t="str">
        <f>"－"</f>
        <v>－</v>
      </c>
      <c r="W475" s="5" t="s">
        <v>279</v>
      </c>
      <c r="X475" s="23" t="str">
        <f>"－"</f>
        <v>－</v>
      </c>
      <c r="Y475" s="23"/>
      <c r="Z475" s="21" t="str">
        <f>"－"</f>
        <v>－</v>
      </c>
      <c r="AA475" s="21" t="str">
        <f>"－"</f>
        <v>－</v>
      </c>
      <c r="AB475" s="4" t="s">
        <v>279</v>
      </c>
      <c r="AC475" s="22" t="str">
        <f>"－"</f>
        <v>－</v>
      </c>
      <c r="AD475" s="5" t="s">
        <v>279</v>
      </c>
      <c r="AE475" s="23" t="str">
        <f>"－"</f>
        <v>－</v>
      </c>
    </row>
    <row r="476">
      <c r="A476" s="24" t="s">
        <v>1095</v>
      </c>
      <c r="B476" s="25" t="s">
        <v>1096</v>
      </c>
      <c r="C476" s="26"/>
      <c r="D476" s="27"/>
      <c r="E476" s="28" t="s">
        <v>118</v>
      </c>
      <c r="F476" s="20" t="n">
        <f>122</f>
        <v>122.0</v>
      </c>
      <c r="G476" s="21" t="str">
        <f>"－"</f>
        <v>－</v>
      </c>
      <c r="H476" s="21"/>
      <c r="I476" s="21" t="str">
        <f>"－"</f>
        <v>－</v>
      </c>
      <c r="J476" s="21" t="str">
        <f>"－"</f>
        <v>－</v>
      </c>
      <c r="K476" s="21" t="str">
        <f>"－"</f>
        <v>－</v>
      </c>
      <c r="L476" s="4" t="s">
        <v>335</v>
      </c>
      <c r="M476" s="22" t="str">
        <f>"－"</f>
        <v>－</v>
      </c>
      <c r="N476" s="5" t="s">
        <v>335</v>
      </c>
      <c r="O476" s="23" t="str">
        <f>"－"</f>
        <v>－</v>
      </c>
      <c r="P476" s="3" t="s">
        <v>247</v>
      </c>
      <c r="Q476" s="21"/>
      <c r="R476" s="3" t="s">
        <v>247</v>
      </c>
      <c r="S476" s="21" t="str">
        <f>"－"</f>
        <v>－</v>
      </c>
      <c r="T476" s="21" t="str">
        <f>"－"</f>
        <v>－</v>
      </c>
      <c r="U476" s="5" t="s">
        <v>335</v>
      </c>
      <c r="V476" s="23" t="str">
        <f>"－"</f>
        <v>－</v>
      </c>
      <c r="W476" s="5" t="s">
        <v>335</v>
      </c>
      <c r="X476" s="23" t="str">
        <f>"－"</f>
        <v>－</v>
      </c>
      <c r="Y476" s="23"/>
      <c r="Z476" s="21" t="str">
        <f>"－"</f>
        <v>－</v>
      </c>
      <c r="AA476" s="21" t="str">
        <f>"－"</f>
        <v>－</v>
      </c>
      <c r="AB476" s="4" t="s">
        <v>335</v>
      </c>
      <c r="AC476" s="22" t="str">
        <f>"－"</f>
        <v>－</v>
      </c>
      <c r="AD476" s="5" t="s">
        <v>335</v>
      </c>
      <c r="AE476" s="23" t="str">
        <f>"－"</f>
        <v>－</v>
      </c>
    </row>
    <row r="477">
      <c r="A477" s="24" t="s">
        <v>1095</v>
      </c>
      <c r="B477" s="25" t="s">
        <v>1096</v>
      </c>
      <c r="C477" s="26"/>
      <c r="D477" s="27"/>
      <c r="E477" s="28" t="s">
        <v>124</v>
      </c>
      <c r="F477" s="20" t="n">
        <f>123</f>
        <v>123.0</v>
      </c>
      <c r="G477" s="21" t="str">
        <f>"－"</f>
        <v>－</v>
      </c>
      <c r="H477" s="21"/>
      <c r="I477" s="21" t="str">
        <f>"－"</f>
        <v>－</v>
      </c>
      <c r="J477" s="21" t="str">
        <f>"－"</f>
        <v>－</v>
      </c>
      <c r="K477" s="21" t="str">
        <f>"－"</f>
        <v>－</v>
      </c>
      <c r="L477" s="4" t="s">
        <v>279</v>
      </c>
      <c r="M477" s="22" t="str">
        <f>"－"</f>
        <v>－</v>
      </c>
      <c r="N477" s="5" t="s">
        <v>279</v>
      </c>
      <c r="O477" s="23" t="str">
        <f>"－"</f>
        <v>－</v>
      </c>
      <c r="P477" s="3" t="s">
        <v>247</v>
      </c>
      <c r="Q477" s="21"/>
      <c r="R477" s="3" t="s">
        <v>247</v>
      </c>
      <c r="S477" s="21" t="str">
        <f>"－"</f>
        <v>－</v>
      </c>
      <c r="T477" s="21" t="str">
        <f>"－"</f>
        <v>－</v>
      </c>
      <c r="U477" s="5" t="s">
        <v>279</v>
      </c>
      <c r="V477" s="23" t="str">
        <f>"－"</f>
        <v>－</v>
      </c>
      <c r="W477" s="5" t="s">
        <v>279</v>
      </c>
      <c r="X477" s="23" t="str">
        <f>"－"</f>
        <v>－</v>
      </c>
      <c r="Y477" s="23"/>
      <c r="Z477" s="21" t="str">
        <f>"－"</f>
        <v>－</v>
      </c>
      <c r="AA477" s="21" t="str">
        <f>"－"</f>
        <v>－</v>
      </c>
      <c r="AB477" s="4" t="s">
        <v>279</v>
      </c>
      <c r="AC477" s="22" t="str">
        <f>"－"</f>
        <v>－</v>
      </c>
      <c r="AD477" s="5" t="s">
        <v>279</v>
      </c>
      <c r="AE477" s="23" t="str">
        <f>"－"</f>
        <v>－</v>
      </c>
    </row>
    <row r="478">
      <c r="A478" s="24" t="s">
        <v>1095</v>
      </c>
      <c r="B478" s="25" t="s">
        <v>1096</v>
      </c>
      <c r="C478" s="26"/>
      <c r="D478" s="27"/>
      <c r="E478" s="28" t="s">
        <v>127</v>
      </c>
      <c r="F478" s="20" t="n">
        <f>122</f>
        <v>122.0</v>
      </c>
      <c r="G478" s="21" t="str">
        <f>"－"</f>
        <v>－</v>
      </c>
      <c r="H478" s="21"/>
      <c r="I478" s="21" t="str">
        <f>"－"</f>
        <v>－</v>
      </c>
      <c r="J478" s="21" t="str">
        <f>"－"</f>
        <v>－</v>
      </c>
      <c r="K478" s="21" t="str">
        <f>"－"</f>
        <v>－</v>
      </c>
      <c r="L478" s="4" t="s">
        <v>335</v>
      </c>
      <c r="M478" s="22" t="str">
        <f>"－"</f>
        <v>－</v>
      </c>
      <c r="N478" s="5" t="s">
        <v>335</v>
      </c>
      <c r="O478" s="23" t="str">
        <f>"－"</f>
        <v>－</v>
      </c>
      <c r="P478" s="3" t="s">
        <v>247</v>
      </c>
      <c r="Q478" s="21"/>
      <c r="R478" s="3" t="s">
        <v>247</v>
      </c>
      <c r="S478" s="21" t="str">
        <f>"－"</f>
        <v>－</v>
      </c>
      <c r="T478" s="21" t="str">
        <f>"－"</f>
        <v>－</v>
      </c>
      <c r="U478" s="5" t="s">
        <v>335</v>
      </c>
      <c r="V478" s="23" t="str">
        <f>"－"</f>
        <v>－</v>
      </c>
      <c r="W478" s="5" t="s">
        <v>335</v>
      </c>
      <c r="X478" s="23" t="str">
        <f>"－"</f>
        <v>－</v>
      </c>
      <c r="Y478" s="23"/>
      <c r="Z478" s="21" t="str">
        <f>"－"</f>
        <v>－</v>
      </c>
      <c r="AA478" s="21" t="str">
        <f>"－"</f>
        <v>－</v>
      </c>
      <c r="AB478" s="4" t="s">
        <v>335</v>
      </c>
      <c r="AC478" s="22" t="str">
        <f>"－"</f>
        <v>－</v>
      </c>
      <c r="AD478" s="5" t="s">
        <v>335</v>
      </c>
      <c r="AE478" s="23" t="str">
        <f>"－"</f>
        <v>－</v>
      </c>
    </row>
    <row r="479">
      <c r="A479" s="24" t="s">
        <v>1095</v>
      </c>
      <c r="B479" s="25" t="s">
        <v>1096</v>
      </c>
      <c r="C479" s="26"/>
      <c r="D479" s="27"/>
      <c r="E479" s="28" t="s">
        <v>133</v>
      </c>
      <c r="F479" s="20" t="n">
        <f>122</f>
        <v>122.0</v>
      </c>
      <c r="G479" s="21" t="str">
        <f>"－"</f>
        <v>－</v>
      </c>
      <c r="H479" s="21"/>
      <c r="I479" s="21" t="str">
        <f>"－"</f>
        <v>－</v>
      </c>
      <c r="J479" s="21" t="str">
        <f>"－"</f>
        <v>－</v>
      </c>
      <c r="K479" s="21" t="str">
        <f>"－"</f>
        <v>－</v>
      </c>
      <c r="L479" s="4" t="s">
        <v>279</v>
      </c>
      <c r="M479" s="22" t="str">
        <f>"－"</f>
        <v>－</v>
      </c>
      <c r="N479" s="5" t="s">
        <v>279</v>
      </c>
      <c r="O479" s="23" t="str">
        <f>"－"</f>
        <v>－</v>
      </c>
      <c r="P479" s="3" t="s">
        <v>247</v>
      </c>
      <c r="Q479" s="21"/>
      <c r="R479" s="3" t="s">
        <v>247</v>
      </c>
      <c r="S479" s="21" t="str">
        <f>"－"</f>
        <v>－</v>
      </c>
      <c r="T479" s="21" t="str">
        <f>"－"</f>
        <v>－</v>
      </c>
      <c r="U479" s="5" t="s">
        <v>279</v>
      </c>
      <c r="V479" s="23" t="str">
        <f>"－"</f>
        <v>－</v>
      </c>
      <c r="W479" s="5" t="s">
        <v>279</v>
      </c>
      <c r="X479" s="23" t="str">
        <f>"－"</f>
        <v>－</v>
      </c>
      <c r="Y479" s="23"/>
      <c r="Z479" s="21" t="str">
        <f>"－"</f>
        <v>－</v>
      </c>
      <c r="AA479" s="21" t="str">
        <f>"－"</f>
        <v>－</v>
      </c>
      <c r="AB479" s="4" t="s">
        <v>279</v>
      </c>
      <c r="AC479" s="22" t="str">
        <f>"－"</f>
        <v>－</v>
      </c>
      <c r="AD479" s="5" t="s">
        <v>279</v>
      </c>
      <c r="AE479" s="23" t="str">
        <f>"－"</f>
        <v>－</v>
      </c>
    </row>
    <row r="480">
      <c r="A480" s="24" t="s">
        <v>1095</v>
      </c>
      <c r="B480" s="25" t="s">
        <v>1096</v>
      </c>
      <c r="C480" s="26"/>
      <c r="D480" s="27"/>
      <c r="E480" s="28" t="s">
        <v>139</v>
      </c>
      <c r="F480" s="20" t="n">
        <f>123</f>
        <v>123.0</v>
      </c>
      <c r="G480" s="21" t="str">
        <f>"－"</f>
        <v>－</v>
      </c>
      <c r="H480" s="21"/>
      <c r="I480" s="21" t="str">
        <f>"－"</f>
        <v>－</v>
      </c>
      <c r="J480" s="21" t="str">
        <f>"－"</f>
        <v>－</v>
      </c>
      <c r="K480" s="21" t="str">
        <f>"－"</f>
        <v>－</v>
      </c>
      <c r="L480" s="4" t="s">
        <v>335</v>
      </c>
      <c r="M480" s="22" t="str">
        <f>"－"</f>
        <v>－</v>
      </c>
      <c r="N480" s="5" t="s">
        <v>335</v>
      </c>
      <c r="O480" s="23" t="str">
        <f>"－"</f>
        <v>－</v>
      </c>
      <c r="P480" s="3" t="s">
        <v>247</v>
      </c>
      <c r="Q480" s="21"/>
      <c r="R480" s="3" t="s">
        <v>247</v>
      </c>
      <c r="S480" s="21" t="str">
        <f>"－"</f>
        <v>－</v>
      </c>
      <c r="T480" s="21" t="str">
        <f>"－"</f>
        <v>－</v>
      </c>
      <c r="U480" s="5" t="s">
        <v>335</v>
      </c>
      <c r="V480" s="23" t="str">
        <f>"－"</f>
        <v>－</v>
      </c>
      <c r="W480" s="5" t="s">
        <v>335</v>
      </c>
      <c r="X480" s="23" t="str">
        <f>"－"</f>
        <v>－</v>
      </c>
      <c r="Y480" s="23"/>
      <c r="Z480" s="21" t="str">
        <f>"－"</f>
        <v>－</v>
      </c>
      <c r="AA480" s="21" t="str">
        <f>"－"</f>
        <v>－</v>
      </c>
      <c r="AB480" s="4" t="s">
        <v>335</v>
      </c>
      <c r="AC480" s="22" t="str">
        <f>"－"</f>
        <v>－</v>
      </c>
      <c r="AD480" s="5" t="s">
        <v>335</v>
      </c>
      <c r="AE480" s="23" t="str">
        <f>"－"</f>
        <v>－</v>
      </c>
    </row>
    <row r="481">
      <c r="A481" s="24" t="s">
        <v>1095</v>
      </c>
      <c r="B481" s="25" t="s">
        <v>1096</v>
      </c>
      <c r="C481" s="26"/>
      <c r="D481" s="27"/>
      <c r="E481" s="28" t="s">
        <v>145</v>
      </c>
      <c r="F481" s="20" t="n">
        <f>122</f>
        <v>122.0</v>
      </c>
      <c r="G481" s="21" t="str">
        <f>"－"</f>
        <v>－</v>
      </c>
      <c r="H481" s="21"/>
      <c r="I481" s="21" t="str">
        <f>"－"</f>
        <v>－</v>
      </c>
      <c r="J481" s="21" t="str">
        <f>"－"</f>
        <v>－</v>
      </c>
      <c r="K481" s="21" t="str">
        <f>"－"</f>
        <v>－</v>
      </c>
      <c r="L481" s="4" t="s">
        <v>82</v>
      </c>
      <c r="M481" s="22" t="str">
        <f>"－"</f>
        <v>－</v>
      </c>
      <c r="N481" s="5" t="s">
        <v>82</v>
      </c>
      <c r="O481" s="23" t="str">
        <f>"－"</f>
        <v>－</v>
      </c>
      <c r="P481" s="3" t="s">
        <v>247</v>
      </c>
      <c r="Q481" s="21"/>
      <c r="R481" s="3" t="s">
        <v>247</v>
      </c>
      <c r="S481" s="21" t="str">
        <f>"－"</f>
        <v>－</v>
      </c>
      <c r="T481" s="21" t="str">
        <f>"－"</f>
        <v>－</v>
      </c>
      <c r="U481" s="5" t="s">
        <v>82</v>
      </c>
      <c r="V481" s="23" t="str">
        <f>"－"</f>
        <v>－</v>
      </c>
      <c r="W481" s="5" t="s">
        <v>82</v>
      </c>
      <c r="X481" s="23" t="str">
        <f>"－"</f>
        <v>－</v>
      </c>
      <c r="Y481" s="23"/>
      <c r="Z481" s="21" t="str">
        <f>"－"</f>
        <v>－</v>
      </c>
      <c r="AA481" s="21" t="str">
        <f>"－"</f>
        <v>－</v>
      </c>
      <c r="AB481" s="4" t="s">
        <v>82</v>
      </c>
      <c r="AC481" s="22" t="str">
        <f>"－"</f>
        <v>－</v>
      </c>
      <c r="AD481" s="5" t="s">
        <v>82</v>
      </c>
      <c r="AE481" s="23" t="str">
        <f>"－"</f>
        <v>－</v>
      </c>
    </row>
    <row r="482">
      <c r="A482" s="24" t="s">
        <v>1095</v>
      </c>
      <c r="B482" s="25" t="s">
        <v>1096</v>
      </c>
      <c r="C482" s="26"/>
      <c r="D482" s="27"/>
      <c r="E482" s="28" t="s">
        <v>150</v>
      </c>
      <c r="F482" s="20" t="n">
        <f>124</f>
        <v>124.0</v>
      </c>
      <c r="G482" s="21" t="str">
        <f>"－"</f>
        <v>－</v>
      </c>
      <c r="H482" s="21"/>
      <c r="I482" s="21" t="str">
        <f>"－"</f>
        <v>－</v>
      </c>
      <c r="J482" s="21" t="str">
        <f>"－"</f>
        <v>－</v>
      </c>
      <c r="K482" s="21" t="str">
        <f>"－"</f>
        <v>－</v>
      </c>
      <c r="L482" s="4" t="s">
        <v>666</v>
      </c>
      <c r="M482" s="22" t="str">
        <f>"－"</f>
        <v>－</v>
      </c>
      <c r="N482" s="5" t="s">
        <v>666</v>
      </c>
      <c r="O482" s="23" t="str">
        <f>"－"</f>
        <v>－</v>
      </c>
      <c r="P482" s="3" t="s">
        <v>247</v>
      </c>
      <c r="Q482" s="21"/>
      <c r="R482" s="3" t="s">
        <v>247</v>
      </c>
      <c r="S482" s="21" t="str">
        <f>"－"</f>
        <v>－</v>
      </c>
      <c r="T482" s="21" t="str">
        <f>"－"</f>
        <v>－</v>
      </c>
      <c r="U482" s="5" t="s">
        <v>666</v>
      </c>
      <c r="V482" s="23" t="str">
        <f>"－"</f>
        <v>－</v>
      </c>
      <c r="W482" s="5" t="s">
        <v>666</v>
      </c>
      <c r="X482" s="23" t="str">
        <f>"－"</f>
        <v>－</v>
      </c>
      <c r="Y482" s="23"/>
      <c r="Z482" s="21" t="str">
        <f>"－"</f>
        <v>－</v>
      </c>
      <c r="AA482" s="21" t="str">
        <f>"－"</f>
        <v>－</v>
      </c>
      <c r="AB482" s="4" t="s">
        <v>666</v>
      </c>
      <c r="AC482" s="22" t="str">
        <f>"－"</f>
        <v>－</v>
      </c>
      <c r="AD482" s="5" t="s">
        <v>666</v>
      </c>
      <c r="AE482" s="23" t="str">
        <f>"－"</f>
        <v>－</v>
      </c>
    </row>
    <row r="483">
      <c r="A483" s="24" t="s">
        <v>1095</v>
      </c>
      <c r="B483" s="25" t="s">
        <v>1096</v>
      </c>
      <c r="C483" s="26"/>
      <c r="D483" s="27"/>
      <c r="E483" s="28" t="s">
        <v>154</v>
      </c>
      <c r="F483" s="20" t="n">
        <f>120</f>
        <v>120.0</v>
      </c>
      <c r="G483" s="21" t="str">
        <f>"－"</f>
        <v>－</v>
      </c>
      <c r="H483" s="21"/>
      <c r="I483" s="21" t="str">
        <f>"－"</f>
        <v>－</v>
      </c>
      <c r="J483" s="21" t="str">
        <f>"－"</f>
        <v>－</v>
      </c>
      <c r="K483" s="21" t="str">
        <f>"－"</f>
        <v>－</v>
      </c>
      <c r="L483" s="4" t="s">
        <v>268</v>
      </c>
      <c r="M483" s="22" t="str">
        <f>"－"</f>
        <v>－</v>
      </c>
      <c r="N483" s="5" t="s">
        <v>268</v>
      </c>
      <c r="O483" s="23" t="str">
        <f>"－"</f>
        <v>－</v>
      </c>
      <c r="P483" s="3" t="s">
        <v>247</v>
      </c>
      <c r="Q483" s="21"/>
      <c r="R483" s="3" t="s">
        <v>247</v>
      </c>
      <c r="S483" s="21" t="str">
        <f>"－"</f>
        <v>－</v>
      </c>
      <c r="T483" s="21" t="str">
        <f>"－"</f>
        <v>－</v>
      </c>
      <c r="U483" s="5" t="s">
        <v>268</v>
      </c>
      <c r="V483" s="23" t="str">
        <f>"－"</f>
        <v>－</v>
      </c>
      <c r="W483" s="5" t="s">
        <v>268</v>
      </c>
      <c r="X483" s="23" t="str">
        <f>"－"</f>
        <v>－</v>
      </c>
      <c r="Y483" s="23"/>
      <c r="Z483" s="21" t="str">
        <f>"－"</f>
        <v>－</v>
      </c>
      <c r="AA483" s="21" t="str">
        <f>"－"</f>
        <v>－</v>
      </c>
      <c r="AB483" s="4" t="s">
        <v>268</v>
      </c>
      <c r="AC483" s="22" t="str">
        <f>"－"</f>
        <v>－</v>
      </c>
      <c r="AD483" s="5" t="s">
        <v>268</v>
      </c>
      <c r="AE483" s="23" t="str">
        <f>"－"</f>
        <v>－</v>
      </c>
    </row>
    <row r="484">
      <c r="A484" s="24" t="s">
        <v>1113</v>
      </c>
      <c r="B484" s="25" t="s">
        <v>1114</v>
      </c>
      <c r="C484" s="26"/>
      <c r="D484" s="27"/>
      <c r="E484" s="28" t="s">
        <v>1115</v>
      </c>
      <c r="F484" s="20" t="n">
        <f>125</f>
        <v>125.0</v>
      </c>
      <c r="G484" s="21" t="n">
        <f>1577989</f>
        <v>1577989.0</v>
      </c>
      <c r="H484" s="21" t="str">
        <f>"－"</f>
        <v>－</v>
      </c>
      <c r="I484" s="21" t="str">
        <f>"－"</f>
        <v>－</v>
      </c>
      <c r="J484" s="21" t="n">
        <f>12624</f>
        <v>12624.0</v>
      </c>
      <c r="K484" s="21" t="str">
        <f>"－"</f>
        <v>－</v>
      </c>
      <c r="L484" s="4" t="s">
        <v>994</v>
      </c>
      <c r="M484" s="22" t="n">
        <f>76631</f>
        <v>76631.0</v>
      </c>
      <c r="N484" s="5" t="s">
        <v>1116</v>
      </c>
      <c r="O484" s="23" t="str">
        <f>"－"</f>
        <v>－</v>
      </c>
      <c r="P484" s="3" t="s">
        <v>1117</v>
      </c>
      <c r="Q484" s="21" t="str">
        <f>"－"</f>
        <v>－</v>
      </c>
      <c r="R484" s="3" t="s">
        <v>247</v>
      </c>
      <c r="S484" s="21" t="n">
        <f>1283728577520</f>
        <v>1.28372857752E12</v>
      </c>
      <c r="T484" s="21" t="str">
        <f>"－"</f>
        <v>－</v>
      </c>
      <c r="U484" s="5" t="s">
        <v>994</v>
      </c>
      <c r="V484" s="23" t="n">
        <f>7816686280000</f>
        <v>7.81668628E12</v>
      </c>
      <c r="W484" s="5" t="s">
        <v>1116</v>
      </c>
      <c r="X484" s="23" t="str">
        <f>"－"</f>
        <v>－</v>
      </c>
      <c r="Y484" s="23"/>
      <c r="Z484" s="21" t="str">
        <f>"－"</f>
        <v>－</v>
      </c>
      <c r="AA484" s="21" t="n">
        <f>46063</f>
        <v>46063.0</v>
      </c>
      <c r="AB484" s="4" t="s">
        <v>379</v>
      </c>
      <c r="AC484" s="22" t="n">
        <f>59485</f>
        <v>59485.0</v>
      </c>
      <c r="AD484" s="5" t="s">
        <v>54</v>
      </c>
      <c r="AE484" s="23" t="n">
        <f>14585</f>
        <v>14585.0</v>
      </c>
    </row>
    <row r="485">
      <c r="A485" s="24" t="s">
        <v>1113</v>
      </c>
      <c r="B485" s="25" t="s">
        <v>1114</v>
      </c>
      <c r="C485" s="26"/>
      <c r="D485" s="27"/>
      <c r="E485" s="28" t="s">
        <v>1118</v>
      </c>
      <c r="F485" s="20" t="n">
        <f>144</f>
        <v>144.0</v>
      </c>
      <c r="G485" s="21" t="n">
        <f>4822242</f>
        <v>4822242.0</v>
      </c>
      <c r="H485" s="21" t="str">
        <f>"－"</f>
        <v>－</v>
      </c>
      <c r="I485" s="21" t="str">
        <f>"－"</f>
        <v>－</v>
      </c>
      <c r="J485" s="21" t="n">
        <f>33488</f>
        <v>33488.0</v>
      </c>
      <c r="K485" s="21" t="str">
        <f>"－"</f>
        <v>－</v>
      </c>
      <c r="L485" s="4" t="s">
        <v>398</v>
      </c>
      <c r="M485" s="22" t="n">
        <f>86153</f>
        <v>86153.0</v>
      </c>
      <c r="N485" s="5" t="s">
        <v>525</v>
      </c>
      <c r="O485" s="23" t="n">
        <f>11215</f>
        <v>11215.0</v>
      </c>
      <c r="P485" s="3" t="s">
        <v>1119</v>
      </c>
      <c r="Q485" s="21" t="str">
        <f>"－"</f>
        <v>－</v>
      </c>
      <c r="R485" s="3" t="s">
        <v>247</v>
      </c>
      <c r="S485" s="21" t="n">
        <f>3475945000694</f>
        <v>3.475945000694E12</v>
      </c>
      <c r="T485" s="21" t="str">
        <f>"－"</f>
        <v>－</v>
      </c>
      <c r="U485" s="5" t="s">
        <v>398</v>
      </c>
      <c r="V485" s="23" t="n">
        <f>9094460640000</f>
        <v>9.09446064E12</v>
      </c>
      <c r="W485" s="5" t="s">
        <v>525</v>
      </c>
      <c r="X485" s="23" t="n">
        <f>1159068630000</f>
        <v>1.15906863E12</v>
      </c>
      <c r="Y485" s="23"/>
      <c r="Z485" s="21" t="str">
        <f>"－"</f>
        <v>－</v>
      </c>
      <c r="AA485" s="21" t="n">
        <f>115290</f>
        <v>115290.0</v>
      </c>
      <c r="AB485" s="4" t="s">
        <v>999</v>
      </c>
      <c r="AC485" s="22" t="n">
        <f>130568</f>
        <v>130568.0</v>
      </c>
      <c r="AD485" s="5" t="s">
        <v>335</v>
      </c>
      <c r="AE485" s="23" t="n">
        <f>49976</f>
        <v>49976.0</v>
      </c>
    </row>
    <row r="486">
      <c r="A486" s="24" t="s">
        <v>1113</v>
      </c>
      <c r="B486" s="25" t="s">
        <v>1114</v>
      </c>
      <c r="C486" s="26"/>
      <c r="D486" s="27"/>
      <c r="E486" s="28" t="s">
        <v>1120</v>
      </c>
      <c r="F486" s="20" t="n">
        <f>133</f>
        <v>133.0</v>
      </c>
      <c r="G486" s="21" t="n">
        <f>8841037</f>
        <v>8841037.0</v>
      </c>
      <c r="H486" s="21" t="str">
        <f>"－"</f>
        <v>－</v>
      </c>
      <c r="I486" s="21" t="str">
        <f>"－"</f>
        <v>－</v>
      </c>
      <c r="J486" s="21" t="n">
        <f>66474</f>
        <v>66474.0</v>
      </c>
      <c r="K486" s="21" t="str">
        <f>"－"</f>
        <v>－</v>
      </c>
      <c r="L486" s="4" t="s">
        <v>187</v>
      </c>
      <c r="M486" s="22" t="n">
        <f>125956</f>
        <v>125956.0</v>
      </c>
      <c r="N486" s="5" t="s">
        <v>260</v>
      </c>
      <c r="O486" s="23" t="n">
        <f>27233</f>
        <v>27233.0</v>
      </c>
      <c r="P486" s="3" t="s">
        <v>1121</v>
      </c>
      <c r="Q486" s="21" t="str">
        <f>"－"</f>
        <v>－</v>
      </c>
      <c r="R486" s="3" t="s">
        <v>247</v>
      </c>
      <c r="S486" s="21" t="n">
        <f>6996401199774</f>
        <v>6.996401199774E12</v>
      </c>
      <c r="T486" s="21" t="str">
        <f>"－"</f>
        <v>－</v>
      </c>
      <c r="U486" s="5" t="s">
        <v>187</v>
      </c>
      <c r="V486" s="23" t="n">
        <f>13535327180000</f>
        <v>1.353532718E13</v>
      </c>
      <c r="W486" s="5" t="s">
        <v>260</v>
      </c>
      <c r="X486" s="23" t="n">
        <f>2815937270000</f>
        <v>2.81593727E12</v>
      </c>
      <c r="Y486" s="23"/>
      <c r="Z486" s="21" t="str">
        <f>"－"</f>
        <v>－</v>
      </c>
      <c r="AA486" s="21" t="n">
        <f>133004</f>
        <v>133004.0</v>
      </c>
      <c r="AB486" s="4" t="s">
        <v>187</v>
      </c>
      <c r="AC486" s="22" t="n">
        <f>189338</f>
        <v>189338.0</v>
      </c>
      <c r="AD486" s="5" t="s">
        <v>541</v>
      </c>
      <c r="AE486" s="23" t="n">
        <f>94602</f>
        <v>94602.0</v>
      </c>
    </row>
    <row r="487">
      <c r="A487" s="24" t="s">
        <v>1113</v>
      </c>
      <c r="B487" s="25" t="s">
        <v>1114</v>
      </c>
      <c r="C487" s="26"/>
      <c r="D487" s="27"/>
      <c r="E487" s="28" t="s">
        <v>1122</v>
      </c>
      <c r="F487" s="20" t="n">
        <f>140</f>
        <v>140.0</v>
      </c>
      <c r="G487" s="21" t="n">
        <f>9678144</f>
        <v>9678144.0</v>
      </c>
      <c r="H487" s="21" t="str">
        <f>"－"</f>
        <v>－</v>
      </c>
      <c r="I487" s="21" t="str">
        <f>"－"</f>
        <v>－</v>
      </c>
      <c r="J487" s="21" t="n">
        <f>69130</f>
        <v>69130.0</v>
      </c>
      <c r="K487" s="21" t="str">
        <f>"－"</f>
        <v>－</v>
      </c>
      <c r="L487" s="4" t="s">
        <v>510</v>
      </c>
      <c r="M487" s="22" t="n">
        <f>112992</f>
        <v>112992.0</v>
      </c>
      <c r="N487" s="5" t="s">
        <v>1123</v>
      </c>
      <c r="O487" s="23" t="n">
        <f>15985</f>
        <v>15985.0</v>
      </c>
      <c r="P487" s="3" t="s">
        <v>1124</v>
      </c>
      <c r="Q487" s="21" t="str">
        <f>"－"</f>
        <v>－</v>
      </c>
      <c r="R487" s="3" t="s">
        <v>247</v>
      </c>
      <c r="S487" s="21" t="n">
        <f>7560636644357</f>
        <v>7.560636644357E12</v>
      </c>
      <c r="T487" s="21" t="str">
        <f>"－"</f>
        <v>－</v>
      </c>
      <c r="U487" s="5" t="s">
        <v>510</v>
      </c>
      <c r="V487" s="23" t="n">
        <f>12488112480000</f>
        <v>1.248811248E13</v>
      </c>
      <c r="W487" s="5" t="s">
        <v>1123</v>
      </c>
      <c r="X487" s="23" t="n">
        <f>1842264270000</f>
        <v>1.84226427E12</v>
      </c>
      <c r="Y487" s="23"/>
      <c r="Z487" s="21" t="str">
        <f>"－"</f>
        <v>－</v>
      </c>
      <c r="AA487" s="21" t="n">
        <f>129747</f>
        <v>129747.0</v>
      </c>
      <c r="AB487" s="4" t="s">
        <v>245</v>
      </c>
      <c r="AC487" s="22" t="n">
        <f>197649</f>
        <v>197649.0</v>
      </c>
      <c r="AD487" s="5" t="s">
        <v>978</v>
      </c>
      <c r="AE487" s="23" t="n">
        <f>101436</f>
        <v>101436.0</v>
      </c>
    </row>
    <row r="488">
      <c r="A488" s="24" t="s">
        <v>1113</v>
      </c>
      <c r="B488" s="25" t="s">
        <v>1114</v>
      </c>
      <c r="C488" s="26"/>
      <c r="D488" s="27"/>
      <c r="E488" s="28" t="s">
        <v>1125</v>
      </c>
      <c r="F488" s="20" t="n">
        <f>135</f>
        <v>135.0</v>
      </c>
      <c r="G488" s="21" t="n">
        <f>7369510</f>
        <v>7369510.0</v>
      </c>
      <c r="H488" s="21" t="str">
        <f>"－"</f>
        <v>－</v>
      </c>
      <c r="I488" s="21" t="str">
        <f>"－"</f>
        <v>－</v>
      </c>
      <c r="J488" s="21" t="n">
        <f>54589</f>
        <v>54589.0</v>
      </c>
      <c r="K488" s="21" t="str">
        <f>"－"</f>
        <v>－</v>
      </c>
      <c r="L488" s="4" t="s">
        <v>1126</v>
      </c>
      <c r="M488" s="22" t="n">
        <f>92000</f>
        <v>92000.0</v>
      </c>
      <c r="N488" s="5" t="s">
        <v>82</v>
      </c>
      <c r="O488" s="23" t="n">
        <f>22655</f>
        <v>22655.0</v>
      </c>
      <c r="P488" s="3" t="s">
        <v>1127</v>
      </c>
      <c r="Q488" s="21" t="str">
        <f>"－"</f>
        <v>－</v>
      </c>
      <c r="R488" s="3" t="s">
        <v>247</v>
      </c>
      <c r="S488" s="21" t="n">
        <f>5801566822370</f>
        <v>5.80156682237E12</v>
      </c>
      <c r="T488" s="21" t="str">
        <f>"－"</f>
        <v>－</v>
      </c>
      <c r="U488" s="5" t="s">
        <v>1126</v>
      </c>
      <c r="V488" s="23" t="n">
        <f>9916262650000</f>
        <v>9.91626265E12</v>
      </c>
      <c r="W488" s="5" t="s">
        <v>82</v>
      </c>
      <c r="X488" s="23" t="n">
        <f>2172512860000</f>
        <v>2.17251286E12</v>
      </c>
      <c r="Y488" s="23"/>
      <c r="Z488" s="21" t="str">
        <f>"－"</f>
        <v>－</v>
      </c>
      <c r="AA488" s="21" t="n">
        <f>120792</f>
        <v>120792.0</v>
      </c>
      <c r="AB488" s="4" t="s">
        <v>440</v>
      </c>
      <c r="AC488" s="22" t="n">
        <f>168442</f>
        <v>168442.0</v>
      </c>
      <c r="AD488" s="5" t="s">
        <v>64</v>
      </c>
      <c r="AE488" s="23" t="n">
        <f>118342</f>
        <v>118342.0</v>
      </c>
    </row>
    <row r="489">
      <c r="A489" s="24" t="s">
        <v>1113</v>
      </c>
      <c r="B489" s="25" t="s">
        <v>1114</v>
      </c>
      <c r="C489" s="26"/>
      <c r="D489" s="27"/>
      <c r="E489" s="28" t="s">
        <v>244</v>
      </c>
      <c r="F489" s="20" t="n">
        <f>139</f>
        <v>139.0</v>
      </c>
      <c r="G489" s="21" t="n">
        <f>9810956</f>
        <v>9810956.0</v>
      </c>
      <c r="H489" s="21" t="str">
        <f>"－"</f>
        <v>－</v>
      </c>
      <c r="I489" s="21" t="str">
        <f>"－"</f>
        <v>－</v>
      </c>
      <c r="J489" s="21" t="n">
        <f>70582</f>
        <v>70582.0</v>
      </c>
      <c r="K489" s="21" t="str">
        <f>"－"</f>
        <v>－</v>
      </c>
      <c r="L489" s="4" t="s">
        <v>868</v>
      </c>
      <c r="M489" s="22" t="n">
        <f>106397</f>
        <v>106397.0</v>
      </c>
      <c r="N489" s="5" t="s">
        <v>735</v>
      </c>
      <c r="O489" s="23" t="n">
        <f>24937</f>
        <v>24937.0</v>
      </c>
      <c r="P489" s="3" t="s">
        <v>1128</v>
      </c>
      <c r="Q489" s="21" t="str">
        <f>"－"</f>
        <v>－</v>
      </c>
      <c r="R489" s="3" t="s">
        <v>247</v>
      </c>
      <c r="S489" s="21" t="n">
        <f>7313016184964</f>
        <v>7.313016184964E12</v>
      </c>
      <c r="T489" s="21" t="str">
        <f>"－"</f>
        <v>－</v>
      </c>
      <c r="U489" s="5" t="s">
        <v>868</v>
      </c>
      <c r="V489" s="23" t="n">
        <f>11280902260000</f>
        <v>1.128090226E13</v>
      </c>
      <c r="W489" s="5" t="s">
        <v>735</v>
      </c>
      <c r="X489" s="23" t="n">
        <f>2698980360000</f>
        <v>2.69898036E12</v>
      </c>
      <c r="Y489" s="23"/>
      <c r="Z489" s="21" t="str">
        <f>"－"</f>
        <v>－</v>
      </c>
      <c r="AA489" s="21" t="n">
        <f>144203</f>
        <v>144203.0</v>
      </c>
      <c r="AB489" s="4" t="s">
        <v>999</v>
      </c>
      <c r="AC489" s="22" t="n">
        <f>202040</f>
        <v>202040.0</v>
      </c>
      <c r="AD489" s="5" t="s">
        <v>71</v>
      </c>
      <c r="AE489" s="23" t="n">
        <f>94367</f>
        <v>94367.0</v>
      </c>
    </row>
    <row r="490">
      <c r="A490" s="24" t="s">
        <v>1113</v>
      </c>
      <c r="B490" s="25" t="s">
        <v>1114</v>
      </c>
      <c r="C490" s="26"/>
      <c r="D490" s="27"/>
      <c r="E490" s="28" t="s">
        <v>249</v>
      </c>
      <c r="F490" s="20" t="n">
        <f>128</f>
        <v>128.0</v>
      </c>
      <c r="G490" s="21" t="n">
        <f>9362398</f>
        <v>9362398.0</v>
      </c>
      <c r="H490" s="21" t="str">
        <f>"－"</f>
        <v>－</v>
      </c>
      <c r="I490" s="21" t="str">
        <f>"－"</f>
        <v>－</v>
      </c>
      <c r="J490" s="21" t="n">
        <f>73144</f>
        <v>73144.0</v>
      </c>
      <c r="K490" s="21" t="str">
        <f>"－"</f>
        <v>－</v>
      </c>
      <c r="L490" s="4" t="s">
        <v>90</v>
      </c>
      <c r="M490" s="22" t="n">
        <f>127615</f>
        <v>127615.0</v>
      </c>
      <c r="N490" s="5" t="s">
        <v>65</v>
      </c>
      <c r="O490" s="23" t="n">
        <f>22278</f>
        <v>22278.0</v>
      </c>
      <c r="P490" s="3" t="s">
        <v>1129</v>
      </c>
      <c r="Q490" s="21" t="str">
        <f>"－"</f>
        <v>－</v>
      </c>
      <c r="R490" s="3" t="s">
        <v>247</v>
      </c>
      <c r="S490" s="21" t="n">
        <f>7746083487734</f>
        <v>7.746083487734E12</v>
      </c>
      <c r="T490" s="21" t="str">
        <f>"－"</f>
        <v>－</v>
      </c>
      <c r="U490" s="5" t="s">
        <v>90</v>
      </c>
      <c r="V490" s="23" t="n">
        <f>13271500010000</f>
        <v>1.327150001E13</v>
      </c>
      <c r="W490" s="5" t="s">
        <v>65</v>
      </c>
      <c r="X490" s="23" t="n">
        <f>2379001790000</f>
        <v>2.37900179E12</v>
      </c>
      <c r="Y490" s="23"/>
      <c r="Z490" s="21" t="str">
        <f>"－"</f>
        <v>－</v>
      </c>
      <c r="AA490" s="21" t="n">
        <f>138678</f>
        <v>138678.0</v>
      </c>
      <c r="AB490" s="4" t="s">
        <v>455</v>
      </c>
      <c r="AC490" s="22" t="n">
        <f>205572</f>
        <v>205572.0</v>
      </c>
      <c r="AD490" s="5" t="s">
        <v>298</v>
      </c>
      <c r="AE490" s="23" t="n">
        <f>121356</f>
        <v>121356.0</v>
      </c>
    </row>
    <row r="491">
      <c r="A491" s="24" t="s">
        <v>1113</v>
      </c>
      <c r="B491" s="25" t="s">
        <v>1114</v>
      </c>
      <c r="C491" s="26"/>
      <c r="D491" s="27"/>
      <c r="E491" s="28" t="s">
        <v>253</v>
      </c>
      <c r="F491" s="20" t="n">
        <f>126</f>
        <v>126.0</v>
      </c>
      <c r="G491" s="21" t="n">
        <f>9582611</f>
        <v>9582611.0</v>
      </c>
      <c r="H491" s="21" t="str">
        <f>"－"</f>
        <v>－</v>
      </c>
      <c r="I491" s="21" t="str">
        <f>"－"</f>
        <v>－</v>
      </c>
      <c r="J491" s="21" t="n">
        <f>76052</f>
        <v>76052.0</v>
      </c>
      <c r="K491" s="21" t="str">
        <f>"－"</f>
        <v>－</v>
      </c>
      <c r="L491" s="4" t="s">
        <v>84</v>
      </c>
      <c r="M491" s="22" t="n">
        <f>154112</f>
        <v>154112.0</v>
      </c>
      <c r="N491" s="5" t="s">
        <v>731</v>
      </c>
      <c r="O491" s="23" t="n">
        <f>37554</f>
        <v>37554.0</v>
      </c>
      <c r="P491" s="3" t="s">
        <v>1130</v>
      </c>
      <c r="Q491" s="21" t="str">
        <f>"－"</f>
        <v>－</v>
      </c>
      <c r="R491" s="3" t="s">
        <v>247</v>
      </c>
      <c r="S491" s="21" t="n">
        <f>7947757558651</f>
        <v>7.947757558651E12</v>
      </c>
      <c r="T491" s="21" t="str">
        <f>"－"</f>
        <v>－</v>
      </c>
      <c r="U491" s="5" t="s">
        <v>84</v>
      </c>
      <c r="V491" s="23" t="n">
        <f>16120769230000</f>
        <v>1.612076923E13</v>
      </c>
      <c r="W491" s="5" t="s">
        <v>834</v>
      </c>
      <c r="X491" s="23" t="n">
        <f>3878184030000</f>
        <v>3.87818403E12</v>
      </c>
      <c r="Y491" s="23"/>
      <c r="Z491" s="21" t="str">
        <f>"－"</f>
        <v>－</v>
      </c>
      <c r="AA491" s="21" t="n">
        <f>172097</f>
        <v>172097.0</v>
      </c>
      <c r="AB491" s="4" t="s">
        <v>57</v>
      </c>
      <c r="AC491" s="22" t="n">
        <f>286829</f>
        <v>286829.0</v>
      </c>
      <c r="AD491" s="5" t="s">
        <v>666</v>
      </c>
      <c r="AE491" s="23" t="n">
        <f>141324</f>
        <v>141324.0</v>
      </c>
    </row>
    <row r="492">
      <c r="A492" s="24" t="s">
        <v>1113</v>
      </c>
      <c r="B492" s="25" t="s">
        <v>1114</v>
      </c>
      <c r="C492" s="26"/>
      <c r="D492" s="27"/>
      <c r="E492" s="28" t="s">
        <v>256</v>
      </c>
      <c r="F492" s="20" t="n">
        <f>121</f>
        <v>121.0</v>
      </c>
      <c r="G492" s="21" t="n">
        <f>8922221</f>
        <v>8922221.0</v>
      </c>
      <c r="H492" s="21" t="str">
        <f>"－"</f>
        <v>－</v>
      </c>
      <c r="I492" s="21" t="str">
        <f>"－"</f>
        <v>－</v>
      </c>
      <c r="J492" s="21" t="n">
        <f>73737</f>
        <v>73737.0</v>
      </c>
      <c r="K492" s="21" t="str">
        <f>"－"</f>
        <v>－</v>
      </c>
      <c r="L492" s="4" t="s">
        <v>634</v>
      </c>
      <c r="M492" s="22" t="n">
        <f>131801</f>
        <v>131801.0</v>
      </c>
      <c r="N492" s="5" t="s">
        <v>257</v>
      </c>
      <c r="O492" s="23" t="n">
        <f>22861</f>
        <v>22861.0</v>
      </c>
      <c r="P492" s="3" t="s">
        <v>1131</v>
      </c>
      <c r="Q492" s="21" t="str">
        <f>"－"</f>
        <v>－</v>
      </c>
      <c r="R492" s="3" t="s">
        <v>247</v>
      </c>
      <c r="S492" s="21" t="n">
        <f>7385914437603</f>
        <v>7.385914437603E12</v>
      </c>
      <c r="T492" s="21" t="str">
        <f>"－"</f>
        <v>－</v>
      </c>
      <c r="U492" s="5" t="s">
        <v>634</v>
      </c>
      <c r="V492" s="23" t="n">
        <f>13598940610000</f>
        <v>1.359894061E13</v>
      </c>
      <c r="W492" s="5" t="s">
        <v>257</v>
      </c>
      <c r="X492" s="23" t="n">
        <f>2356841000000</f>
        <v>2.356841E12</v>
      </c>
      <c r="Y492" s="23"/>
      <c r="Z492" s="21" t="str">
        <f>"－"</f>
        <v>－</v>
      </c>
      <c r="AA492" s="21" t="n">
        <f>144081</f>
        <v>144081.0</v>
      </c>
      <c r="AB492" s="4" t="s">
        <v>507</v>
      </c>
      <c r="AC492" s="22" t="n">
        <f>221867</f>
        <v>221867.0</v>
      </c>
      <c r="AD492" s="5" t="s">
        <v>698</v>
      </c>
      <c r="AE492" s="23" t="n">
        <f>144081</f>
        <v>144081.0</v>
      </c>
    </row>
    <row r="493">
      <c r="A493" s="24" t="s">
        <v>1113</v>
      </c>
      <c r="B493" s="25" t="s">
        <v>1114</v>
      </c>
      <c r="C493" s="26"/>
      <c r="D493" s="27"/>
      <c r="E493" s="28" t="s">
        <v>261</v>
      </c>
      <c r="F493" s="20" t="n">
        <f>126</f>
        <v>126.0</v>
      </c>
      <c r="G493" s="21" t="n">
        <f>8059735</f>
        <v>8059735.0</v>
      </c>
      <c r="H493" s="21" t="n">
        <f>14268</f>
        <v>14268.0</v>
      </c>
      <c r="I493" s="21" t="str">
        <f>"－"</f>
        <v>－</v>
      </c>
      <c r="J493" s="21" t="n">
        <f>63966</f>
        <v>63966.0</v>
      </c>
      <c r="K493" s="21" t="str">
        <f>"－"</f>
        <v>－</v>
      </c>
      <c r="L493" s="4" t="s">
        <v>1132</v>
      </c>
      <c r="M493" s="22" t="n">
        <f>105280</f>
        <v>105280.0</v>
      </c>
      <c r="N493" s="5" t="s">
        <v>1133</v>
      </c>
      <c r="O493" s="23" t="n">
        <f>36368</f>
        <v>36368.0</v>
      </c>
      <c r="P493" s="3" t="s">
        <v>1134</v>
      </c>
      <c r="Q493" s="21" t="n">
        <f>1335797000000</f>
        <v>1.335797E12</v>
      </c>
      <c r="R493" s="3" t="s">
        <v>247</v>
      </c>
      <c r="S493" s="21" t="n">
        <f>5935700127302</f>
        <v>5.935700127302E12</v>
      </c>
      <c r="T493" s="21" t="str">
        <f>"－"</f>
        <v>－</v>
      </c>
      <c r="U493" s="5" t="s">
        <v>1132</v>
      </c>
      <c r="V493" s="23" t="n">
        <f>9455529890000</f>
        <v>9.45552989E12</v>
      </c>
      <c r="W493" s="5" t="s">
        <v>549</v>
      </c>
      <c r="X493" s="23" t="n">
        <f>3394648050000</f>
        <v>3.39464805E12</v>
      </c>
      <c r="Y493" s="23"/>
      <c r="Z493" s="21" t="str">
        <f>"－"</f>
        <v>－</v>
      </c>
      <c r="AA493" s="21" t="n">
        <f>137808</f>
        <v>137808.0</v>
      </c>
      <c r="AB493" s="4" t="s">
        <v>262</v>
      </c>
      <c r="AC493" s="22" t="n">
        <f>188859</f>
        <v>188859.0</v>
      </c>
      <c r="AD493" s="5" t="s">
        <v>205</v>
      </c>
      <c r="AE493" s="23" t="n">
        <f>130462</f>
        <v>130462.0</v>
      </c>
    </row>
    <row r="494">
      <c r="A494" s="24" t="s">
        <v>1113</v>
      </c>
      <c r="B494" s="25" t="s">
        <v>1114</v>
      </c>
      <c r="C494" s="26"/>
      <c r="D494" s="27"/>
      <c r="E494" s="28" t="s">
        <v>267</v>
      </c>
      <c r="F494" s="20" t="n">
        <f>119</f>
        <v>119.0</v>
      </c>
      <c r="G494" s="21" t="n">
        <f>7557213</f>
        <v>7557213.0</v>
      </c>
      <c r="H494" s="21" t="n">
        <f>21469</f>
        <v>21469.0</v>
      </c>
      <c r="I494" s="21" t="str">
        <f>"－"</f>
        <v>－</v>
      </c>
      <c r="J494" s="21" t="n">
        <f>63506</f>
        <v>63506.0</v>
      </c>
      <c r="K494" s="21" t="str">
        <f>"－"</f>
        <v>－</v>
      </c>
      <c r="L494" s="4" t="s">
        <v>787</v>
      </c>
      <c r="M494" s="22" t="n">
        <f>117801</f>
        <v>117801.0</v>
      </c>
      <c r="N494" s="5" t="s">
        <v>285</v>
      </c>
      <c r="O494" s="23" t="n">
        <f>28185</f>
        <v>28185.0</v>
      </c>
      <c r="P494" s="3" t="s">
        <v>1135</v>
      </c>
      <c r="Q494" s="21" t="n">
        <f>1988361000000</f>
        <v>1.988361E12</v>
      </c>
      <c r="R494" s="3" t="s">
        <v>247</v>
      </c>
      <c r="S494" s="21" t="n">
        <f>5986761775798</f>
        <v>5.986761775798E12</v>
      </c>
      <c r="T494" s="21" t="str">
        <f>"－"</f>
        <v>－</v>
      </c>
      <c r="U494" s="5" t="s">
        <v>787</v>
      </c>
      <c r="V494" s="23" t="n">
        <f>11333564960000</f>
        <v>1.133356496E13</v>
      </c>
      <c r="W494" s="5" t="s">
        <v>285</v>
      </c>
      <c r="X494" s="23" t="n">
        <f>2710774230000</f>
        <v>2.71077423E12</v>
      </c>
      <c r="Y494" s="23"/>
      <c r="Z494" s="21" t="str">
        <f>"－"</f>
        <v>－</v>
      </c>
      <c r="AA494" s="21" t="n">
        <f>101481</f>
        <v>101481.0</v>
      </c>
      <c r="AB494" s="4" t="s">
        <v>1082</v>
      </c>
      <c r="AC494" s="22" t="n">
        <f>193606</f>
        <v>193606.0</v>
      </c>
      <c r="AD494" s="5" t="s">
        <v>252</v>
      </c>
      <c r="AE494" s="23" t="n">
        <f>100694</f>
        <v>100694.0</v>
      </c>
    </row>
    <row r="495">
      <c r="A495" s="24" t="s">
        <v>1113</v>
      </c>
      <c r="B495" s="25" t="s">
        <v>1114</v>
      </c>
      <c r="C495" s="26"/>
      <c r="D495" s="27"/>
      <c r="E495" s="28" t="s">
        <v>271</v>
      </c>
      <c r="F495" s="20" t="n">
        <f>126</f>
        <v>126.0</v>
      </c>
      <c r="G495" s="21" t="n">
        <f>6151217</f>
        <v>6151217.0</v>
      </c>
      <c r="H495" s="21" t="n">
        <f>12883</f>
        <v>12883.0</v>
      </c>
      <c r="I495" s="21" t="str">
        <f>"－"</f>
        <v>－</v>
      </c>
      <c r="J495" s="21" t="n">
        <f>48819</f>
        <v>48819.0</v>
      </c>
      <c r="K495" s="21" t="str">
        <f>"－"</f>
        <v>－</v>
      </c>
      <c r="L495" s="4" t="s">
        <v>75</v>
      </c>
      <c r="M495" s="22" t="n">
        <f>100025</f>
        <v>100025.0</v>
      </c>
      <c r="N495" s="5" t="s">
        <v>966</v>
      </c>
      <c r="O495" s="23" t="n">
        <f>17880</f>
        <v>17880.0</v>
      </c>
      <c r="P495" s="3" t="s">
        <v>1136</v>
      </c>
      <c r="Q495" s="21" t="n">
        <f>1238271000000</f>
        <v>1.238271E12</v>
      </c>
      <c r="R495" s="3" t="s">
        <v>247</v>
      </c>
      <c r="S495" s="21" t="n">
        <f>4707210546667</f>
        <v>4.707210546667E12</v>
      </c>
      <c r="T495" s="21" t="str">
        <f>"－"</f>
        <v>－</v>
      </c>
      <c r="U495" s="5" t="s">
        <v>75</v>
      </c>
      <c r="V495" s="23" t="n">
        <f>9548437480000</f>
        <v>9.54843748E12</v>
      </c>
      <c r="W495" s="5" t="s">
        <v>966</v>
      </c>
      <c r="X495" s="23" t="n">
        <f>1701737540000</f>
        <v>1.70173754E12</v>
      </c>
      <c r="Y495" s="23"/>
      <c r="Z495" s="21" t="str">
        <f>"－"</f>
        <v>－</v>
      </c>
      <c r="AA495" s="21" t="n">
        <f>123199</f>
        <v>123199.0</v>
      </c>
      <c r="AB495" s="4" t="s">
        <v>1137</v>
      </c>
      <c r="AC495" s="22" t="n">
        <f>170031</f>
        <v>170031.0</v>
      </c>
      <c r="AD495" s="5" t="s">
        <v>335</v>
      </c>
      <c r="AE495" s="23" t="n">
        <f>103037</f>
        <v>103037.0</v>
      </c>
    </row>
    <row r="496">
      <c r="A496" s="24" t="s">
        <v>1113</v>
      </c>
      <c r="B496" s="25" t="s">
        <v>1114</v>
      </c>
      <c r="C496" s="26"/>
      <c r="D496" s="27"/>
      <c r="E496" s="28" t="s">
        <v>275</v>
      </c>
      <c r="F496" s="20" t="n">
        <f>121</f>
        <v>121.0</v>
      </c>
      <c r="G496" s="21" t="n">
        <f>6090744</f>
        <v>6090744.0</v>
      </c>
      <c r="H496" s="21" t="n">
        <f>31333</f>
        <v>31333.0</v>
      </c>
      <c r="I496" s="21" t="str">
        <f>"－"</f>
        <v>－</v>
      </c>
      <c r="J496" s="21" t="n">
        <f>50337</f>
        <v>50337.0</v>
      </c>
      <c r="K496" s="21" t="str">
        <f>"－"</f>
        <v>－</v>
      </c>
      <c r="L496" s="4" t="s">
        <v>298</v>
      </c>
      <c r="M496" s="22" t="n">
        <f>83948</f>
        <v>83948.0</v>
      </c>
      <c r="N496" s="5" t="s">
        <v>698</v>
      </c>
      <c r="O496" s="23" t="n">
        <f>18467</f>
        <v>18467.0</v>
      </c>
      <c r="P496" s="3" t="s">
        <v>1138</v>
      </c>
      <c r="Q496" s="21" t="n">
        <f>3125792000000</f>
        <v>3.125792E12</v>
      </c>
      <c r="R496" s="3" t="s">
        <v>247</v>
      </c>
      <c r="S496" s="21" t="n">
        <f>5108532766033</f>
        <v>5.108532766033E12</v>
      </c>
      <c r="T496" s="21" t="str">
        <f>"－"</f>
        <v>－</v>
      </c>
      <c r="U496" s="5" t="s">
        <v>298</v>
      </c>
      <c r="V496" s="23" t="n">
        <f>8471720340000</f>
        <v>8.47172034E12</v>
      </c>
      <c r="W496" s="5" t="s">
        <v>698</v>
      </c>
      <c r="X496" s="23" t="n">
        <f>1904585330000</f>
        <v>1.90458533E12</v>
      </c>
      <c r="Y496" s="23"/>
      <c r="Z496" s="21" t="str">
        <f>"－"</f>
        <v>－</v>
      </c>
      <c r="AA496" s="21" t="n">
        <f>139703</f>
        <v>139703.0</v>
      </c>
      <c r="AB496" s="4" t="s">
        <v>149</v>
      </c>
      <c r="AC496" s="22" t="n">
        <f>194843</f>
        <v>194843.0</v>
      </c>
      <c r="AD496" s="5" t="s">
        <v>82</v>
      </c>
      <c r="AE496" s="23" t="n">
        <f>129321</f>
        <v>129321.0</v>
      </c>
    </row>
    <row r="497">
      <c r="A497" s="24" t="s">
        <v>1113</v>
      </c>
      <c r="B497" s="25" t="s">
        <v>1114</v>
      </c>
      <c r="C497" s="26"/>
      <c r="D497" s="27"/>
      <c r="E497" s="28" t="s">
        <v>280</v>
      </c>
      <c r="F497" s="20" t="n">
        <f>126</f>
        <v>126.0</v>
      </c>
      <c r="G497" s="21" t="n">
        <f>6126131</f>
        <v>6126131.0</v>
      </c>
      <c r="H497" s="21" t="n">
        <f>27610</f>
        <v>27610.0</v>
      </c>
      <c r="I497" s="21" t="str">
        <f>"－"</f>
        <v>－</v>
      </c>
      <c r="J497" s="21" t="n">
        <f>48620</f>
        <v>48620.0</v>
      </c>
      <c r="K497" s="21" t="str">
        <f>"－"</f>
        <v>－</v>
      </c>
      <c r="L497" s="4" t="s">
        <v>263</v>
      </c>
      <c r="M497" s="22" t="n">
        <f>86481</f>
        <v>86481.0</v>
      </c>
      <c r="N497" s="5" t="s">
        <v>193</v>
      </c>
      <c r="O497" s="23" t="n">
        <f>19479</f>
        <v>19479.0</v>
      </c>
      <c r="P497" s="3" t="s">
        <v>1139</v>
      </c>
      <c r="Q497" s="21" t="n">
        <f>2846803000000</f>
        <v>2.846803E12</v>
      </c>
      <c r="R497" s="3" t="s">
        <v>247</v>
      </c>
      <c r="S497" s="21" t="n">
        <f>5035460202302</f>
        <v>5.035460202302E12</v>
      </c>
      <c r="T497" s="21" t="str">
        <f>"－"</f>
        <v>－</v>
      </c>
      <c r="U497" s="5" t="s">
        <v>263</v>
      </c>
      <c r="V497" s="23" t="n">
        <f>8826128130000</f>
        <v>8.82612813E12</v>
      </c>
      <c r="W497" s="5" t="s">
        <v>193</v>
      </c>
      <c r="X497" s="23" t="n">
        <f>1983691610000</f>
        <v>1.98369161E12</v>
      </c>
      <c r="Y497" s="23"/>
      <c r="Z497" s="21" t="str">
        <f>"－"</f>
        <v>－</v>
      </c>
      <c r="AA497" s="21" t="n">
        <f>134722</f>
        <v>134722.0</v>
      </c>
      <c r="AB497" s="4" t="s">
        <v>406</v>
      </c>
      <c r="AC497" s="22" t="n">
        <f>178985</f>
        <v>178985.0</v>
      </c>
      <c r="AD497" s="5" t="s">
        <v>88</v>
      </c>
      <c r="AE497" s="23" t="n">
        <f>126849</f>
        <v>126849.0</v>
      </c>
    </row>
    <row r="498">
      <c r="A498" s="24" t="s">
        <v>1113</v>
      </c>
      <c r="B498" s="25" t="s">
        <v>1114</v>
      </c>
      <c r="C498" s="26"/>
      <c r="D498" s="27"/>
      <c r="E498" s="28" t="s">
        <v>284</v>
      </c>
      <c r="F498" s="20" t="n">
        <f>123</f>
        <v>123.0</v>
      </c>
      <c r="G498" s="21" t="n">
        <f>6673049</f>
        <v>6673049.0</v>
      </c>
      <c r="H498" s="21" t="n">
        <f>27918</f>
        <v>27918.0</v>
      </c>
      <c r="I498" s="21" t="str">
        <f>"－"</f>
        <v>－</v>
      </c>
      <c r="J498" s="21" t="n">
        <f>54252</f>
        <v>54252.0</v>
      </c>
      <c r="K498" s="21" t="str">
        <f>"－"</f>
        <v>－</v>
      </c>
      <c r="L498" s="4" t="s">
        <v>1140</v>
      </c>
      <c r="M498" s="22" t="n">
        <f>101522</f>
        <v>101522.0</v>
      </c>
      <c r="N498" s="5" t="s">
        <v>285</v>
      </c>
      <c r="O498" s="23" t="n">
        <f>18897</f>
        <v>18897.0</v>
      </c>
      <c r="P498" s="3" t="s">
        <v>1141</v>
      </c>
      <c r="Q498" s="21" t="n">
        <f>2994790000000</f>
        <v>2.99479E12</v>
      </c>
      <c r="R498" s="3" t="s">
        <v>247</v>
      </c>
      <c r="S498" s="21" t="n">
        <f>5905508518049</f>
        <v>5.905508518049E12</v>
      </c>
      <c r="T498" s="21" t="str">
        <f>"－"</f>
        <v>－</v>
      </c>
      <c r="U498" s="5" t="s">
        <v>149</v>
      </c>
      <c r="V498" s="23" t="n">
        <f>11190651260000</f>
        <v>1.119065126E13</v>
      </c>
      <c r="W498" s="5" t="s">
        <v>285</v>
      </c>
      <c r="X498" s="23" t="n">
        <f>2046657290000</f>
        <v>2.04665729E12</v>
      </c>
      <c r="Y498" s="23"/>
      <c r="Z498" s="21" t="str">
        <f>"－"</f>
        <v>－</v>
      </c>
      <c r="AA498" s="21" t="n">
        <f>119744</f>
        <v>119744.0</v>
      </c>
      <c r="AB498" s="4" t="s">
        <v>440</v>
      </c>
      <c r="AC498" s="22" t="n">
        <f>190765</f>
        <v>190765.0</v>
      </c>
      <c r="AD498" s="5" t="s">
        <v>330</v>
      </c>
      <c r="AE498" s="23" t="n">
        <f>119744</f>
        <v>119744.0</v>
      </c>
    </row>
    <row r="499">
      <c r="A499" s="24" t="s">
        <v>1113</v>
      </c>
      <c r="B499" s="25" t="s">
        <v>1114</v>
      </c>
      <c r="C499" s="26"/>
      <c r="D499" s="27"/>
      <c r="E499" s="28" t="s">
        <v>288</v>
      </c>
      <c r="F499" s="20" t="n">
        <f>124</f>
        <v>124.0</v>
      </c>
      <c r="G499" s="21" t="n">
        <f>7273126</f>
        <v>7273126.0</v>
      </c>
      <c r="H499" s="21" t="n">
        <f>38388</f>
        <v>38388.0</v>
      </c>
      <c r="I499" s="21" t="str">
        <f>"－"</f>
        <v>－</v>
      </c>
      <c r="J499" s="21" t="n">
        <f>58654</f>
        <v>58654.0</v>
      </c>
      <c r="K499" s="21" t="str">
        <f>"－"</f>
        <v>－</v>
      </c>
      <c r="L499" s="4" t="s">
        <v>442</v>
      </c>
      <c r="M499" s="22" t="n">
        <f>99202</f>
        <v>99202.0</v>
      </c>
      <c r="N499" s="5" t="s">
        <v>750</v>
      </c>
      <c r="O499" s="23" t="n">
        <f>25884</f>
        <v>25884.0</v>
      </c>
      <c r="P499" s="3" t="s">
        <v>1142</v>
      </c>
      <c r="Q499" s="21" t="n">
        <f>4212135000000</f>
        <v>4.212135E12</v>
      </c>
      <c r="R499" s="3" t="s">
        <v>247</v>
      </c>
      <c r="S499" s="21" t="n">
        <f>6421112763468</f>
        <v>6.421112763468E12</v>
      </c>
      <c r="T499" s="21" t="str">
        <f>"－"</f>
        <v>－</v>
      </c>
      <c r="U499" s="5" t="s">
        <v>442</v>
      </c>
      <c r="V499" s="23" t="n">
        <f>11083872670000</f>
        <v>1.108387267E13</v>
      </c>
      <c r="W499" s="5" t="s">
        <v>350</v>
      </c>
      <c r="X499" s="23" t="n">
        <f>2808690530000</f>
        <v>2.80869053E12</v>
      </c>
      <c r="Y499" s="23"/>
      <c r="Z499" s="21" t="str">
        <f>"－"</f>
        <v>－</v>
      </c>
      <c r="AA499" s="21" t="n">
        <f>146661</f>
        <v>146661.0</v>
      </c>
      <c r="AB499" s="4" t="s">
        <v>325</v>
      </c>
      <c r="AC499" s="22" t="n">
        <f>207261</f>
        <v>207261.0</v>
      </c>
      <c r="AD499" s="5" t="s">
        <v>88</v>
      </c>
      <c r="AE499" s="23" t="n">
        <f>12528</f>
        <v>12528.0</v>
      </c>
    </row>
    <row r="500">
      <c r="A500" s="24" t="s">
        <v>1113</v>
      </c>
      <c r="B500" s="25" t="s">
        <v>1114</v>
      </c>
      <c r="C500" s="26"/>
      <c r="D500" s="27"/>
      <c r="E500" s="28" t="s">
        <v>291</v>
      </c>
      <c r="F500" s="20" t="n">
        <f>122</f>
        <v>122.0</v>
      </c>
      <c r="G500" s="21" t="n">
        <f>7603915</f>
        <v>7603915.0</v>
      </c>
      <c r="H500" s="21" t="n">
        <f>43340</f>
        <v>43340.0</v>
      </c>
      <c r="I500" s="21" t="str">
        <f>"－"</f>
        <v>－</v>
      </c>
      <c r="J500" s="21" t="n">
        <f>62327</f>
        <v>62327.0</v>
      </c>
      <c r="K500" s="21" t="str">
        <f>"－"</f>
        <v>－</v>
      </c>
      <c r="L500" s="4" t="s">
        <v>306</v>
      </c>
      <c r="M500" s="22" t="n">
        <f>104421</f>
        <v>104421.0</v>
      </c>
      <c r="N500" s="5" t="s">
        <v>285</v>
      </c>
      <c r="O500" s="23" t="n">
        <f>24790</f>
        <v>24790.0</v>
      </c>
      <c r="P500" s="3" t="s">
        <v>1143</v>
      </c>
      <c r="Q500" s="21" t="n">
        <f>4952190000000</f>
        <v>4.95219E12</v>
      </c>
      <c r="R500" s="3" t="s">
        <v>247</v>
      </c>
      <c r="S500" s="21" t="n">
        <f>7129684183607</f>
        <v>7.129684183607E12</v>
      </c>
      <c r="T500" s="21" t="str">
        <f>"－"</f>
        <v>－</v>
      </c>
      <c r="U500" s="5" t="s">
        <v>306</v>
      </c>
      <c r="V500" s="23" t="n">
        <f>12044489500000</f>
        <v>1.20444895E13</v>
      </c>
      <c r="W500" s="5" t="s">
        <v>285</v>
      </c>
      <c r="X500" s="23" t="n">
        <f>2906063840000</f>
        <v>2.90606384E12</v>
      </c>
      <c r="Y500" s="23"/>
      <c r="Z500" s="21" t="str">
        <f>"－"</f>
        <v>－</v>
      </c>
      <c r="AA500" s="21" t="n">
        <f>139989</f>
        <v>139989.0</v>
      </c>
      <c r="AB500" s="4" t="s">
        <v>1144</v>
      </c>
      <c r="AC500" s="22" t="n">
        <f>190322</f>
        <v>190322.0</v>
      </c>
      <c r="AD500" s="5" t="s">
        <v>698</v>
      </c>
      <c r="AE500" s="23" t="n">
        <f>138271</f>
        <v>138271.0</v>
      </c>
    </row>
    <row r="501">
      <c r="A501" s="24" t="s">
        <v>1113</v>
      </c>
      <c r="B501" s="25" t="s">
        <v>1114</v>
      </c>
      <c r="C501" s="26"/>
      <c r="D501" s="27"/>
      <c r="E501" s="28" t="s">
        <v>295</v>
      </c>
      <c r="F501" s="20" t="n">
        <f>125</f>
        <v>125.0</v>
      </c>
      <c r="G501" s="21" t="n">
        <f>6534092</f>
        <v>6534092.0</v>
      </c>
      <c r="H501" s="21" t="n">
        <f>25652</f>
        <v>25652.0</v>
      </c>
      <c r="I501" s="21" t="str">
        <f>"－"</f>
        <v>－</v>
      </c>
      <c r="J501" s="21" t="n">
        <f>52273</f>
        <v>52273.0</v>
      </c>
      <c r="K501" s="21" t="str">
        <f>"－"</f>
        <v>－</v>
      </c>
      <c r="L501" s="4" t="s">
        <v>230</v>
      </c>
      <c r="M501" s="22" t="n">
        <f>108408</f>
        <v>108408.0</v>
      </c>
      <c r="N501" s="5" t="s">
        <v>927</v>
      </c>
      <c r="O501" s="23" t="n">
        <f>28786</f>
        <v>28786.0</v>
      </c>
      <c r="P501" s="3" t="s">
        <v>1145</v>
      </c>
      <c r="Q501" s="21" t="n">
        <f>2848421000000</f>
        <v>2.848421E12</v>
      </c>
      <c r="R501" s="3" t="s">
        <v>247</v>
      </c>
      <c r="S501" s="21" t="n">
        <f>5743340083840</f>
        <v>5.74334008384E12</v>
      </c>
      <c r="T501" s="21" t="str">
        <f>"－"</f>
        <v>－</v>
      </c>
      <c r="U501" s="5" t="s">
        <v>230</v>
      </c>
      <c r="V501" s="23" t="n">
        <f>12151671620000</f>
        <v>1.215167162E13</v>
      </c>
      <c r="W501" s="5" t="s">
        <v>544</v>
      </c>
      <c r="X501" s="23" t="n">
        <f>3085663010000</f>
        <v>3.08566301E12</v>
      </c>
      <c r="Y501" s="23"/>
      <c r="Z501" s="21" t="str">
        <f>"－"</f>
        <v>－</v>
      </c>
      <c r="AA501" s="21" t="n">
        <f>185395</f>
        <v>185395.0</v>
      </c>
      <c r="AB501" s="4" t="s">
        <v>266</v>
      </c>
      <c r="AC501" s="22" t="n">
        <f>232711</f>
        <v>232711.0</v>
      </c>
      <c r="AD501" s="5" t="s">
        <v>784</v>
      </c>
      <c r="AE501" s="23" t="n">
        <f>137660</f>
        <v>137660.0</v>
      </c>
    </row>
    <row r="502">
      <c r="A502" s="24" t="s">
        <v>1113</v>
      </c>
      <c r="B502" s="25" t="s">
        <v>1114</v>
      </c>
      <c r="C502" s="26"/>
      <c r="D502" s="27"/>
      <c r="E502" s="28" t="s">
        <v>297</v>
      </c>
      <c r="F502" s="20" t="n">
        <f>122</f>
        <v>122.0</v>
      </c>
      <c r="G502" s="21" t="n">
        <f>6497583</f>
        <v>6497583.0</v>
      </c>
      <c r="H502" s="21" t="n">
        <f>26219</f>
        <v>26219.0</v>
      </c>
      <c r="I502" s="21" t="str">
        <f>"－"</f>
        <v>－</v>
      </c>
      <c r="J502" s="21" t="n">
        <f>53259</f>
        <v>53259.0</v>
      </c>
      <c r="K502" s="21" t="str">
        <f>"－"</f>
        <v>－</v>
      </c>
      <c r="L502" s="4" t="s">
        <v>516</v>
      </c>
      <c r="M502" s="22" t="n">
        <f>109056</f>
        <v>109056.0</v>
      </c>
      <c r="N502" s="5" t="s">
        <v>314</v>
      </c>
      <c r="O502" s="23" t="n">
        <f>19481</f>
        <v>19481.0</v>
      </c>
      <c r="P502" s="3" t="s">
        <v>1146</v>
      </c>
      <c r="Q502" s="21" t="n">
        <f>2847945000000</f>
        <v>2.847945E12</v>
      </c>
      <c r="R502" s="3" t="s">
        <v>247</v>
      </c>
      <c r="S502" s="21" t="n">
        <f>5799053339016</f>
        <v>5.799053339016E12</v>
      </c>
      <c r="T502" s="21" t="str">
        <f>"－"</f>
        <v>－</v>
      </c>
      <c r="U502" s="5" t="s">
        <v>516</v>
      </c>
      <c r="V502" s="23" t="n">
        <f>11964818240000</f>
        <v>1.196481824E13</v>
      </c>
      <c r="W502" s="5" t="s">
        <v>314</v>
      </c>
      <c r="X502" s="23" t="n">
        <f>2116476690000</f>
        <v>2.11647669E12</v>
      </c>
      <c r="Y502" s="23"/>
      <c r="Z502" s="21" t="str">
        <f>"－"</f>
        <v>－</v>
      </c>
      <c r="AA502" s="21" t="n">
        <f>191416</f>
        <v>191416.0</v>
      </c>
      <c r="AB502" s="4" t="s">
        <v>1147</v>
      </c>
      <c r="AC502" s="22" t="n">
        <f>266994</f>
        <v>266994.0</v>
      </c>
      <c r="AD502" s="5" t="s">
        <v>78</v>
      </c>
      <c r="AE502" s="23" t="n">
        <f>153406</f>
        <v>153406.0</v>
      </c>
    </row>
    <row r="503">
      <c r="A503" s="24" t="s">
        <v>1113</v>
      </c>
      <c r="B503" s="25" t="s">
        <v>1114</v>
      </c>
      <c r="C503" s="26"/>
      <c r="D503" s="27"/>
      <c r="E503" s="28" t="s">
        <v>301</v>
      </c>
      <c r="F503" s="20" t="n">
        <f>126</f>
        <v>126.0</v>
      </c>
      <c r="G503" s="21" t="n">
        <f>7272931</f>
        <v>7272931.0</v>
      </c>
      <c r="H503" s="21" t="n">
        <f>54136</f>
        <v>54136.0</v>
      </c>
      <c r="I503" s="21" t="str">
        <f>"－"</f>
        <v>－</v>
      </c>
      <c r="J503" s="21" t="n">
        <f>57722</f>
        <v>57722.0</v>
      </c>
      <c r="K503" s="21" t="str">
        <f>"－"</f>
        <v>－</v>
      </c>
      <c r="L503" s="4" t="s">
        <v>1148</v>
      </c>
      <c r="M503" s="22" t="n">
        <f>111138</f>
        <v>111138.0</v>
      </c>
      <c r="N503" s="5" t="s">
        <v>1072</v>
      </c>
      <c r="O503" s="23" t="n">
        <f>31427</f>
        <v>31427.0</v>
      </c>
      <c r="P503" s="3" t="s">
        <v>1149</v>
      </c>
      <c r="Q503" s="21" t="n">
        <f>6237044000000</f>
        <v>6.237044E12</v>
      </c>
      <c r="R503" s="3" t="s">
        <v>247</v>
      </c>
      <c r="S503" s="21" t="n">
        <f>6843705843810</f>
        <v>6.84370584381E12</v>
      </c>
      <c r="T503" s="21" t="str">
        <f>"－"</f>
        <v>－</v>
      </c>
      <c r="U503" s="5" t="s">
        <v>1148</v>
      </c>
      <c r="V503" s="23" t="n">
        <f>13256248920000</f>
        <v>1.325624892E13</v>
      </c>
      <c r="W503" s="5" t="s">
        <v>1072</v>
      </c>
      <c r="X503" s="23" t="n">
        <f>3772954950000</f>
        <v>3.77295495E12</v>
      </c>
      <c r="Y503" s="23"/>
      <c r="Z503" s="21" t="str">
        <f>"－"</f>
        <v>－</v>
      </c>
      <c r="AA503" s="21" t="n">
        <f>214187</f>
        <v>214187.0</v>
      </c>
      <c r="AB503" s="4" t="s">
        <v>100</v>
      </c>
      <c r="AC503" s="22" t="n">
        <f>236500</f>
        <v>236500.0</v>
      </c>
      <c r="AD503" s="5" t="s">
        <v>936</v>
      </c>
      <c r="AE503" s="23" t="n">
        <f>144027</f>
        <v>144027.0</v>
      </c>
    </row>
    <row r="504">
      <c r="A504" s="24" t="s">
        <v>1113</v>
      </c>
      <c r="B504" s="25" t="s">
        <v>1114</v>
      </c>
      <c r="C504" s="26"/>
      <c r="D504" s="27"/>
      <c r="E504" s="28" t="s">
        <v>305</v>
      </c>
      <c r="F504" s="20" t="n">
        <f>121</f>
        <v>121.0</v>
      </c>
      <c r="G504" s="21" t="n">
        <f>6206610</f>
        <v>6206610.0</v>
      </c>
      <c r="H504" s="21" t="n">
        <f>29452</f>
        <v>29452.0</v>
      </c>
      <c r="I504" s="21" t="str">
        <f>"－"</f>
        <v>－</v>
      </c>
      <c r="J504" s="21" t="n">
        <f>51294</f>
        <v>51294.0</v>
      </c>
      <c r="K504" s="21" t="str">
        <f>"－"</f>
        <v>－</v>
      </c>
      <c r="L504" s="4" t="s">
        <v>455</v>
      </c>
      <c r="M504" s="22" t="n">
        <f>95124</f>
        <v>95124.0</v>
      </c>
      <c r="N504" s="5" t="s">
        <v>257</v>
      </c>
      <c r="O504" s="23" t="n">
        <f>18420</f>
        <v>18420.0</v>
      </c>
      <c r="P504" s="3" t="s">
        <v>1150</v>
      </c>
      <c r="Q504" s="21" t="n">
        <f>3535154000000</f>
        <v>3.535154E12</v>
      </c>
      <c r="R504" s="3" t="s">
        <v>247</v>
      </c>
      <c r="S504" s="21" t="n">
        <f>6161813940992</f>
        <v>6.161813940992E12</v>
      </c>
      <c r="T504" s="21" t="str">
        <f>"－"</f>
        <v>－</v>
      </c>
      <c r="U504" s="5" t="s">
        <v>455</v>
      </c>
      <c r="V504" s="23" t="n">
        <f>11178203290000</f>
        <v>1.117820329E13</v>
      </c>
      <c r="W504" s="5" t="s">
        <v>257</v>
      </c>
      <c r="X504" s="23" t="n">
        <f>2204939520000</f>
        <v>2.20493952E12</v>
      </c>
      <c r="Y504" s="23"/>
      <c r="Z504" s="21" t="str">
        <f>"－"</f>
        <v>－</v>
      </c>
      <c r="AA504" s="21" t="n">
        <f>181718</f>
        <v>181718.0</v>
      </c>
      <c r="AB504" s="4" t="s">
        <v>504</v>
      </c>
      <c r="AC504" s="22" t="n">
        <f>233153</f>
        <v>233153.0</v>
      </c>
      <c r="AD504" s="5" t="s">
        <v>64</v>
      </c>
      <c r="AE504" s="23" t="n">
        <f>162260</f>
        <v>162260.0</v>
      </c>
    </row>
    <row r="505">
      <c r="A505" s="24" t="s">
        <v>1113</v>
      </c>
      <c r="B505" s="25" t="s">
        <v>1114</v>
      </c>
      <c r="C505" s="26"/>
      <c r="D505" s="27"/>
      <c r="E505" s="28" t="s">
        <v>309</v>
      </c>
      <c r="F505" s="20" t="n">
        <f>126</f>
        <v>126.0</v>
      </c>
      <c r="G505" s="21" t="n">
        <f>6168335</f>
        <v>6168335.0</v>
      </c>
      <c r="H505" s="21" t="n">
        <f>33468</f>
        <v>33468.0</v>
      </c>
      <c r="I505" s="21" t="str">
        <f>"－"</f>
        <v>－</v>
      </c>
      <c r="J505" s="21" t="n">
        <f>48955</f>
        <v>48955.0</v>
      </c>
      <c r="K505" s="21" t="str">
        <f>"－"</f>
        <v>－</v>
      </c>
      <c r="L505" s="4" t="s">
        <v>245</v>
      </c>
      <c r="M505" s="22" t="n">
        <f>109655</f>
        <v>109655.0</v>
      </c>
      <c r="N505" s="5" t="s">
        <v>1108</v>
      </c>
      <c r="O505" s="23" t="n">
        <f>21987</f>
        <v>21987.0</v>
      </c>
      <c r="P505" s="3" t="s">
        <v>1151</v>
      </c>
      <c r="Q505" s="21" t="n">
        <f>4001398000000</f>
        <v>4.001398E12</v>
      </c>
      <c r="R505" s="3" t="s">
        <v>247</v>
      </c>
      <c r="S505" s="21" t="n">
        <f>5846795062381</f>
        <v>5.846795062381E12</v>
      </c>
      <c r="T505" s="21" t="str">
        <f>"－"</f>
        <v>－</v>
      </c>
      <c r="U505" s="5" t="s">
        <v>245</v>
      </c>
      <c r="V505" s="23" t="n">
        <f>13299644950000</f>
        <v>1.329964495E13</v>
      </c>
      <c r="W505" s="5" t="s">
        <v>1108</v>
      </c>
      <c r="X505" s="23" t="n">
        <f>2606286150000</f>
        <v>2.60628615E12</v>
      </c>
      <c r="Y505" s="23"/>
      <c r="Z505" s="21" t="str">
        <f>"－"</f>
        <v>－</v>
      </c>
      <c r="AA505" s="21" t="n">
        <f>224719</f>
        <v>224719.0</v>
      </c>
      <c r="AB505" s="4" t="s">
        <v>72</v>
      </c>
      <c r="AC505" s="22" t="n">
        <f>293220</f>
        <v>293220.0</v>
      </c>
      <c r="AD505" s="5" t="s">
        <v>272</v>
      </c>
      <c r="AE505" s="23" t="n">
        <f>163236</f>
        <v>163236.0</v>
      </c>
    </row>
    <row r="506">
      <c r="A506" s="24" t="s">
        <v>1113</v>
      </c>
      <c r="B506" s="25" t="s">
        <v>1114</v>
      </c>
      <c r="C506" s="26"/>
      <c r="D506" s="27"/>
      <c r="E506" s="28" t="s">
        <v>313</v>
      </c>
      <c r="F506" s="20" t="n">
        <f>120</f>
        <v>120.0</v>
      </c>
      <c r="G506" s="21" t="n">
        <f>6198811</f>
        <v>6198811.0</v>
      </c>
      <c r="H506" s="21" t="n">
        <f>36926</f>
        <v>36926.0</v>
      </c>
      <c r="I506" s="21" t="str">
        <f>"－"</f>
        <v>－</v>
      </c>
      <c r="J506" s="21" t="n">
        <f>51657</f>
        <v>51657.0</v>
      </c>
      <c r="K506" s="21" t="str">
        <f>"－"</f>
        <v>－</v>
      </c>
      <c r="L506" s="4" t="s">
        <v>658</v>
      </c>
      <c r="M506" s="22" t="n">
        <f>95112</f>
        <v>95112.0</v>
      </c>
      <c r="N506" s="5" t="s">
        <v>757</v>
      </c>
      <c r="O506" s="23" t="n">
        <f>15232</f>
        <v>15232.0</v>
      </c>
      <c r="P506" s="3" t="s">
        <v>1152</v>
      </c>
      <c r="Q506" s="21" t="n">
        <f>4544610000000</f>
        <v>4.54461E12</v>
      </c>
      <c r="R506" s="3" t="s">
        <v>247</v>
      </c>
      <c r="S506" s="21" t="n">
        <f>6468809577500</f>
        <v>6.4688095775E12</v>
      </c>
      <c r="T506" s="21" t="str">
        <f>"－"</f>
        <v>－</v>
      </c>
      <c r="U506" s="5" t="s">
        <v>658</v>
      </c>
      <c r="V506" s="23" t="n">
        <f>11921098360000</f>
        <v>1.192109836E13</v>
      </c>
      <c r="W506" s="5" t="s">
        <v>757</v>
      </c>
      <c r="X506" s="23" t="n">
        <f>1885027310000</f>
        <v>1.88502731E12</v>
      </c>
      <c r="Y506" s="23"/>
      <c r="Z506" s="21" t="str">
        <f>"－"</f>
        <v>－</v>
      </c>
      <c r="AA506" s="21" t="n">
        <f>183988</f>
        <v>183988.0</v>
      </c>
      <c r="AB506" s="4" t="s">
        <v>149</v>
      </c>
      <c r="AC506" s="22" t="n">
        <f>235149</f>
        <v>235149.0</v>
      </c>
      <c r="AD506" s="5" t="s">
        <v>81</v>
      </c>
      <c r="AE506" s="23" t="n">
        <f>132137</f>
        <v>132137.0</v>
      </c>
    </row>
    <row r="507">
      <c r="A507" s="24" t="s">
        <v>1113</v>
      </c>
      <c r="B507" s="25" t="s">
        <v>1114</v>
      </c>
      <c r="C507" s="26"/>
      <c r="D507" s="27"/>
      <c r="E507" s="28" t="s">
        <v>316</v>
      </c>
      <c r="F507" s="20" t="n">
        <f>126</f>
        <v>126.0</v>
      </c>
      <c r="G507" s="21" t="n">
        <f>6074578</f>
        <v>6074578.0</v>
      </c>
      <c r="H507" s="21" t="n">
        <f>45738</f>
        <v>45738.0</v>
      </c>
      <c r="I507" s="21" t="str">
        <f>"－"</f>
        <v>－</v>
      </c>
      <c r="J507" s="21" t="n">
        <f>48211</f>
        <v>48211.0</v>
      </c>
      <c r="K507" s="21" t="str">
        <f>"－"</f>
        <v>－</v>
      </c>
      <c r="L507" s="4" t="s">
        <v>245</v>
      </c>
      <c r="M507" s="22" t="n">
        <f>98586</f>
        <v>98586.0</v>
      </c>
      <c r="N507" s="5" t="s">
        <v>317</v>
      </c>
      <c r="O507" s="23" t="n">
        <f>13908</f>
        <v>13908.0</v>
      </c>
      <c r="P507" s="3" t="s">
        <v>1153</v>
      </c>
      <c r="Q507" s="21" t="n">
        <f>5730461000000</f>
        <v>5.730461E12</v>
      </c>
      <c r="R507" s="3" t="s">
        <v>247</v>
      </c>
      <c r="S507" s="21" t="n">
        <f>6048933256270</f>
        <v>6.04893325627E12</v>
      </c>
      <c r="T507" s="21" t="str">
        <f>"－"</f>
        <v>－</v>
      </c>
      <c r="U507" s="5" t="s">
        <v>245</v>
      </c>
      <c r="V507" s="23" t="n">
        <f>12542373380000</f>
        <v>1.254237338E13</v>
      </c>
      <c r="W507" s="5" t="s">
        <v>317</v>
      </c>
      <c r="X507" s="23" t="n">
        <f>1740515950000</f>
        <v>1.74051595E12</v>
      </c>
      <c r="Y507" s="23"/>
      <c r="Z507" s="21" t="str">
        <f>"－"</f>
        <v>－</v>
      </c>
      <c r="AA507" s="21" t="n">
        <f>195205</f>
        <v>195205.0</v>
      </c>
      <c r="AB507" s="4" t="s">
        <v>675</v>
      </c>
      <c r="AC507" s="22" t="n">
        <f>231132</f>
        <v>231132.0</v>
      </c>
      <c r="AD507" s="5" t="s">
        <v>936</v>
      </c>
      <c r="AE507" s="23" t="n">
        <f>138773</f>
        <v>138773.0</v>
      </c>
    </row>
    <row r="508">
      <c r="A508" s="24" t="s">
        <v>1113</v>
      </c>
      <c r="B508" s="25" t="s">
        <v>1114</v>
      </c>
      <c r="C508" s="26"/>
      <c r="D508" s="27"/>
      <c r="E508" s="28" t="s">
        <v>320</v>
      </c>
      <c r="F508" s="20" t="n">
        <f>121</f>
        <v>121.0</v>
      </c>
      <c r="G508" s="21" t="n">
        <f>5277084</f>
        <v>5277084.0</v>
      </c>
      <c r="H508" s="21" t="n">
        <f>40102</f>
        <v>40102.0</v>
      </c>
      <c r="I508" s="21" t="str">
        <f>"－"</f>
        <v>－</v>
      </c>
      <c r="J508" s="21" t="n">
        <f>43612</f>
        <v>43612.0</v>
      </c>
      <c r="K508" s="21" t="str">
        <f>"－"</f>
        <v>－</v>
      </c>
      <c r="L508" s="4" t="s">
        <v>292</v>
      </c>
      <c r="M508" s="22" t="n">
        <f>94056</f>
        <v>94056.0</v>
      </c>
      <c r="N508" s="5" t="s">
        <v>50</v>
      </c>
      <c r="O508" s="23" t="n">
        <f>10381</f>
        <v>10381.0</v>
      </c>
      <c r="P508" s="3" t="s">
        <v>1154</v>
      </c>
      <c r="Q508" s="21" t="n">
        <f>5182926000000</f>
        <v>5.182926E12</v>
      </c>
      <c r="R508" s="3" t="s">
        <v>247</v>
      </c>
      <c r="S508" s="21" t="n">
        <f>5658809194793</f>
        <v>5.658809194793E12</v>
      </c>
      <c r="T508" s="21" t="str">
        <f>"－"</f>
        <v>－</v>
      </c>
      <c r="U508" s="5" t="s">
        <v>292</v>
      </c>
      <c r="V508" s="23" t="n">
        <f>12231618220000</f>
        <v>1.223161822E13</v>
      </c>
      <c r="W508" s="5" t="s">
        <v>50</v>
      </c>
      <c r="X508" s="23" t="n">
        <f>1347656870000</f>
        <v>1.34765687E12</v>
      </c>
      <c r="Y508" s="23"/>
      <c r="Z508" s="21" t="str">
        <f>"－"</f>
        <v>－</v>
      </c>
      <c r="AA508" s="21" t="n">
        <f>138021</f>
        <v>138021.0</v>
      </c>
      <c r="AB508" s="4" t="s">
        <v>1155</v>
      </c>
      <c r="AC508" s="22" t="n">
        <f>225941</f>
        <v>225941.0</v>
      </c>
      <c r="AD508" s="5" t="s">
        <v>81</v>
      </c>
      <c r="AE508" s="23" t="n">
        <f>132915</f>
        <v>132915.0</v>
      </c>
    </row>
    <row r="509">
      <c r="A509" s="24" t="s">
        <v>1113</v>
      </c>
      <c r="B509" s="25" t="s">
        <v>1114</v>
      </c>
      <c r="C509" s="26"/>
      <c r="D509" s="27"/>
      <c r="E509" s="28" t="s">
        <v>324</v>
      </c>
      <c r="F509" s="20" t="n">
        <f>125</f>
        <v>125.0</v>
      </c>
      <c r="G509" s="21" t="n">
        <f>5743662</f>
        <v>5743662.0</v>
      </c>
      <c r="H509" s="21" t="n">
        <f>59228</f>
        <v>59228.0</v>
      </c>
      <c r="I509" s="21" t="str">
        <f>"－"</f>
        <v>－</v>
      </c>
      <c r="J509" s="21" t="n">
        <f>45949</f>
        <v>45949.0</v>
      </c>
      <c r="K509" s="21" t="str">
        <f>"－"</f>
        <v>－</v>
      </c>
      <c r="L509" s="4" t="s">
        <v>709</v>
      </c>
      <c r="M509" s="22" t="n">
        <f>121109</f>
        <v>121109.0</v>
      </c>
      <c r="N509" s="5" t="s">
        <v>764</v>
      </c>
      <c r="O509" s="23" t="n">
        <f>20823</f>
        <v>20823.0</v>
      </c>
      <c r="P509" s="3" t="s">
        <v>1156</v>
      </c>
      <c r="Q509" s="21" t="n">
        <f>7882141000000</f>
        <v>7.882141E12</v>
      </c>
      <c r="R509" s="3" t="s">
        <v>247</v>
      </c>
      <c r="S509" s="21" t="n">
        <f>6138780670240</f>
        <v>6.13878067024E12</v>
      </c>
      <c r="T509" s="21" t="str">
        <f>"－"</f>
        <v>－</v>
      </c>
      <c r="U509" s="5" t="s">
        <v>709</v>
      </c>
      <c r="V509" s="23" t="n">
        <f>16341449190000</f>
        <v>1.634144919E13</v>
      </c>
      <c r="W509" s="5" t="s">
        <v>764</v>
      </c>
      <c r="X509" s="23" t="n">
        <f>2725856920000</f>
        <v>2.72585692E12</v>
      </c>
      <c r="Y509" s="23"/>
      <c r="Z509" s="21" t="str">
        <f>"－"</f>
        <v>－</v>
      </c>
      <c r="AA509" s="21" t="n">
        <f>148575</f>
        <v>148575.0</v>
      </c>
      <c r="AB509" s="4" t="s">
        <v>563</v>
      </c>
      <c r="AC509" s="22" t="n">
        <f>231803</f>
        <v>231803.0</v>
      </c>
      <c r="AD509" s="5" t="s">
        <v>450</v>
      </c>
      <c r="AE509" s="23" t="n">
        <f>143391</f>
        <v>143391.0</v>
      </c>
    </row>
    <row r="510">
      <c r="A510" s="24" t="s">
        <v>1113</v>
      </c>
      <c r="B510" s="25" t="s">
        <v>1114</v>
      </c>
      <c r="C510" s="26"/>
      <c r="D510" s="27"/>
      <c r="E510" s="28" t="s">
        <v>327</v>
      </c>
      <c r="F510" s="20" t="n">
        <f>122</f>
        <v>122.0</v>
      </c>
      <c r="G510" s="21" t="n">
        <f>5154223</f>
        <v>5154223.0</v>
      </c>
      <c r="H510" s="21" t="n">
        <f>72294</f>
        <v>72294.0</v>
      </c>
      <c r="I510" s="21" t="str">
        <f>"－"</f>
        <v>－</v>
      </c>
      <c r="J510" s="21" t="n">
        <f>42248</f>
        <v>42248.0</v>
      </c>
      <c r="K510" s="21" t="str">
        <f>"－"</f>
        <v>－</v>
      </c>
      <c r="L510" s="4" t="s">
        <v>292</v>
      </c>
      <c r="M510" s="22" t="n">
        <f>89251</f>
        <v>89251.0</v>
      </c>
      <c r="N510" s="5" t="s">
        <v>175</v>
      </c>
      <c r="O510" s="23" t="n">
        <f>11766</f>
        <v>11766.0</v>
      </c>
      <c r="P510" s="3" t="s">
        <v>1157</v>
      </c>
      <c r="Q510" s="21" t="n">
        <f>9700702000000</f>
        <v>9.700702E12</v>
      </c>
      <c r="R510" s="3" t="s">
        <v>247</v>
      </c>
      <c r="S510" s="21" t="n">
        <f>5641972820984</f>
        <v>5.641972820984E12</v>
      </c>
      <c r="T510" s="21" t="str">
        <f>"－"</f>
        <v>－</v>
      </c>
      <c r="U510" s="5" t="s">
        <v>292</v>
      </c>
      <c r="V510" s="23" t="n">
        <f>12139623290000</f>
        <v>1.213962329E13</v>
      </c>
      <c r="W510" s="5" t="s">
        <v>175</v>
      </c>
      <c r="X510" s="23" t="n">
        <f>1629697760000</f>
        <v>1.62969776E12</v>
      </c>
      <c r="Y510" s="23"/>
      <c r="Z510" s="21" t="str">
        <f>"－"</f>
        <v>－</v>
      </c>
      <c r="AA510" s="21" t="n">
        <f>124337</f>
        <v>124337.0</v>
      </c>
      <c r="AB510" s="4" t="s">
        <v>1022</v>
      </c>
      <c r="AC510" s="22" t="n">
        <f>183698</f>
        <v>183698.0</v>
      </c>
      <c r="AD510" s="5" t="s">
        <v>81</v>
      </c>
      <c r="AE510" s="23" t="n">
        <f>105579</f>
        <v>105579.0</v>
      </c>
    </row>
    <row r="511">
      <c r="A511" s="24" t="s">
        <v>1113</v>
      </c>
      <c r="B511" s="25" t="s">
        <v>1114</v>
      </c>
      <c r="C511" s="26"/>
      <c r="D511" s="27"/>
      <c r="E511" s="28" t="s">
        <v>331</v>
      </c>
      <c r="F511" s="20" t="n">
        <f>124</f>
        <v>124.0</v>
      </c>
      <c r="G511" s="21" t="n">
        <f>5361471</f>
        <v>5361471.0</v>
      </c>
      <c r="H511" s="21" t="n">
        <f>32306</f>
        <v>32306.0</v>
      </c>
      <c r="I511" s="21" t="str">
        <f>"－"</f>
        <v>－</v>
      </c>
      <c r="J511" s="21" t="n">
        <f>43238</f>
        <v>43238.0</v>
      </c>
      <c r="K511" s="21" t="str">
        <f>"－"</f>
        <v>－</v>
      </c>
      <c r="L511" s="4" t="s">
        <v>823</v>
      </c>
      <c r="M511" s="22" t="n">
        <f>97054</f>
        <v>97054.0</v>
      </c>
      <c r="N511" s="5" t="s">
        <v>754</v>
      </c>
      <c r="O511" s="23" t="n">
        <f>13962</f>
        <v>13962.0</v>
      </c>
      <c r="P511" s="3" t="s">
        <v>1158</v>
      </c>
      <c r="Q511" s="21" t="n">
        <f>4298878000000</f>
        <v>4.298878E12</v>
      </c>
      <c r="R511" s="3" t="s">
        <v>247</v>
      </c>
      <c r="S511" s="21" t="n">
        <f>5723600516290</f>
        <v>5.72360051629E12</v>
      </c>
      <c r="T511" s="21" t="str">
        <f>"－"</f>
        <v>－</v>
      </c>
      <c r="U511" s="5" t="s">
        <v>823</v>
      </c>
      <c r="V511" s="23" t="n">
        <f>12978599180000</f>
        <v>1.297859918E13</v>
      </c>
      <c r="W511" s="5" t="s">
        <v>754</v>
      </c>
      <c r="X511" s="23" t="n">
        <f>1844779530000</f>
        <v>1.84477953E12</v>
      </c>
      <c r="Y511" s="23"/>
      <c r="Z511" s="21" t="str">
        <f>"－"</f>
        <v>－</v>
      </c>
      <c r="AA511" s="21" t="n">
        <f>137521</f>
        <v>137521.0</v>
      </c>
      <c r="AB511" s="4" t="s">
        <v>262</v>
      </c>
      <c r="AC511" s="22" t="n">
        <f>229521</f>
        <v>229521.0</v>
      </c>
      <c r="AD511" s="5" t="s">
        <v>335</v>
      </c>
      <c r="AE511" s="23" t="n">
        <f>124741</f>
        <v>124741.0</v>
      </c>
    </row>
    <row r="512">
      <c r="A512" s="24" t="s">
        <v>1113</v>
      </c>
      <c r="B512" s="25" t="s">
        <v>1114</v>
      </c>
      <c r="C512" s="26"/>
      <c r="D512" s="27"/>
      <c r="E512" s="28" t="s">
        <v>336</v>
      </c>
      <c r="F512" s="20" t="n">
        <f>122</f>
        <v>122.0</v>
      </c>
      <c r="G512" s="21" t="n">
        <f>4745308</f>
        <v>4745308.0</v>
      </c>
      <c r="H512" s="21" t="n">
        <f>10843</f>
        <v>10843.0</v>
      </c>
      <c r="I512" s="21" t="str">
        <f>"－"</f>
        <v>－</v>
      </c>
      <c r="J512" s="21" t="n">
        <f>38896</f>
        <v>38896.0</v>
      </c>
      <c r="K512" s="21" t="str">
        <f>"－"</f>
        <v>－</v>
      </c>
      <c r="L512" s="4" t="s">
        <v>1015</v>
      </c>
      <c r="M512" s="22" t="n">
        <f>117483</f>
        <v>117483.0</v>
      </c>
      <c r="N512" s="5" t="s">
        <v>314</v>
      </c>
      <c r="O512" s="23" t="n">
        <f>3779</f>
        <v>3779.0</v>
      </c>
      <c r="P512" s="3" t="s">
        <v>1159</v>
      </c>
      <c r="Q512" s="21" t="n">
        <f>1430456000000</f>
        <v>1.430456E12</v>
      </c>
      <c r="R512" s="3" t="s">
        <v>247</v>
      </c>
      <c r="S512" s="21" t="n">
        <f>5117272093033</f>
        <v>5.117272093033E12</v>
      </c>
      <c r="T512" s="21" t="str">
        <f>"－"</f>
        <v>－</v>
      </c>
      <c r="U512" s="5" t="s">
        <v>1015</v>
      </c>
      <c r="V512" s="23" t="n">
        <f>15520021650000</f>
        <v>1.552002165E13</v>
      </c>
      <c r="W512" s="5" t="s">
        <v>314</v>
      </c>
      <c r="X512" s="23" t="n">
        <f>502061120000</f>
        <v>5.0206112E11</v>
      </c>
      <c r="Y512" s="23"/>
      <c r="Z512" s="21" t="str">
        <f>"－"</f>
        <v>－</v>
      </c>
      <c r="AA512" s="21" t="n">
        <f>225466</f>
        <v>225466.0</v>
      </c>
      <c r="AB512" s="4" t="s">
        <v>901</v>
      </c>
      <c r="AC512" s="22" t="n">
        <f>310415</f>
        <v>310415.0</v>
      </c>
      <c r="AD512" s="5" t="s">
        <v>279</v>
      </c>
      <c r="AE512" s="23" t="n">
        <f>137886</f>
        <v>137886.0</v>
      </c>
    </row>
    <row r="513">
      <c r="A513" s="24" t="s">
        <v>1113</v>
      </c>
      <c r="B513" s="25" t="s">
        <v>1114</v>
      </c>
      <c r="C513" s="26"/>
      <c r="D513" s="27"/>
      <c r="E513" s="28" t="s">
        <v>340</v>
      </c>
      <c r="F513" s="20" t="n">
        <f>125</f>
        <v>125.0</v>
      </c>
      <c r="G513" s="21" t="n">
        <f>4616941</f>
        <v>4616941.0</v>
      </c>
      <c r="H513" s="21" t="n">
        <f>30502</f>
        <v>30502.0</v>
      </c>
      <c r="I513" s="21" t="str">
        <f>"－"</f>
        <v>－</v>
      </c>
      <c r="J513" s="21" t="n">
        <f>36936</f>
        <v>36936.0</v>
      </c>
      <c r="K513" s="21" t="str">
        <f>"－"</f>
        <v>－</v>
      </c>
      <c r="L513" s="4" t="s">
        <v>892</v>
      </c>
      <c r="M513" s="22" t="n">
        <f>81693</f>
        <v>81693.0</v>
      </c>
      <c r="N513" s="5" t="s">
        <v>520</v>
      </c>
      <c r="O513" s="23" t="n">
        <f>15084</f>
        <v>15084.0</v>
      </c>
      <c r="P513" s="3" t="s">
        <v>1160</v>
      </c>
      <c r="Q513" s="21" t="n">
        <f>4040455500000</f>
        <v>4.0404555E12</v>
      </c>
      <c r="R513" s="3" t="s">
        <v>247</v>
      </c>
      <c r="S513" s="21" t="n">
        <f>4895472712240</f>
        <v>4.89547271224E12</v>
      </c>
      <c r="T513" s="21" t="str">
        <f>"－"</f>
        <v>－</v>
      </c>
      <c r="U513" s="5" t="s">
        <v>892</v>
      </c>
      <c r="V513" s="23" t="n">
        <f>10811316770000</f>
        <v>1.081131677E13</v>
      </c>
      <c r="W513" s="5" t="s">
        <v>520</v>
      </c>
      <c r="X513" s="23" t="n">
        <f>1991406090000</f>
        <v>1.99140609E12</v>
      </c>
      <c r="Y513" s="23"/>
      <c r="Z513" s="21" t="str">
        <f>"－"</f>
        <v>－</v>
      </c>
      <c r="AA513" s="21" t="n">
        <f>87300</f>
        <v>87300.0</v>
      </c>
      <c r="AB513" s="4" t="s">
        <v>666</v>
      </c>
      <c r="AC513" s="22" t="n">
        <f>226513</f>
        <v>226513.0</v>
      </c>
      <c r="AD513" s="5" t="s">
        <v>927</v>
      </c>
      <c r="AE513" s="23" t="n">
        <f>87300</f>
        <v>87300.0</v>
      </c>
    </row>
    <row r="514">
      <c r="A514" s="24" t="s">
        <v>1113</v>
      </c>
      <c r="B514" s="25" t="s">
        <v>1114</v>
      </c>
      <c r="C514" s="26"/>
      <c r="D514" s="27"/>
      <c r="E514" s="28" t="s">
        <v>344</v>
      </c>
      <c r="F514" s="20" t="n">
        <f>121</f>
        <v>121.0</v>
      </c>
      <c r="G514" s="21" t="n">
        <f>4450049</f>
        <v>4450049.0</v>
      </c>
      <c r="H514" s="21" t="n">
        <f>32250</f>
        <v>32250.0</v>
      </c>
      <c r="I514" s="21" t="str">
        <f>"－"</f>
        <v>－</v>
      </c>
      <c r="J514" s="21" t="n">
        <f>36777</f>
        <v>36777.0</v>
      </c>
      <c r="K514" s="21" t="str">
        <f>"－"</f>
        <v>－</v>
      </c>
      <c r="L514" s="4" t="s">
        <v>306</v>
      </c>
      <c r="M514" s="22" t="n">
        <f>91635</f>
        <v>91635.0</v>
      </c>
      <c r="N514" s="5" t="s">
        <v>134</v>
      </c>
      <c r="O514" s="23" t="n">
        <f>7567</f>
        <v>7567.0</v>
      </c>
      <c r="P514" s="3" t="s">
        <v>1161</v>
      </c>
      <c r="Q514" s="21" t="n">
        <f>4357873500000</f>
        <v>4.3578735E12</v>
      </c>
      <c r="R514" s="3" t="s">
        <v>247</v>
      </c>
      <c r="S514" s="21" t="n">
        <f>4996712942397</f>
        <v>4.996712942397E12</v>
      </c>
      <c r="T514" s="21" t="str">
        <f>"－"</f>
        <v>－</v>
      </c>
      <c r="U514" s="5" t="s">
        <v>306</v>
      </c>
      <c r="V514" s="23" t="n">
        <f>12373838120000</f>
        <v>1.237383812E13</v>
      </c>
      <c r="W514" s="5" t="s">
        <v>134</v>
      </c>
      <c r="X514" s="23" t="n">
        <f>1025353440000</f>
        <v>1.02535344E12</v>
      </c>
      <c r="Y514" s="23"/>
      <c r="Z514" s="21" t="str">
        <f>"－"</f>
        <v>－</v>
      </c>
      <c r="AA514" s="21" t="n">
        <f>51035</f>
        <v>51035.0</v>
      </c>
      <c r="AB514" s="4" t="s">
        <v>306</v>
      </c>
      <c r="AC514" s="22" t="n">
        <f>108611</f>
        <v>108611.0</v>
      </c>
      <c r="AD514" s="5" t="s">
        <v>68</v>
      </c>
      <c r="AE514" s="23" t="n">
        <f>46958</f>
        <v>46958.0</v>
      </c>
    </row>
    <row r="515">
      <c r="A515" s="24" t="s">
        <v>1113</v>
      </c>
      <c r="B515" s="25" t="s">
        <v>1114</v>
      </c>
      <c r="C515" s="26"/>
      <c r="D515" s="27"/>
      <c r="E515" s="28" t="s">
        <v>347</v>
      </c>
      <c r="F515" s="20" t="n">
        <f>125</f>
        <v>125.0</v>
      </c>
      <c r="G515" s="21" t="n">
        <f>3805558</f>
        <v>3805558.0</v>
      </c>
      <c r="H515" s="21" t="n">
        <f>19876</f>
        <v>19876.0</v>
      </c>
      <c r="I515" s="21" t="str">
        <f>"－"</f>
        <v>－</v>
      </c>
      <c r="J515" s="21" t="n">
        <f>30444</f>
        <v>30444.0</v>
      </c>
      <c r="K515" s="21" t="str">
        <f>"－"</f>
        <v>－</v>
      </c>
      <c r="L515" s="4" t="s">
        <v>143</v>
      </c>
      <c r="M515" s="22" t="n">
        <f>57367</f>
        <v>57367.0</v>
      </c>
      <c r="N515" s="5" t="s">
        <v>1162</v>
      </c>
      <c r="O515" s="23" t="n">
        <f>12787</f>
        <v>12787.0</v>
      </c>
      <c r="P515" s="3" t="s">
        <v>1163</v>
      </c>
      <c r="Q515" s="21" t="n">
        <f>2775453000000</f>
        <v>2.775453E12</v>
      </c>
      <c r="R515" s="3" t="s">
        <v>247</v>
      </c>
      <c r="S515" s="21" t="n">
        <f>4250043580160</f>
        <v>4.25004358016E12</v>
      </c>
      <c r="T515" s="21" t="str">
        <f>"－"</f>
        <v>－</v>
      </c>
      <c r="U515" s="5" t="s">
        <v>143</v>
      </c>
      <c r="V515" s="23" t="n">
        <f>8052555980000</f>
        <v>8.05255598E12</v>
      </c>
      <c r="W515" s="5" t="s">
        <v>1162</v>
      </c>
      <c r="X515" s="23" t="n">
        <f>1798012390000</f>
        <v>1.79801239E12</v>
      </c>
      <c r="Y515" s="23"/>
      <c r="Z515" s="21" t="str">
        <f>"－"</f>
        <v>－</v>
      </c>
      <c r="AA515" s="21" t="n">
        <f>42532</f>
        <v>42532.0</v>
      </c>
      <c r="AB515" s="4" t="s">
        <v>909</v>
      </c>
      <c r="AC515" s="22" t="n">
        <f>64950</f>
        <v>64950.0</v>
      </c>
      <c r="AD515" s="5" t="s">
        <v>193</v>
      </c>
      <c r="AE515" s="23" t="n">
        <f>37767</f>
        <v>37767.0</v>
      </c>
    </row>
    <row r="516">
      <c r="A516" s="24" t="s">
        <v>1113</v>
      </c>
      <c r="B516" s="25" t="s">
        <v>1114</v>
      </c>
      <c r="C516" s="26"/>
      <c r="D516" s="27"/>
      <c r="E516" s="28" t="s">
        <v>351</v>
      </c>
      <c r="F516" s="20" t="n">
        <f>120</f>
        <v>120.0</v>
      </c>
      <c r="G516" s="21" t="n">
        <f>3201136</f>
        <v>3201136.0</v>
      </c>
      <c r="H516" s="21" t="n">
        <f>26339</f>
        <v>26339.0</v>
      </c>
      <c r="I516" s="21" t="n">
        <f>1302</f>
        <v>1302.0</v>
      </c>
      <c r="J516" s="21" t="n">
        <f>26676</f>
        <v>26676.0</v>
      </c>
      <c r="K516" s="21" t="n">
        <f>11</f>
        <v>11.0</v>
      </c>
      <c r="L516" s="4" t="s">
        <v>93</v>
      </c>
      <c r="M516" s="22" t="n">
        <f>60372</f>
        <v>60372.0</v>
      </c>
      <c r="N516" s="5" t="s">
        <v>828</v>
      </c>
      <c r="O516" s="23" t="n">
        <f>7274</f>
        <v>7274.0</v>
      </c>
      <c r="P516" s="3" t="s">
        <v>1164</v>
      </c>
      <c r="Q516" s="21" t="n">
        <f>3639371000000</f>
        <v>3.639371E12</v>
      </c>
      <c r="R516" s="3" t="s">
        <v>1165</v>
      </c>
      <c r="S516" s="21" t="n">
        <f>3688801298083</f>
        <v>3.688801298083E12</v>
      </c>
      <c r="T516" s="21" t="n">
        <f>1485063833</f>
        <v>1.485063833E9</v>
      </c>
      <c r="U516" s="5" t="s">
        <v>93</v>
      </c>
      <c r="V516" s="23" t="n">
        <f>8315429190000</f>
        <v>8.31542919E12</v>
      </c>
      <c r="W516" s="5" t="s">
        <v>113</v>
      </c>
      <c r="X516" s="23" t="n">
        <f>1012269830000</f>
        <v>1.01226983E12</v>
      </c>
      <c r="Y516" s="23"/>
      <c r="Z516" s="21" t="str">
        <f>"－"</f>
        <v>－</v>
      </c>
      <c r="AA516" s="21" t="n">
        <f>45695</f>
        <v>45695.0</v>
      </c>
      <c r="AB516" s="4" t="s">
        <v>612</v>
      </c>
      <c r="AC516" s="22" t="n">
        <f>73254</f>
        <v>73254.0</v>
      </c>
      <c r="AD516" s="5" t="s">
        <v>241</v>
      </c>
      <c r="AE516" s="23" t="n">
        <f>35105</f>
        <v>35105.0</v>
      </c>
    </row>
    <row r="517">
      <c r="A517" s="24" t="s">
        <v>1113</v>
      </c>
      <c r="B517" s="25" t="s">
        <v>1114</v>
      </c>
      <c r="C517" s="26"/>
      <c r="D517" s="27"/>
      <c r="E517" s="28" t="s">
        <v>355</v>
      </c>
      <c r="F517" s="20" t="n">
        <f>126</f>
        <v>126.0</v>
      </c>
      <c r="G517" s="21" t="n">
        <f>3299496</f>
        <v>3299496.0</v>
      </c>
      <c r="H517" s="21" t="n">
        <f>34640</f>
        <v>34640.0</v>
      </c>
      <c r="I517" s="21" t="n">
        <f>1296</f>
        <v>1296.0</v>
      </c>
      <c r="J517" s="21" t="n">
        <f>26186</f>
        <v>26186.0</v>
      </c>
      <c r="K517" s="21" t="n">
        <f>10</f>
        <v>10.0</v>
      </c>
      <c r="L517" s="4" t="s">
        <v>84</v>
      </c>
      <c r="M517" s="22" t="n">
        <f>69609</f>
        <v>69609.0</v>
      </c>
      <c r="N517" s="5" t="s">
        <v>174</v>
      </c>
      <c r="O517" s="23" t="n">
        <f>8526</f>
        <v>8526.0</v>
      </c>
      <c r="P517" s="3" t="s">
        <v>1166</v>
      </c>
      <c r="Q517" s="21" t="n">
        <f>4826729500000</f>
        <v>4.8267295E12</v>
      </c>
      <c r="R517" s="3" t="s">
        <v>1167</v>
      </c>
      <c r="S517" s="21" t="n">
        <f>3651236535079</f>
        <v>3.651236535079E12</v>
      </c>
      <c r="T517" s="21" t="n">
        <f>1436063492</f>
        <v>1.436063492E9</v>
      </c>
      <c r="U517" s="5" t="s">
        <v>84</v>
      </c>
      <c r="V517" s="23" t="n">
        <f>9829476100000</f>
        <v>9.8294761E12</v>
      </c>
      <c r="W517" s="5" t="s">
        <v>174</v>
      </c>
      <c r="X517" s="23" t="n">
        <f>1183505880000</f>
        <v>1.18350588E12</v>
      </c>
      <c r="Y517" s="23"/>
      <c r="Z517" s="21" t="str">
        <f>"－"</f>
        <v>－</v>
      </c>
      <c r="AA517" s="21" t="n">
        <f>48094</f>
        <v>48094.0</v>
      </c>
      <c r="AB517" s="4" t="s">
        <v>72</v>
      </c>
      <c r="AC517" s="22" t="n">
        <f>67055</f>
        <v>67055.0</v>
      </c>
      <c r="AD517" s="5" t="s">
        <v>100</v>
      </c>
      <c r="AE517" s="23" t="n">
        <f>43157</f>
        <v>43157.0</v>
      </c>
    </row>
    <row r="518">
      <c r="A518" s="24" t="s">
        <v>1113</v>
      </c>
      <c r="B518" s="25" t="s">
        <v>1114</v>
      </c>
      <c r="C518" s="26"/>
      <c r="D518" s="27"/>
      <c r="E518" s="28" t="s">
        <v>358</v>
      </c>
      <c r="F518" s="20" t="n">
        <f>120</f>
        <v>120.0</v>
      </c>
      <c r="G518" s="21" t="n">
        <f>2606096</f>
        <v>2606096.0</v>
      </c>
      <c r="H518" s="21" t="n">
        <f>21210</f>
        <v>21210.0</v>
      </c>
      <c r="I518" s="21" t="n">
        <f>686</f>
        <v>686.0</v>
      </c>
      <c r="J518" s="21" t="n">
        <f>21717</f>
        <v>21717.0</v>
      </c>
      <c r="K518" s="21" t="n">
        <f>6</f>
        <v>6.0</v>
      </c>
      <c r="L518" s="4" t="s">
        <v>1022</v>
      </c>
      <c r="M518" s="22" t="n">
        <f>49694</f>
        <v>49694.0</v>
      </c>
      <c r="N518" s="5" t="s">
        <v>314</v>
      </c>
      <c r="O518" s="23" t="n">
        <f>4028</f>
        <v>4028.0</v>
      </c>
      <c r="P518" s="3" t="s">
        <v>1168</v>
      </c>
      <c r="Q518" s="21" t="n">
        <f>3014974500000</f>
        <v>3.0149745E12</v>
      </c>
      <c r="R518" s="3" t="s">
        <v>1169</v>
      </c>
      <c r="S518" s="21" t="n">
        <f>3087767169500</f>
        <v>3.0877671695E12</v>
      </c>
      <c r="T518" s="21" t="n">
        <f>813658417</f>
        <v>8.13658417E8</v>
      </c>
      <c r="U518" s="5" t="s">
        <v>1022</v>
      </c>
      <c r="V518" s="23" t="n">
        <f>7087966510000</f>
        <v>7.08796651E12</v>
      </c>
      <c r="W518" s="5" t="s">
        <v>314</v>
      </c>
      <c r="X518" s="23" t="n">
        <f>572000280000</f>
        <v>5.7200028E11</v>
      </c>
      <c r="Y518" s="23"/>
      <c r="Z518" s="21" t="str">
        <f>"－"</f>
        <v>－</v>
      </c>
      <c r="AA518" s="21" t="n">
        <f>43629</f>
        <v>43629.0</v>
      </c>
      <c r="AB518" s="4" t="s">
        <v>293</v>
      </c>
      <c r="AC518" s="22" t="n">
        <f>58388</f>
        <v>58388.0</v>
      </c>
      <c r="AD518" s="5" t="s">
        <v>241</v>
      </c>
      <c r="AE518" s="23" t="n">
        <f>32908</f>
        <v>32908.0</v>
      </c>
    </row>
    <row r="519">
      <c r="A519" s="24" t="s">
        <v>1113</v>
      </c>
      <c r="B519" s="25" t="s">
        <v>1114</v>
      </c>
      <c r="C519" s="26"/>
      <c r="D519" s="27"/>
      <c r="E519" s="28" t="s">
        <v>361</v>
      </c>
      <c r="F519" s="20" t="n">
        <f>126</f>
        <v>126.0</v>
      </c>
      <c r="G519" s="21" t="n">
        <f>3600553</f>
        <v>3600553.0</v>
      </c>
      <c r="H519" s="21" t="n">
        <f>60770</f>
        <v>60770.0</v>
      </c>
      <c r="I519" s="21" t="n">
        <f>100</f>
        <v>100.0</v>
      </c>
      <c r="J519" s="21" t="n">
        <f>28576</f>
        <v>28576.0</v>
      </c>
      <c r="K519" s="21" t="n">
        <f>1</f>
        <v>1.0</v>
      </c>
      <c r="L519" s="4" t="s">
        <v>303</v>
      </c>
      <c r="M519" s="22" t="n">
        <f>83718</f>
        <v>83718.0</v>
      </c>
      <c r="N519" s="5" t="s">
        <v>886</v>
      </c>
      <c r="O519" s="23" t="n">
        <f>8575</f>
        <v>8575.0</v>
      </c>
      <c r="P519" s="3" t="s">
        <v>1170</v>
      </c>
      <c r="Q519" s="21" t="n">
        <f>8606681000000</f>
        <v>8.606681E12</v>
      </c>
      <c r="R519" s="3" t="s">
        <v>1171</v>
      </c>
      <c r="S519" s="21" t="n">
        <f>4026134019683</f>
        <v>4.026134019683E12</v>
      </c>
      <c r="T519" s="21" t="n">
        <f>109380952</f>
        <v>1.09380952E8</v>
      </c>
      <c r="U519" s="5" t="s">
        <v>303</v>
      </c>
      <c r="V519" s="23" t="n">
        <f>11954489960000</f>
        <v>1.195448996E13</v>
      </c>
      <c r="W519" s="5" t="s">
        <v>886</v>
      </c>
      <c r="X519" s="23" t="n">
        <f>1234274610000</f>
        <v>1.23427461E12</v>
      </c>
      <c r="Y519" s="23"/>
      <c r="Z519" s="21" t="str">
        <f>"－"</f>
        <v>－</v>
      </c>
      <c r="AA519" s="21" t="n">
        <f>54848</f>
        <v>54848.0</v>
      </c>
      <c r="AB519" s="4" t="s">
        <v>245</v>
      </c>
      <c r="AC519" s="22" t="n">
        <f>100038</f>
        <v>100038.0</v>
      </c>
      <c r="AD519" s="5" t="s">
        <v>335</v>
      </c>
      <c r="AE519" s="23" t="n">
        <f>42869</f>
        <v>42869.0</v>
      </c>
    </row>
    <row r="520">
      <c r="A520" s="24" t="s">
        <v>1113</v>
      </c>
      <c r="B520" s="25" t="s">
        <v>1114</v>
      </c>
      <c r="C520" s="26"/>
      <c r="D520" s="27"/>
      <c r="E520" s="28" t="s">
        <v>365</v>
      </c>
      <c r="F520" s="20" t="n">
        <f>122</f>
        <v>122.0</v>
      </c>
      <c r="G520" s="21" t="n">
        <f>3337293</f>
        <v>3337293.0</v>
      </c>
      <c r="H520" s="21" t="n">
        <f>30059</f>
        <v>30059.0</v>
      </c>
      <c r="I520" s="21" t="n">
        <f>872</f>
        <v>872.0</v>
      </c>
      <c r="J520" s="21" t="n">
        <f>27355</f>
        <v>27355.0</v>
      </c>
      <c r="K520" s="21" t="n">
        <f>7</f>
        <v>7.0</v>
      </c>
      <c r="L520" s="4" t="s">
        <v>53</v>
      </c>
      <c r="M520" s="22" t="n">
        <f>74693</f>
        <v>74693.0</v>
      </c>
      <c r="N520" s="5" t="s">
        <v>404</v>
      </c>
      <c r="O520" s="23" t="n">
        <f>7241</f>
        <v>7241.0</v>
      </c>
      <c r="P520" s="3" t="s">
        <v>1172</v>
      </c>
      <c r="Q520" s="21" t="n">
        <f>4160192000000</f>
        <v>4.160192E12</v>
      </c>
      <c r="R520" s="3" t="s">
        <v>1173</v>
      </c>
      <c r="S520" s="21" t="n">
        <f>3783900206066</f>
        <v>3.783900206066E12</v>
      </c>
      <c r="T520" s="21" t="n">
        <f>992536066</f>
        <v>9.92536066E8</v>
      </c>
      <c r="U520" s="5" t="s">
        <v>53</v>
      </c>
      <c r="V520" s="23" t="n">
        <f>10395390940000</f>
        <v>1.039539094E13</v>
      </c>
      <c r="W520" s="5" t="s">
        <v>404</v>
      </c>
      <c r="X520" s="23" t="n">
        <f>1001621540000</f>
        <v>1.00162154E12</v>
      </c>
      <c r="Y520" s="23"/>
      <c r="Z520" s="21" t="str">
        <f>"－"</f>
        <v>－</v>
      </c>
      <c r="AA520" s="21" t="n">
        <f>95230</f>
        <v>95230.0</v>
      </c>
      <c r="AB520" s="4" t="s">
        <v>330</v>
      </c>
      <c r="AC520" s="22" t="n">
        <f>95230</f>
        <v>95230.0</v>
      </c>
      <c r="AD520" s="5" t="s">
        <v>241</v>
      </c>
      <c r="AE520" s="23" t="n">
        <f>44446</f>
        <v>44446.0</v>
      </c>
    </row>
    <row r="521">
      <c r="A521" s="24" t="s">
        <v>1113</v>
      </c>
      <c r="B521" s="25" t="s">
        <v>1114</v>
      </c>
      <c r="C521" s="26"/>
      <c r="D521" s="27"/>
      <c r="E521" s="28" t="s">
        <v>368</v>
      </c>
      <c r="F521" s="20" t="n">
        <f>124</f>
        <v>124.0</v>
      </c>
      <c r="G521" s="21" t="n">
        <f>4328220</f>
        <v>4328220.0</v>
      </c>
      <c r="H521" s="21" t="n">
        <f>40387</f>
        <v>40387.0</v>
      </c>
      <c r="I521" s="21" t="n">
        <f>340</f>
        <v>340.0</v>
      </c>
      <c r="J521" s="21" t="n">
        <f>34905</f>
        <v>34905.0</v>
      </c>
      <c r="K521" s="21" t="n">
        <f>3</f>
        <v>3.0</v>
      </c>
      <c r="L521" s="4" t="s">
        <v>88</v>
      </c>
      <c r="M521" s="22" t="n">
        <f>125939</f>
        <v>125939.0</v>
      </c>
      <c r="N521" s="5" t="s">
        <v>993</v>
      </c>
      <c r="O521" s="23" t="n">
        <f>14150</f>
        <v>14150.0</v>
      </c>
      <c r="P521" s="3" t="s">
        <v>1174</v>
      </c>
      <c r="Q521" s="21" t="n">
        <f>5507253000000</f>
        <v>5.507253E12</v>
      </c>
      <c r="R521" s="3" t="s">
        <v>1175</v>
      </c>
      <c r="S521" s="21" t="n">
        <f>4764600880323</f>
        <v>4.764600880323E12</v>
      </c>
      <c r="T521" s="21" t="n">
        <f>373981855</f>
        <v>3.73981855E8</v>
      </c>
      <c r="U521" s="5" t="s">
        <v>88</v>
      </c>
      <c r="V521" s="23" t="n">
        <f>17070865920000</f>
        <v>1.707086592E13</v>
      </c>
      <c r="W521" s="5" t="s">
        <v>993</v>
      </c>
      <c r="X521" s="23" t="n">
        <f>1912569030000</f>
        <v>1.91256903E12</v>
      </c>
      <c r="Y521" s="23"/>
      <c r="Z521" s="21" t="str">
        <f>"－"</f>
        <v>－</v>
      </c>
      <c r="AA521" s="21" t="n">
        <f>75370</f>
        <v>75370.0</v>
      </c>
      <c r="AB521" s="4" t="s">
        <v>501</v>
      </c>
      <c r="AC521" s="22" t="n">
        <f>130395</f>
        <v>130395.0</v>
      </c>
      <c r="AD521" s="5" t="s">
        <v>119</v>
      </c>
      <c r="AE521" s="23" t="n">
        <f>63312</f>
        <v>63312.0</v>
      </c>
    </row>
    <row r="522">
      <c r="A522" s="24" t="s">
        <v>1113</v>
      </c>
      <c r="B522" s="25" t="s">
        <v>1114</v>
      </c>
      <c r="C522" s="26"/>
      <c r="D522" s="27"/>
      <c r="E522" s="28" t="s">
        <v>371</v>
      </c>
      <c r="F522" s="20" t="n">
        <f>121</f>
        <v>121.0</v>
      </c>
      <c r="G522" s="21" t="n">
        <f>3962075</f>
        <v>3962075.0</v>
      </c>
      <c r="H522" s="21" t="n">
        <f>38562</f>
        <v>38562.0</v>
      </c>
      <c r="I522" s="21" t="n">
        <f>4088</f>
        <v>4088.0</v>
      </c>
      <c r="J522" s="21" t="n">
        <f>32744</f>
        <v>32744.0</v>
      </c>
      <c r="K522" s="21" t="n">
        <f>34</f>
        <v>34.0</v>
      </c>
      <c r="L522" s="4" t="s">
        <v>137</v>
      </c>
      <c r="M522" s="22" t="n">
        <f>103349</f>
        <v>103349.0</v>
      </c>
      <c r="N522" s="5" t="s">
        <v>314</v>
      </c>
      <c r="O522" s="23" t="n">
        <f>8607</f>
        <v>8607.0</v>
      </c>
      <c r="P522" s="3" t="s">
        <v>1176</v>
      </c>
      <c r="Q522" s="21" t="n">
        <f>5340944000000</f>
        <v>5.340944E12</v>
      </c>
      <c r="R522" s="3" t="s">
        <v>1177</v>
      </c>
      <c r="S522" s="21" t="n">
        <f>4536050264132</f>
        <v>4.536050264132E12</v>
      </c>
      <c r="T522" s="21" t="n">
        <f>4682469917</f>
        <v>4.682469917E9</v>
      </c>
      <c r="U522" s="5" t="s">
        <v>137</v>
      </c>
      <c r="V522" s="23" t="n">
        <f>14338991990000</f>
        <v>1.433899199E13</v>
      </c>
      <c r="W522" s="5" t="s">
        <v>314</v>
      </c>
      <c r="X522" s="23" t="n">
        <f>1190842600000</f>
        <v>1.1908426E12</v>
      </c>
      <c r="Y522" s="23"/>
      <c r="Z522" s="21" t="str">
        <f>"－"</f>
        <v>－</v>
      </c>
      <c r="AA522" s="21" t="n">
        <f>89249</f>
        <v>89249.0</v>
      </c>
      <c r="AB522" s="4" t="s">
        <v>901</v>
      </c>
      <c r="AC522" s="22" t="n">
        <f>105360</f>
        <v>105360.0</v>
      </c>
      <c r="AD522" s="5" t="s">
        <v>53</v>
      </c>
      <c r="AE522" s="23" t="n">
        <f>72504</f>
        <v>72504.0</v>
      </c>
    </row>
    <row r="523">
      <c r="A523" s="24" t="s">
        <v>1113</v>
      </c>
      <c r="B523" s="25" t="s">
        <v>1114</v>
      </c>
      <c r="C523" s="26"/>
      <c r="D523" s="27"/>
      <c r="E523" s="28" t="s">
        <v>375</v>
      </c>
      <c r="F523" s="20" t="n">
        <f>124</f>
        <v>124.0</v>
      </c>
      <c r="G523" s="21" t="n">
        <f>4895616</f>
        <v>4895616.0</v>
      </c>
      <c r="H523" s="21" t="n">
        <f>58398</f>
        <v>58398.0</v>
      </c>
      <c r="I523" s="21" t="n">
        <f>736</f>
        <v>736.0</v>
      </c>
      <c r="J523" s="21" t="n">
        <f>39481</f>
        <v>39481.0</v>
      </c>
      <c r="K523" s="21" t="n">
        <f>6</f>
        <v>6.0</v>
      </c>
      <c r="L523" s="4" t="s">
        <v>71</v>
      </c>
      <c r="M523" s="22" t="n">
        <f>131131</f>
        <v>131131.0</v>
      </c>
      <c r="N523" s="5" t="s">
        <v>224</v>
      </c>
      <c r="O523" s="23" t="n">
        <f>14680</f>
        <v>14680.0</v>
      </c>
      <c r="P523" s="3" t="s">
        <v>1178</v>
      </c>
      <c r="Q523" s="21" t="n">
        <f>8149914500000</f>
        <v>8.1499145E12</v>
      </c>
      <c r="R523" s="3" t="s">
        <v>1179</v>
      </c>
      <c r="S523" s="21" t="n">
        <f>5518871427016</f>
        <v>5.518871427016E12</v>
      </c>
      <c r="T523" s="21" t="n">
        <f>832329032</f>
        <v>8.32329032E8</v>
      </c>
      <c r="U523" s="5" t="s">
        <v>71</v>
      </c>
      <c r="V523" s="23" t="n">
        <f>18469541420000</f>
        <v>1.846954142E13</v>
      </c>
      <c r="W523" s="5" t="s">
        <v>224</v>
      </c>
      <c r="X523" s="23" t="n">
        <f>2045759410000</f>
        <v>2.04575941E12</v>
      </c>
      <c r="Y523" s="23"/>
      <c r="Z523" s="21" t="str">
        <f>"－"</f>
        <v>－</v>
      </c>
      <c r="AA523" s="21" t="n">
        <f>105576</f>
        <v>105576.0</v>
      </c>
      <c r="AB523" s="4" t="s">
        <v>892</v>
      </c>
      <c r="AC523" s="22" t="n">
        <f>117885</f>
        <v>117885.0</v>
      </c>
      <c r="AD523" s="5" t="s">
        <v>183</v>
      </c>
      <c r="AE523" s="23" t="n">
        <f>71703</f>
        <v>71703.0</v>
      </c>
    </row>
    <row r="524">
      <c r="A524" s="24" t="s">
        <v>1113</v>
      </c>
      <c r="B524" s="25" t="s">
        <v>1114</v>
      </c>
      <c r="C524" s="26"/>
      <c r="D524" s="27"/>
      <c r="E524" s="28" t="s">
        <v>378</v>
      </c>
      <c r="F524" s="20" t="n">
        <f>122</f>
        <v>122.0</v>
      </c>
      <c r="G524" s="21" t="n">
        <f>6033757</f>
        <v>6033757.0</v>
      </c>
      <c r="H524" s="21" t="n">
        <f>47425</f>
        <v>47425.0</v>
      </c>
      <c r="I524" s="21" t="n">
        <f>4897</f>
        <v>4897.0</v>
      </c>
      <c r="J524" s="21" t="n">
        <f>49457</f>
        <v>49457.0</v>
      </c>
      <c r="K524" s="21" t="n">
        <f>40</f>
        <v>40.0</v>
      </c>
      <c r="L524" s="4" t="s">
        <v>146</v>
      </c>
      <c r="M524" s="22" t="n">
        <f>155866</f>
        <v>155866.0</v>
      </c>
      <c r="N524" s="5" t="s">
        <v>314</v>
      </c>
      <c r="O524" s="23" t="n">
        <f>19571</f>
        <v>19571.0</v>
      </c>
      <c r="P524" s="3" t="s">
        <v>1180</v>
      </c>
      <c r="Q524" s="21" t="n">
        <f>6470772500000</f>
        <v>6.4707725E12</v>
      </c>
      <c r="R524" s="3" t="s">
        <v>1181</v>
      </c>
      <c r="S524" s="21" t="n">
        <f>6753879488852</f>
        <v>6.753879488852E12</v>
      </c>
      <c r="T524" s="21" t="n">
        <f>5438686393</f>
        <v>5.438686393E9</v>
      </c>
      <c r="U524" s="5" t="s">
        <v>146</v>
      </c>
      <c r="V524" s="23" t="n">
        <f>21101391490000</f>
        <v>2.110139149E13</v>
      </c>
      <c r="W524" s="5" t="s">
        <v>314</v>
      </c>
      <c r="X524" s="23" t="n">
        <f>2685830630000</f>
        <v>2.68583063E12</v>
      </c>
      <c r="Y524" s="23"/>
      <c r="Z524" s="21" t="str">
        <f>"－"</f>
        <v>－</v>
      </c>
      <c r="AA524" s="21" t="n">
        <f>162299</f>
        <v>162299.0</v>
      </c>
      <c r="AB524" s="4" t="s">
        <v>516</v>
      </c>
      <c r="AC524" s="22" t="n">
        <f>175222</f>
        <v>175222.0</v>
      </c>
      <c r="AD524" s="5" t="s">
        <v>82</v>
      </c>
      <c r="AE524" s="23" t="n">
        <f>107918</f>
        <v>107918.0</v>
      </c>
    </row>
    <row r="525">
      <c r="A525" s="24" t="s">
        <v>1113</v>
      </c>
      <c r="B525" s="25" t="s">
        <v>1114</v>
      </c>
      <c r="C525" s="26"/>
      <c r="D525" s="27"/>
      <c r="E525" s="28" t="s">
        <v>383</v>
      </c>
      <c r="F525" s="20" t="n">
        <f>125</f>
        <v>125.0</v>
      </c>
      <c r="G525" s="21" t="n">
        <f>6039518</f>
        <v>6039518.0</v>
      </c>
      <c r="H525" s="21" t="n">
        <f>53044</f>
        <v>53044.0</v>
      </c>
      <c r="I525" s="21" t="n">
        <f>11375</f>
        <v>11375.0</v>
      </c>
      <c r="J525" s="21" t="n">
        <f>48316</f>
        <v>48316.0</v>
      </c>
      <c r="K525" s="21" t="n">
        <f>91</f>
        <v>91.0</v>
      </c>
      <c r="L525" s="4" t="s">
        <v>143</v>
      </c>
      <c r="M525" s="22" t="n">
        <f>174265</f>
        <v>174265.0</v>
      </c>
      <c r="N525" s="5" t="s">
        <v>930</v>
      </c>
      <c r="O525" s="23" t="n">
        <f>25593</f>
        <v>25593.0</v>
      </c>
      <c r="P525" s="3" t="s">
        <v>1182</v>
      </c>
      <c r="Q525" s="21" t="n">
        <f>7060210000000</f>
        <v>7.06021E12</v>
      </c>
      <c r="R525" s="3" t="s">
        <v>1183</v>
      </c>
      <c r="S525" s="21" t="n">
        <f>6423330184160</f>
        <v>6.42333018416E12</v>
      </c>
      <c r="T525" s="21" t="n">
        <f>12109885520</f>
        <v>1.210988552E10</v>
      </c>
      <c r="U525" s="5" t="s">
        <v>143</v>
      </c>
      <c r="V525" s="23" t="n">
        <f>23175910390000</f>
        <v>2.317591039E13</v>
      </c>
      <c r="W525" s="5" t="s">
        <v>930</v>
      </c>
      <c r="X525" s="23" t="n">
        <f>3442758290000</f>
        <v>3.44275829E12</v>
      </c>
      <c r="Y525" s="23"/>
      <c r="Z525" s="21" t="str">
        <f>"－"</f>
        <v>－</v>
      </c>
      <c r="AA525" s="21" t="n">
        <f>118036</f>
        <v>118036.0</v>
      </c>
      <c r="AB525" s="4" t="s">
        <v>881</v>
      </c>
      <c r="AC525" s="22" t="n">
        <f>170253</f>
        <v>170253.0</v>
      </c>
      <c r="AD525" s="5" t="s">
        <v>183</v>
      </c>
      <c r="AE525" s="23" t="n">
        <f>114591</f>
        <v>114591.0</v>
      </c>
    </row>
    <row r="526">
      <c r="A526" s="24" t="s">
        <v>1113</v>
      </c>
      <c r="B526" s="25" t="s">
        <v>1114</v>
      </c>
      <c r="C526" s="26"/>
      <c r="D526" s="27"/>
      <c r="E526" s="28" t="s">
        <v>386</v>
      </c>
      <c r="F526" s="20" t="n">
        <f>121</f>
        <v>121.0</v>
      </c>
      <c r="G526" s="21" t="n">
        <f>5761902</f>
        <v>5761902.0</v>
      </c>
      <c r="H526" s="21" t="n">
        <f>40988</f>
        <v>40988.0</v>
      </c>
      <c r="I526" s="21" t="n">
        <f>7436</f>
        <v>7436.0</v>
      </c>
      <c r="J526" s="21" t="n">
        <f>47619</f>
        <v>47619.0</v>
      </c>
      <c r="K526" s="21" t="n">
        <f>61</f>
        <v>61.0</v>
      </c>
      <c r="L526" s="4" t="s">
        <v>146</v>
      </c>
      <c r="M526" s="22" t="n">
        <f>165564</f>
        <v>165564.0</v>
      </c>
      <c r="N526" s="5" t="s">
        <v>257</v>
      </c>
      <c r="O526" s="23" t="n">
        <f>17160</f>
        <v>17160.0</v>
      </c>
      <c r="P526" s="3" t="s">
        <v>1184</v>
      </c>
      <c r="Q526" s="21" t="n">
        <f>5509164500000</f>
        <v>5.5091645E12</v>
      </c>
      <c r="R526" s="3" t="s">
        <v>1185</v>
      </c>
      <c r="S526" s="21" t="n">
        <f>6403618279008</f>
        <v>6.403618279008E12</v>
      </c>
      <c r="T526" s="21" t="n">
        <f>8273246860</f>
        <v>8.27324686E9</v>
      </c>
      <c r="U526" s="5" t="s">
        <v>146</v>
      </c>
      <c r="V526" s="23" t="n">
        <f>22308341010000</f>
        <v>2.230834101E13</v>
      </c>
      <c r="W526" s="5" t="s">
        <v>257</v>
      </c>
      <c r="X526" s="23" t="n">
        <f>2301555000000</f>
        <v>2.301555E12</v>
      </c>
      <c r="Y526" s="23"/>
      <c r="Z526" s="21" t="str">
        <f>"－"</f>
        <v>－</v>
      </c>
      <c r="AA526" s="21" t="n">
        <f>136278</f>
        <v>136278.0</v>
      </c>
      <c r="AB526" s="4" t="s">
        <v>298</v>
      </c>
      <c r="AC526" s="22" t="n">
        <f>157405</f>
        <v>157405.0</v>
      </c>
      <c r="AD526" s="5" t="s">
        <v>669</v>
      </c>
      <c r="AE526" s="23" t="n">
        <f>116077</f>
        <v>116077.0</v>
      </c>
    </row>
    <row r="527">
      <c r="A527" s="24" t="s">
        <v>1113</v>
      </c>
      <c r="B527" s="25" t="s">
        <v>1114</v>
      </c>
      <c r="C527" s="26"/>
      <c r="D527" s="27"/>
      <c r="E527" s="28" t="s">
        <v>389</v>
      </c>
      <c r="F527" s="20" t="n">
        <f>124</f>
        <v>124.0</v>
      </c>
      <c r="G527" s="21" t="n">
        <f>7391478</f>
        <v>7391478.0</v>
      </c>
      <c r="H527" s="21" t="n">
        <f>114481</f>
        <v>114481.0</v>
      </c>
      <c r="I527" s="21" t="n">
        <f>28699</f>
        <v>28699.0</v>
      </c>
      <c r="J527" s="21" t="n">
        <f>59609</f>
        <v>59609.0</v>
      </c>
      <c r="K527" s="21" t="n">
        <f>231</f>
        <v>231.0</v>
      </c>
      <c r="L527" s="4" t="s">
        <v>71</v>
      </c>
      <c r="M527" s="22" t="n">
        <f>211110</f>
        <v>211110.0</v>
      </c>
      <c r="N527" s="5" t="s">
        <v>856</v>
      </c>
      <c r="O527" s="23" t="n">
        <f>21966</f>
        <v>21966.0</v>
      </c>
      <c r="P527" s="3" t="s">
        <v>1186</v>
      </c>
      <c r="Q527" s="21" t="n">
        <f>15232724500000</f>
        <v>1.52327245E13</v>
      </c>
      <c r="R527" s="3" t="s">
        <v>1187</v>
      </c>
      <c r="S527" s="21" t="n">
        <f>7962379534113</f>
        <v>7.962379534113E12</v>
      </c>
      <c r="T527" s="21" t="n">
        <f>30983762500</f>
        <v>3.09837625E10</v>
      </c>
      <c r="U527" s="5" t="s">
        <v>71</v>
      </c>
      <c r="V527" s="23" t="n">
        <f>27912349360000</f>
        <v>2.791234936E13</v>
      </c>
      <c r="W527" s="5" t="s">
        <v>856</v>
      </c>
      <c r="X527" s="23" t="n">
        <f>2950815540000</f>
        <v>2.95081554E12</v>
      </c>
      <c r="Y527" s="23"/>
      <c r="Z527" s="21" t="str">
        <f>"－"</f>
        <v>－</v>
      </c>
      <c r="AA527" s="21" t="n">
        <f>114716</f>
        <v>114716.0</v>
      </c>
      <c r="AB527" s="4" t="s">
        <v>96</v>
      </c>
      <c r="AC527" s="22" t="n">
        <f>173631</f>
        <v>173631.0</v>
      </c>
      <c r="AD527" s="5" t="s">
        <v>281</v>
      </c>
      <c r="AE527" s="23" t="n">
        <f>114192</f>
        <v>114192.0</v>
      </c>
    </row>
    <row r="528">
      <c r="A528" s="24" t="s">
        <v>1113</v>
      </c>
      <c r="B528" s="25" t="s">
        <v>1114</v>
      </c>
      <c r="C528" s="26"/>
      <c r="D528" s="27"/>
      <c r="E528" s="28" t="s">
        <v>393</v>
      </c>
      <c r="F528" s="20" t="n">
        <f>121</f>
        <v>121.0</v>
      </c>
      <c r="G528" s="21" t="n">
        <f>6698087</f>
        <v>6698087.0</v>
      </c>
      <c r="H528" s="21" t="n">
        <f>68736</f>
        <v>68736.0</v>
      </c>
      <c r="I528" s="21" t="n">
        <f>44012</f>
        <v>44012.0</v>
      </c>
      <c r="J528" s="21" t="n">
        <f>55356</f>
        <v>55356.0</v>
      </c>
      <c r="K528" s="21" t="n">
        <f>364</f>
        <v>364.0</v>
      </c>
      <c r="L528" s="4" t="s">
        <v>146</v>
      </c>
      <c r="M528" s="22" t="n">
        <f>172461</f>
        <v>172461.0</v>
      </c>
      <c r="N528" s="5" t="s">
        <v>50</v>
      </c>
      <c r="O528" s="23" t="n">
        <f>21667</f>
        <v>21667.0</v>
      </c>
      <c r="P528" s="3" t="s">
        <v>1188</v>
      </c>
      <c r="Q528" s="21" t="n">
        <f>9451773000000</f>
        <v>9.451773E12</v>
      </c>
      <c r="R528" s="3" t="s">
        <v>1189</v>
      </c>
      <c r="S528" s="21" t="n">
        <f>7606397606612</f>
        <v>7.606397606612E12</v>
      </c>
      <c r="T528" s="21" t="n">
        <f>50348978264</f>
        <v>5.0348978264E10</v>
      </c>
      <c r="U528" s="5" t="s">
        <v>146</v>
      </c>
      <c r="V528" s="23" t="n">
        <f>23999470680000</f>
        <v>2.399947068E13</v>
      </c>
      <c r="W528" s="5" t="s">
        <v>50</v>
      </c>
      <c r="X528" s="23" t="n">
        <f>2952255480000</f>
        <v>2.95225548E12</v>
      </c>
      <c r="Y528" s="23"/>
      <c r="Z528" s="21" t="n">
        <f>145416</f>
        <v>145416.0</v>
      </c>
      <c r="AA528" s="21" t="n">
        <f>126955</f>
        <v>126955.0</v>
      </c>
      <c r="AB528" s="4" t="s">
        <v>155</v>
      </c>
      <c r="AC528" s="22" t="n">
        <f>159961</f>
        <v>159961.0</v>
      </c>
      <c r="AD528" s="5" t="s">
        <v>241</v>
      </c>
      <c r="AE528" s="23" t="n">
        <f>109601</f>
        <v>109601.0</v>
      </c>
    </row>
    <row r="529">
      <c r="A529" s="24" t="s">
        <v>1113</v>
      </c>
      <c r="B529" s="25" t="s">
        <v>1114</v>
      </c>
      <c r="C529" s="26"/>
      <c r="D529" s="27"/>
      <c r="E529" s="28" t="s">
        <v>397</v>
      </c>
      <c r="F529" s="20" t="n">
        <f>125</f>
        <v>125.0</v>
      </c>
      <c r="G529" s="21" t="n">
        <f>5704989</f>
        <v>5704989.0</v>
      </c>
      <c r="H529" s="21" t="n">
        <f>81208</f>
        <v>81208.0</v>
      </c>
      <c r="I529" s="21" t="n">
        <f>70626</f>
        <v>70626.0</v>
      </c>
      <c r="J529" s="21" t="n">
        <f>45640</f>
        <v>45640.0</v>
      </c>
      <c r="K529" s="21" t="n">
        <f>565</f>
        <v>565.0</v>
      </c>
      <c r="L529" s="4" t="s">
        <v>183</v>
      </c>
      <c r="M529" s="22" t="n">
        <f>136663</f>
        <v>136663.0</v>
      </c>
      <c r="N529" s="5" t="s">
        <v>312</v>
      </c>
      <c r="O529" s="23" t="n">
        <f>20931</f>
        <v>20931.0</v>
      </c>
      <c r="P529" s="3" t="s">
        <v>1190</v>
      </c>
      <c r="Q529" s="21" t="n">
        <f>11108616500000</f>
        <v>1.11086165E13</v>
      </c>
      <c r="R529" s="3" t="s">
        <v>1191</v>
      </c>
      <c r="S529" s="21" t="n">
        <f>6228106683920</f>
        <v>6.22810668392E12</v>
      </c>
      <c r="T529" s="21" t="n">
        <f>76889528640</f>
        <v>7.688952864E10</v>
      </c>
      <c r="U529" s="5" t="s">
        <v>183</v>
      </c>
      <c r="V529" s="23" t="n">
        <f>18798664480000</f>
        <v>1.879866448E13</v>
      </c>
      <c r="W529" s="5" t="s">
        <v>312</v>
      </c>
      <c r="X529" s="23" t="n">
        <f>2880824290000</f>
        <v>2.88082429E12</v>
      </c>
      <c r="Y529" s="23"/>
      <c r="Z529" s="21" t="n">
        <f>535386</f>
        <v>535386.0</v>
      </c>
      <c r="AA529" s="21" t="n">
        <f>56658</f>
        <v>56658.0</v>
      </c>
      <c r="AB529" s="4" t="s">
        <v>666</v>
      </c>
      <c r="AC529" s="22" t="n">
        <f>130851</f>
        <v>130851.0</v>
      </c>
      <c r="AD529" s="5" t="s">
        <v>248</v>
      </c>
      <c r="AE529" s="23" t="n">
        <f>56658</f>
        <v>56658.0</v>
      </c>
    </row>
    <row r="530">
      <c r="A530" s="24" t="s">
        <v>1113</v>
      </c>
      <c r="B530" s="25" t="s">
        <v>1114</v>
      </c>
      <c r="C530" s="26"/>
      <c r="D530" s="27"/>
      <c r="E530" s="28" t="s">
        <v>401</v>
      </c>
      <c r="F530" s="20" t="n">
        <f>120</f>
        <v>120.0</v>
      </c>
      <c r="G530" s="21" t="n">
        <f>2975680</f>
        <v>2975680.0</v>
      </c>
      <c r="H530" s="21" t="n">
        <f>25809</f>
        <v>25809.0</v>
      </c>
      <c r="I530" s="21" t="n">
        <f>46623</f>
        <v>46623.0</v>
      </c>
      <c r="J530" s="21" t="n">
        <f>24797</f>
        <v>24797.0</v>
      </c>
      <c r="K530" s="21" t="n">
        <f>389</f>
        <v>389.0</v>
      </c>
      <c r="L530" s="4" t="s">
        <v>64</v>
      </c>
      <c r="M530" s="22" t="n">
        <f>62037</f>
        <v>62037.0</v>
      </c>
      <c r="N530" s="5" t="s">
        <v>484</v>
      </c>
      <c r="O530" s="23" t="n">
        <f>8211</f>
        <v>8211.0</v>
      </c>
      <c r="P530" s="3" t="s">
        <v>1192</v>
      </c>
      <c r="Q530" s="21" t="n">
        <f>3579286500000</f>
        <v>3.5792865E12</v>
      </c>
      <c r="R530" s="3" t="s">
        <v>1193</v>
      </c>
      <c r="S530" s="21" t="n">
        <f>3439620783667</f>
        <v>3.439620783667E12</v>
      </c>
      <c r="T530" s="21" t="n">
        <f>53910835500</f>
        <v>5.39108355E10</v>
      </c>
      <c r="U530" s="5" t="s">
        <v>64</v>
      </c>
      <c r="V530" s="23" t="n">
        <f>8651357970000</f>
        <v>8.65135797E12</v>
      </c>
      <c r="W530" s="5" t="s">
        <v>484</v>
      </c>
      <c r="X530" s="23" t="n">
        <f>1147671130000</f>
        <v>1.14767113E12</v>
      </c>
      <c r="Y530" s="23"/>
      <c r="Z530" s="21" t="n">
        <f>414881</f>
        <v>414881.0</v>
      </c>
      <c r="AA530" s="21" t="n">
        <f>40950</f>
        <v>40950.0</v>
      </c>
      <c r="AB530" s="4" t="s">
        <v>292</v>
      </c>
      <c r="AC530" s="22" t="n">
        <f>58132</f>
        <v>58132.0</v>
      </c>
      <c r="AD530" s="5" t="s">
        <v>197</v>
      </c>
      <c r="AE530" s="23" t="n">
        <f>35848</f>
        <v>35848.0</v>
      </c>
    </row>
    <row r="531">
      <c r="A531" s="24" t="s">
        <v>1113</v>
      </c>
      <c r="B531" s="25" t="s">
        <v>1114</v>
      </c>
      <c r="C531" s="26"/>
      <c r="D531" s="27"/>
      <c r="E531" s="28" t="s">
        <v>405</v>
      </c>
      <c r="F531" s="20" t="n">
        <f>123</f>
        <v>123.0</v>
      </c>
      <c r="G531" s="21" t="n">
        <f>3456103</f>
        <v>3456103.0</v>
      </c>
      <c r="H531" s="21" t="n">
        <f>139571</f>
        <v>139571.0</v>
      </c>
      <c r="I531" s="21" t="n">
        <f>50095</f>
        <v>50095.0</v>
      </c>
      <c r="J531" s="21" t="n">
        <f>28098</f>
        <v>28098.0</v>
      </c>
      <c r="K531" s="21" t="n">
        <f>407</f>
        <v>407.0</v>
      </c>
      <c r="L531" s="4" t="s">
        <v>119</v>
      </c>
      <c r="M531" s="22" t="n">
        <f>97779</f>
        <v>97779.0</v>
      </c>
      <c r="N531" s="5" t="s">
        <v>764</v>
      </c>
      <c r="O531" s="23" t="n">
        <f>10058</f>
        <v>10058.0</v>
      </c>
      <c r="P531" s="3" t="s">
        <v>1194</v>
      </c>
      <c r="Q531" s="21" t="n">
        <f>19186842500000</f>
        <v>1.91868425E13</v>
      </c>
      <c r="R531" s="3" t="s">
        <v>1195</v>
      </c>
      <c r="S531" s="21" t="n">
        <f>3868530700894</f>
        <v>3.868530700894E12</v>
      </c>
      <c r="T531" s="21" t="n">
        <f>56132996585</f>
        <v>5.6132996585E10</v>
      </c>
      <c r="U531" s="5" t="s">
        <v>119</v>
      </c>
      <c r="V531" s="23" t="n">
        <f>13590227470000</f>
        <v>1.359022747E13</v>
      </c>
      <c r="W531" s="5" t="s">
        <v>764</v>
      </c>
      <c r="X531" s="23" t="n">
        <f>1374098420000</f>
        <v>1.37409842E12</v>
      </c>
      <c r="Y531" s="23"/>
      <c r="Z531" s="21" t="n">
        <f>504507</f>
        <v>504507.0</v>
      </c>
      <c r="AA531" s="21" t="n">
        <f>56099</f>
        <v>56099.0</v>
      </c>
      <c r="AB531" s="4" t="s">
        <v>238</v>
      </c>
      <c r="AC531" s="22" t="n">
        <f>79448</f>
        <v>79448.0</v>
      </c>
      <c r="AD531" s="5" t="s">
        <v>335</v>
      </c>
      <c r="AE531" s="23" t="n">
        <f>41970</f>
        <v>41970.0</v>
      </c>
    </row>
    <row r="532">
      <c r="A532" s="24" t="s">
        <v>1113</v>
      </c>
      <c r="B532" s="25" t="s">
        <v>1114</v>
      </c>
      <c r="C532" s="26"/>
      <c r="D532" s="27"/>
      <c r="E532" s="28" t="s">
        <v>409</v>
      </c>
      <c r="F532" s="20" t="n">
        <f>121</f>
        <v>121.0</v>
      </c>
      <c r="G532" s="21" t="n">
        <f>3619986</f>
        <v>3619986.0</v>
      </c>
      <c r="H532" s="21" t="n">
        <f>95072</f>
        <v>95072.0</v>
      </c>
      <c r="I532" s="21" t="n">
        <f>55864</f>
        <v>55864.0</v>
      </c>
      <c r="J532" s="21" t="n">
        <f>29917</f>
        <v>29917.0</v>
      </c>
      <c r="K532" s="21" t="n">
        <f>462</f>
        <v>462.0</v>
      </c>
      <c r="L532" s="4" t="s">
        <v>68</v>
      </c>
      <c r="M532" s="22" t="n">
        <f>92130</f>
        <v>92130.0</v>
      </c>
      <c r="N532" s="5" t="s">
        <v>113</v>
      </c>
      <c r="O532" s="23" t="n">
        <f>13204</f>
        <v>13204.0</v>
      </c>
      <c r="P532" s="3" t="s">
        <v>1196</v>
      </c>
      <c r="Q532" s="21" t="n">
        <f>13196162500000</f>
        <v>1.31961625E13</v>
      </c>
      <c r="R532" s="3" t="s">
        <v>1197</v>
      </c>
      <c r="S532" s="21" t="n">
        <f>4164204693058</f>
        <v>4.164204693058E12</v>
      </c>
      <c r="T532" s="21" t="n">
        <f>64469143140</f>
        <v>6.446914314E10</v>
      </c>
      <c r="U532" s="5" t="s">
        <v>68</v>
      </c>
      <c r="V532" s="23" t="n">
        <f>12882180390000</f>
        <v>1.288218039E13</v>
      </c>
      <c r="W532" s="5" t="s">
        <v>113</v>
      </c>
      <c r="X532" s="23" t="n">
        <f>1845021950000</f>
        <v>1.84502195E12</v>
      </c>
      <c r="Y532" s="23"/>
      <c r="Z532" s="21" t="n">
        <f>617376</f>
        <v>617376.0</v>
      </c>
      <c r="AA532" s="21" t="n">
        <f>58557</f>
        <v>58557.0</v>
      </c>
      <c r="AB532" s="4" t="s">
        <v>155</v>
      </c>
      <c r="AC532" s="22" t="n">
        <f>73632</f>
        <v>73632.0</v>
      </c>
      <c r="AD532" s="5" t="s">
        <v>49</v>
      </c>
      <c r="AE532" s="23" t="n">
        <f>54036</f>
        <v>54036.0</v>
      </c>
    </row>
    <row r="533">
      <c r="A533" s="24" t="s">
        <v>1113</v>
      </c>
      <c r="B533" s="25" t="s">
        <v>1114</v>
      </c>
      <c r="C533" s="26"/>
      <c r="D533" s="27"/>
      <c r="E533" s="28" t="s">
        <v>412</v>
      </c>
      <c r="F533" s="20" t="n">
        <f>124</f>
        <v>124.0</v>
      </c>
      <c r="G533" s="21" t="n">
        <f>4052263</f>
        <v>4052263.0</v>
      </c>
      <c r="H533" s="21" t="n">
        <f>51965</f>
        <v>51965.0</v>
      </c>
      <c r="I533" s="21" t="n">
        <f>59157</f>
        <v>59157.0</v>
      </c>
      <c r="J533" s="21" t="n">
        <f>32680</f>
        <v>32680.0</v>
      </c>
      <c r="K533" s="21" t="n">
        <f>477</f>
        <v>477.0</v>
      </c>
      <c r="L533" s="4" t="s">
        <v>128</v>
      </c>
      <c r="M533" s="22" t="n">
        <f>113380</f>
        <v>113380.0</v>
      </c>
      <c r="N533" s="5" t="s">
        <v>904</v>
      </c>
      <c r="O533" s="23" t="n">
        <f>14703</f>
        <v>14703.0</v>
      </c>
      <c r="P533" s="3" t="s">
        <v>1198</v>
      </c>
      <c r="Q533" s="21" t="n">
        <f>7321358000000</f>
        <v>7.321358E12</v>
      </c>
      <c r="R533" s="3" t="s">
        <v>1199</v>
      </c>
      <c r="S533" s="21" t="n">
        <f>4610749892661</f>
        <v>4.610749892661E12</v>
      </c>
      <c r="T533" s="21" t="n">
        <f>67337500161</f>
        <v>6.7337500161E10</v>
      </c>
      <c r="U533" s="5" t="s">
        <v>128</v>
      </c>
      <c r="V533" s="23" t="n">
        <f>16021131700000</f>
        <v>1.60211317E13</v>
      </c>
      <c r="W533" s="5" t="s">
        <v>904</v>
      </c>
      <c r="X533" s="23" t="n">
        <f>2074576760000</f>
        <v>2.07457676E12</v>
      </c>
      <c r="Y533" s="23"/>
      <c r="Z533" s="21" t="n">
        <f>615501</f>
        <v>615501.0</v>
      </c>
      <c r="AA533" s="21" t="n">
        <f>64056</f>
        <v>64056.0</v>
      </c>
      <c r="AB533" s="4" t="s">
        <v>289</v>
      </c>
      <c r="AC533" s="22" t="n">
        <f>93428</f>
        <v>93428.0</v>
      </c>
      <c r="AD533" s="5" t="s">
        <v>119</v>
      </c>
      <c r="AE533" s="23" t="n">
        <f>52401</f>
        <v>52401.0</v>
      </c>
    </row>
    <row r="534">
      <c r="A534" s="24" t="s">
        <v>1113</v>
      </c>
      <c r="B534" s="25" t="s">
        <v>1114</v>
      </c>
      <c r="C534" s="26"/>
      <c r="D534" s="27"/>
      <c r="E534" s="28" t="s">
        <v>415</v>
      </c>
      <c r="F534" s="20" t="n">
        <f>121</f>
        <v>121.0</v>
      </c>
      <c r="G534" s="21" t="n">
        <f>3949671</f>
        <v>3949671.0</v>
      </c>
      <c r="H534" s="21" t="n">
        <f>42640</f>
        <v>42640.0</v>
      </c>
      <c r="I534" s="21" t="n">
        <f>73544</f>
        <v>73544.0</v>
      </c>
      <c r="J534" s="21" t="n">
        <f>32642</f>
        <v>32642.0</v>
      </c>
      <c r="K534" s="21" t="n">
        <f>608</f>
        <v>608.0</v>
      </c>
      <c r="L534" s="4" t="s">
        <v>64</v>
      </c>
      <c r="M534" s="22" t="n">
        <f>108749</f>
        <v>108749.0</v>
      </c>
      <c r="N534" s="5" t="s">
        <v>134</v>
      </c>
      <c r="O534" s="23" t="n">
        <f>11360</f>
        <v>11360.0</v>
      </c>
      <c r="P534" s="3" t="s">
        <v>1200</v>
      </c>
      <c r="Q534" s="21" t="n">
        <f>6007270500000</f>
        <v>6.0072705E12</v>
      </c>
      <c r="R534" s="3" t="s">
        <v>1201</v>
      </c>
      <c r="S534" s="21" t="n">
        <f>4593094056033</f>
        <v>4.593094056033E12</v>
      </c>
      <c r="T534" s="21" t="n">
        <f>85496161488</f>
        <v>8.5496161488E10</v>
      </c>
      <c r="U534" s="5" t="s">
        <v>64</v>
      </c>
      <c r="V534" s="23" t="n">
        <f>15247732450000</f>
        <v>1.524773245E13</v>
      </c>
      <c r="W534" s="5" t="s">
        <v>134</v>
      </c>
      <c r="X534" s="23" t="n">
        <f>1588677930000</f>
        <v>1.58867793E12</v>
      </c>
      <c r="Y534" s="23"/>
      <c r="Z534" s="21" t="n">
        <f>509048</f>
        <v>509048.0</v>
      </c>
      <c r="AA534" s="21" t="n">
        <f>51173</f>
        <v>51173.0</v>
      </c>
      <c r="AB534" s="4" t="s">
        <v>1082</v>
      </c>
      <c r="AC534" s="22" t="n">
        <f>78849</f>
        <v>78849.0</v>
      </c>
      <c r="AD534" s="5" t="s">
        <v>65</v>
      </c>
      <c r="AE534" s="23" t="n">
        <f>47285</f>
        <v>47285.0</v>
      </c>
    </row>
    <row r="535">
      <c r="A535" s="24" t="s">
        <v>1113</v>
      </c>
      <c r="B535" s="25" t="s">
        <v>1114</v>
      </c>
      <c r="C535" s="26"/>
      <c r="D535" s="27"/>
      <c r="E535" s="28" t="s">
        <v>418</v>
      </c>
      <c r="F535" s="20" t="n">
        <f>124</f>
        <v>124.0</v>
      </c>
      <c r="G535" s="21" t="n">
        <f>3412187</f>
        <v>3412187.0</v>
      </c>
      <c r="H535" s="21" t="n">
        <f>35534</f>
        <v>35534.0</v>
      </c>
      <c r="I535" s="21" t="n">
        <f>99072</f>
        <v>99072.0</v>
      </c>
      <c r="J535" s="21" t="n">
        <f>27518</f>
        <v>27518.0</v>
      </c>
      <c r="K535" s="21" t="n">
        <f>799</f>
        <v>799.0</v>
      </c>
      <c r="L535" s="4" t="s">
        <v>84</v>
      </c>
      <c r="M535" s="22" t="n">
        <f>114307</f>
        <v>114307.0</v>
      </c>
      <c r="N535" s="5" t="s">
        <v>544</v>
      </c>
      <c r="O535" s="23" t="n">
        <f>10075</f>
        <v>10075.0</v>
      </c>
      <c r="P535" s="3" t="s">
        <v>1202</v>
      </c>
      <c r="Q535" s="21" t="n">
        <f>5011702500000</f>
        <v>5.0117025E12</v>
      </c>
      <c r="R535" s="3" t="s">
        <v>1203</v>
      </c>
      <c r="S535" s="21" t="n">
        <f>3887568580565</f>
        <v>3.887568580565E12</v>
      </c>
      <c r="T535" s="21" t="n">
        <f>112844760484</f>
        <v>1.12844760484E11</v>
      </c>
      <c r="U535" s="5" t="s">
        <v>84</v>
      </c>
      <c r="V535" s="23" t="n">
        <f>16332850970000</f>
        <v>1.633285097E13</v>
      </c>
      <c r="W535" s="5" t="s">
        <v>544</v>
      </c>
      <c r="X535" s="23" t="n">
        <f>1432072490000</f>
        <v>1.43207249E12</v>
      </c>
      <c r="Y535" s="23"/>
      <c r="Z535" s="21" t="n">
        <f>575945</f>
        <v>575945.0</v>
      </c>
      <c r="AA535" s="21" t="n">
        <f>65871</f>
        <v>65871.0</v>
      </c>
      <c r="AB535" s="4" t="s">
        <v>57</v>
      </c>
      <c r="AC535" s="22" t="n">
        <f>87695</f>
        <v>87695.0</v>
      </c>
      <c r="AD535" s="5" t="s">
        <v>335</v>
      </c>
      <c r="AE535" s="23" t="n">
        <f>50125</f>
        <v>50125.0</v>
      </c>
    </row>
    <row r="536">
      <c r="A536" s="24" t="s">
        <v>1113</v>
      </c>
      <c r="B536" s="25" t="s">
        <v>1114</v>
      </c>
      <c r="C536" s="26"/>
      <c r="D536" s="27"/>
      <c r="E536" s="28" t="s">
        <v>422</v>
      </c>
      <c r="F536" s="20" t="n">
        <f>122</f>
        <v>122.0</v>
      </c>
      <c r="G536" s="21" t="n">
        <f>3797375</f>
        <v>3797375.0</v>
      </c>
      <c r="H536" s="21" t="n">
        <f>53051</f>
        <v>53051.0</v>
      </c>
      <c r="I536" s="21" t="n">
        <f>187501</f>
        <v>187501.0</v>
      </c>
      <c r="J536" s="21" t="n">
        <f>31126</f>
        <v>31126.0</v>
      </c>
      <c r="K536" s="21" t="n">
        <f>1537</f>
        <v>1537.0</v>
      </c>
      <c r="L536" s="4" t="s">
        <v>90</v>
      </c>
      <c r="M536" s="22" t="n">
        <f>106083</f>
        <v>106083.0</v>
      </c>
      <c r="N536" s="5" t="s">
        <v>50</v>
      </c>
      <c r="O536" s="23" t="n">
        <f>9396</f>
        <v>9396.0</v>
      </c>
      <c r="P536" s="3" t="s">
        <v>1204</v>
      </c>
      <c r="Q536" s="21" t="n">
        <f>7549116500000</f>
        <v>7.5491165E12</v>
      </c>
      <c r="R536" s="3" t="s">
        <v>1205</v>
      </c>
      <c r="S536" s="21" t="n">
        <f>4429657164918</f>
        <v>4.429657164918E12</v>
      </c>
      <c r="T536" s="21" t="n">
        <f>218674732787</f>
        <v>2.18674732787E11</v>
      </c>
      <c r="U536" s="5" t="s">
        <v>90</v>
      </c>
      <c r="V536" s="23" t="n">
        <f>15111248490000</f>
        <v>1.511124849E13</v>
      </c>
      <c r="W536" s="5" t="s">
        <v>50</v>
      </c>
      <c r="X536" s="23" t="n">
        <f>1337979980000</f>
        <v>1.33797998E12</v>
      </c>
      <c r="Y536" s="23"/>
      <c r="Z536" s="21" t="n">
        <f>761314</f>
        <v>761314.0</v>
      </c>
      <c r="AA536" s="21" t="n">
        <f>77026</f>
        <v>77026.0</v>
      </c>
      <c r="AB536" s="4" t="s">
        <v>146</v>
      </c>
      <c r="AC536" s="22" t="n">
        <f>91677</f>
        <v>91677.0</v>
      </c>
      <c r="AD536" s="5" t="s">
        <v>81</v>
      </c>
      <c r="AE536" s="23" t="n">
        <f>53480</f>
        <v>53480.0</v>
      </c>
    </row>
    <row r="537">
      <c r="A537" s="24" t="s">
        <v>1113</v>
      </c>
      <c r="B537" s="25" t="s">
        <v>1114</v>
      </c>
      <c r="C537" s="26"/>
      <c r="D537" s="27"/>
      <c r="E537" s="28" t="s">
        <v>425</v>
      </c>
      <c r="F537" s="20" t="n">
        <f>125</f>
        <v>125.0</v>
      </c>
      <c r="G537" s="21" t="n">
        <f>4566067</f>
        <v>4566067.0</v>
      </c>
      <c r="H537" s="21" t="n">
        <f>53600</f>
        <v>53600.0</v>
      </c>
      <c r="I537" s="21" t="n">
        <f>278447</f>
        <v>278447.0</v>
      </c>
      <c r="J537" s="21" t="n">
        <f>36529</f>
        <v>36529.0</v>
      </c>
      <c r="K537" s="21" t="n">
        <f>2228</f>
        <v>2228.0</v>
      </c>
      <c r="L537" s="4" t="s">
        <v>71</v>
      </c>
      <c r="M537" s="22" t="n">
        <f>135800</f>
        <v>135800.0</v>
      </c>
      <c r="N537" s="5" t="s">
        <v>108</v>
      </c>
      <c r="O537" s="23" t="n">
        <f>13154</f>
        <v>13154.0</v>
      </c>
      <c r="P537" s="3" t="s">
        <v>1206</v>
      </c>
      <c r="Q537" s="21" t="n">
        <f>7674339000000</f>
        <v>7.674339E12</v>
      </c>
      <c r="R537" s="3" t="s">
        <v>1207</v>
      </c>
      <c r="S537" s="21" t="n">
        <f>5242894730960</f>
        <v>5.24289473096E12</v>
      </c>
      <c r="T537" s="21" t="n">
        <f>319862886800</f>
        <v>3.198628868E11</v>
      </c>
      <c r="U537" s="5" t="s">
        <v>71</v>
      </c>
      <c r="V537" s="23" t="n">
        <f>19479586320000</f>
        <v>1.947958632E13</v>
      </c>
      <c r="W537" s="5" t="s">
        <v>108</v>
      </c>
      <c r="X537" s="23" t="n">
        <f>1891778690000</f>
        <v>1.89177869E12</v>
      </c>
      <c r="Y537" s="23"/>
      <c r="Z537" s="21" t="n">
        <f>724817</f>
        <v>724817.0</v>
      </c>
      <c r="AA537" s="21" t="n">
        <f>77170</f>
        <v>77170.0</v>
      </c>
      <c r="AB537" s="4" t="s">
        <v>1148</v>
      </c>
      <c r="AC537" s="22" t="n">
        <f>111370</f>
        <v>111370.0</v>
      </c>
      <c r="AD537" s="5" t="s">
        <v>281</v>
      </c>
      <c r="AE537" s="23" t="n">
        <f>69960</f>
        <v>69960.0</v>
      </c>
    </row>
    <row r="538">
      <c r="A538" s="24" t="s">
        <v>1113</v>
      </c>
      <c r="B538" s="25" t="s">
        <v>1114</v>
      </c>
      <c r="C538" s="26"/>
      <c r="D538" s="27"/>
      <c r="E538" s="28" t="s">
        <v>428</v>
      </c>
      <c r="F538" s="20" t="n">
        <f>120</f>
        <v>120.0</v>
      </c>
      <c r="G538" s="21" t="n">
        <f>4915336</f>
        <v>4915336.0</v>
      </c>
      <c r="H538" s="21" t="n">
        <f>42271</f>
        <v>42271.0</v>
      </c>
      <c r="I538" s="21" t="n">
        <f>292106</f>
        <v>292106.0</v>
      </c>
      <c r="J538" s="21" t="n">
        <f>40961</f>
        <v>40961.0</v>
      </c>
      <c r="K538" s="21" t="n">
        <f>2434</f>
        <v>2434.0</v>
      </c>
      <c r="L538" s="4" t="s">
        <v>137</v>
      </c>
      <c r="M538" s="22" t="n">
        <f>144993</f>
        <v>144993.0</v>
      </c>
      <c r="N538" s="5" t="s">
        <v>113</v>
      </c>
      <c r="O538" s="23" t="n">
        <f>14380</f>
        <v>14380.0</v>
      </c>
      <c r="P538" s="3" t="s">
        <v>1208</v>
      </c>
      <c r="Q538" s="21" t="n">
        <f>6104231500000</f>
        <v>6.1042315E12</v>
      </c>
      <c r="R538" s="3" t="s">
        <v>1209</v>
      </c>
      <c r="S538" s="21" t="n">
        <f>5918305497167</f>
        <v>5.918305497167E12</v>
      </c>
      <c r="T538" s="21" t="n">
        <f>352309990500</f>
        <v>3.523099905E11</v>
      </c>
      <c r="U538" s="5" t="s">
        <v>137</v>
      </c>
      <c r="V538" s="23" t="n">
        <f>21021851440000</f>
        <v>2.102185144E13</v>
      </c>
      <c r="W538" s="5" t="s">
        <v>113</v>
      </c>
      <c r="X538" s="23" t="n">
        <f>2070790730000</f>
        <v>2.07079073E12</v>
      </c>
      <c r="Y538" s="23"/>
      <c r="Z538" s="21" t="n">
        <f>856822</f>
        <v>856822.0</v>
      </c>
      <c r="AA538" s="21" t="n">
        <f>100779</f>
        <v>100779.0</v>
      </c>
      <c r="AB538" s="4" t="s">
        <v>155</v>
      </c>
      <c r="AC538" s="22" t="n">
        <f>122089</f>
        <v>122089.0</v>
      </c>
      <c r="AD538" s="5" t="s">
        <v>134</v>
      </c>
      <c r="AE538" s="23" t="n">
        <f>76371</f>
        <v>76371.0</v>
      </c>
    </row>
    <row r="539">
      <c r="A539" s="24" t="s">
        <v>1113</v>
      </c>
      <c r="B539" s="25" t="s">
        <v>1114</v>
      </c>
      <c r="C539" s="26"/>
      <c r="D539" s="27"/>
      <c r="E539" s="28" t="s">
        <v>433</v>
      </c>
      <c r="F539" s="20" t="n">
        <f>125</f>
        <v>125.0</v>
      </c>
      <c r="G539" s="21" t="n">
        <f>4438386</f>
        <v>4438386.0</v>
      </c>
      <c r="H539" s="21" t="n">
        <f>43791</f>
        <v>43791.0</v>
      </c>
      <c r="I539" s="21" t="n">
        <f>321401</f>
        <v>321401.0</v>
      </c>
      <c r="J539" s="21" t="n">
        <f>35507</f>
        <v>35507.0</v>
      </c>
      <c r="K539" s="21" t="n">
        <f>2571</f>
        <v>2571.0</v>
      </c>
      <c r="L539" s="4" t="s">
        <v>84</v>
      </c>
      <c r="M539" s="22" t="n">
        <f>158020</f>
        <v>158020.0</v>
      </c>
      <c r="N539" s="5" t="s">
        <v>198</v>
      </c>
      <c r="O539" s="23" t="n">
        <f>14123</f>
        <v>14123.0</v>
      </c>
      <c r="P539" s="3" t="s">
        <v>1210</v>
      </c>
      <c r="Q539" s="21" t="n">
        <f>6290871500000</f>
        <v>6.2908715E12</v>
      </c>
      <c r="R539" s="3" t="s">
        <v>1211</v>
      </c>
      <c r="S539" s="21" t="n">
        <f>5091186777520</f>
        <v>5.09118677752E12</v>
      </c>
      <c r="T539" s="21" t="n">
        <f>368502960240</f>
        <v>3.6850296024E11</v>
      </c>
      <c r="U539" s="5" t="s">
        <v>84</v>
      </c>
      <c r="V539" s="23" t="n">
        <f>22669023960000</f>
        <v>2.266902396E13</v>
      </c>
      <c r="W539" s="5" t="s">
        <v>198</v>
      </c>
      <c r="X539" s="23" t="n">
        <f>2029231620000</f>
        <v>2.02923162E12</v>
      </c>
      <c r="Y539" s="23"/>
      <c r="Z539" s="21" t="n">
        <f>1028308</f>
        <v>1028308.0</v>
      </c>
      <c r="AA539" s="21" t="n">
        <f>89791</f>
        <v>89791.0</v>
      </c>
      <c r="AB539" s="4" t="s">
        <v>525</v>
      </c>
      <c r="AC539" s="22" t="n">
        <f>125183</f>
        <v>125183.0</v>
      </c>
      <c r="AD539" s="5" t="s">
        <v>193</v>
      </c>
      <c r="AE539" s="23" t="n">
        <f>77911</f>
        <v>77911.0</v>
      </c>
    </row>
    <row r="540">
      <c r="A540" s="24" t="s">
        <v>1113</v>
      </c>
      <c r="B540" s="25" t="s">
        <v>1114</v>
      </c>
      <c r="C540" s="26"/>
      <c r="D540" s="27"/>
      <c r="E540" s="28" t="s">
        <v>437</v>
      </c>
      <c r="F540" s="20" t="n">
        <f>120</f>
        <v>120.0</v>
      </c>
      <c r="G540" s="21" t="n">
        <f>4130533</f>
        <v>4130533.0</v>
      </c>
      <c r="H540" s="21" t="n">
        <f>33562</f>
        <v>33562.0</v>
      </c>
      <c r="I540" s="21" t="n">
        <f>334328</f>
        <v>334328.0</v>
      </c>
      <c r="J540" s="21" t="n">
        <f>34421</f>
        <v>34421.0</v>
      </c>
      <c r="K540" s="21" t="n">
        <f>2786</f>
        <v>2786.0</v>
      </c>
      <c r="L540" s="4" t="s">
        <v>81</v>
      </c>
      <c r="M540" s="22" t="n">
        <f>171939</f>
        <v>171939.0</v>
      </c>
      <c r="N540" s="5" t="s">
        <v>277</v>
      </c>
      <c r="O540" s="23" t="n">
        <f>9702</f>
        <v>9702.0</v>
      </c>
      <c r="P540" s="3" t="s">
        <v>1212</v>
      </c>
      <c r="Q540" s="21" t="n">
        <f>4846626000000</f>
        <v>4.846626E12</v>
      </c>
      <c r="R540" s="3" t="s">
        <v>1213</v>
      </c>
      <c r="S540" s="21" t="n">
        <f>4977889054750</f>
        <v>4.97788905475E12</v>
      </c>
      <c r="T540" s="21" t="n">
        <f>403170948250</f>
        <v>4.0317094825E11</v>
      </c>
      <c r="U540" s="5" t="s">
        <v>81</v>
      </c>
      <c r="V540" s="23" t="n">
        <f>24811254690000</f>
        <v>2.481125469E13</v>
      </c>
      <c r="W540" s="5" t="s">
        <v>277</v>
      </c>
      <c r="X540" s="23" t="n">
        <f>1405311940000</f>
        <v>1.40531194E12</v>
      </c>
      <c r="Y540" s="23"/>
      <c r="Z540" s="21" t="n">
        <f>988434</f>
        <v>988434.0</v>
      </c>
      <c r="AA540" s="21" t="n">
        <f>102722</f>
        <v>102722.0</v>
      </c>
      <c r="AB540" s="4" t="s">
        <v>921</v>
      </c>
      <c r="AC540" s="22" t="n">
        <f>116116</f>
        <v>116116.0</v>
      </c>
      <c r="AD540" s="5" t="s">
        <v>241</v>
      </c>
      <c r="AE540" s="23" t="n">
        <f>85689</f>
        <v>85689.0</v>
      </c>
    </row>
    <row r="541">
      <c r="A541" s="24" t="s">
        <v>1113</v>
      </c>
      <c r="B541" s="25" t="s">
        <v>1114</v>
      </c>
      <c r="C541" s="26"/>
      <c r="D541" s="27"/>
      <c r="E541" s="28" t="s">
        <v>441</v>
      </c>
      <c r="F541" s="20" t="n">
        <f>125</f>
        <v>125.0</v>
      </c>
      <c r="G541" s="21" t="n">
        <f>4254422</f>
        <v>4254422.0</v>
      </c>
      <c r="H541" s="21" t="n">
        <f>23536</f>
        <v>23536.0</v>
      </c>
      <c r="I541" s="21" t="n">
        <f>276190</f>
        <v>276190.0</v>
      </c>
      <c r="J541" s="21" t="n">
        <f>34035</f>
        <v>34035.0</v>
      </c>
      <c r="K541" s="21" t="n">
        <f>2210</f>
        <v>2210.0</v>
      </c>
      <c r="L541" s="4" t="s">
        <v>183</v>
      </c>
      <c r="M541" s="22" t="n">
        <f>134010</f>
        <v>134010.0</v>
      </c>
      <c r="N541" s="5" t="s">
        <v>496</v>
      </c>
      <c r="O541" s="23" t="n">
        <f>10994</f>
        <v>10994.0</v>
      </c>
      <c r="P541" s="3" t="s">
        <v>1214</v>
      </c>
      <c r="Q541" s="21" t="n">
        <f>3421731000000</f>
        <v>3.421731E12</v>
      </c>
      <c r="R541" s="3" t="s">
        <v>1215</v>
      </c>
      <c r="S541" s="21" t="n">
        <f>4954756708000</f>
        <v>4.954756708E12</v>
      </c>
      <c r="T541" s="21" t="n">
        <f>321621798400</f>
        <v>3.216217984E11</v>
      </c>
      <c r="U541" s="5" t="s">
        <v>183</v>
      </c>
      <c r="V541" s="23" t="n">
        <f>19561431880000</f>
        <v>1.956143188E13</v>
      </c>
      <c r="W541" s="5" t="s">
        <v>496</v>
      </c>
      <c r="X541" s="23" t="n">
        <f>1607498350000</f>
        <v>1.60749835E12</v>
      </c>
      <c r="Y541" s="23"/>
      <c r="Z541" s="21" t="n">
        <f>956997</f>
        <v>956997.0</v>
      </c>
      <c r="AA541" s="21" t="n">
        <f>98669</f>
        <v>98669.0</v>
      </c>
      <c r="AB541" s="4" t="s">
        <v>302</v>
      </c>
      <c r="AC541" s="22" t="n">
        <f>116525</f>
        <v>116525.0</v>
      </c>
      <c r="AD541" s="5" t="s">
        <v>281</v>
      </c>
      <c r="AE541" s="23" t="n">
        <f>91046</f>
        <v>91046.0</v>
      </c>
    </row>
    <row r="542">
      <c r="A542" s="24" t="s">
        <v>1113</v>
      </c>
      <c r="B542" s="25" t="s">
        <v>1114</v>
      </c>
      <c r="C542" s="26"/>
      <c r="D542" s="27"/>
      <c r="E542" s="28" t="s">
        <v>48</v>
      </c>
      <c r="F542" s="20" t="n">
        <f>121</f>
        <v>121.0</v>
      </c>
      <c r="G542" s="21" t="n">
        <f>4784825</f>
        <v>4784825.0</v>
      </c>
      <c r="H542" s="21" t="n">
        <f>25300</f>
        <v>25300.0</v>
      </c>
      <c r="I542" s="21" t="n">
        <f>277851</f>
        <v>277851.0</v>
      </c>
      <c r="J542" s="21" t="n">
        <f>39544</f>
        <v>39544.0</v>
      </c>
      <c r="K542" s="21" t="n">
        <f>2296</f>
        <v>2296.0</v>
      </c>
      <c r="L542" s="4" t="s">
        <v>81</v>
      </c>
      <c r="M542" s="22" t="n">
        <f>131978</f>
        <v>131978.0</v>
      </c>
      <c r="N542" s="5" t="s">
        <v>257</v>
      </c>
      <c r="O542" s="23" t="n">
        <f>10224</f>
        <v>10224.0</v>
      </c>
      <c r="P542" s="3" t="s">
        <v>1216</v>
      </c>
      <c r="Q542" s="21" t="n">
        <f>3715266000000</f>
        <v>3.715266E12</v>
      </c>
      <c r="R542" s="3" t="s">
        <v>1217</v>
      </c>
      <c r="S542" s="21" t="n">
        <f>5819302982562</f>
        <v>5.819302982562E12</v>
      </c>
      <c r="T542" s="21" t="n">
        <f>338045382727</f>
        <v>3.38045382727E11</v>
      </c>
      <c r="U542" s="5" t="s">
        <v>81</v>
      </c>
      <c r="V542" s="23" t="n">
        <f>19416080620000</f>
        <v>1.941608062E13</v>
      </c>
      <c r="W542" s="5" t="s">
        <v>257</v>
      </c>
      <c r="X542" s="23" t="n">
        <f>1510604160000</f>
        <v>1.51060416E12</v>
      </c>
      <c r="Y542" s="23"/>
      <c r="Z542" s="21" t="n">
        <f>954746</f>
        <v>954746.0</v>
      </c>
      <c r="AA542" s="21" t="n">
        <f>86861</f>
        <v>86861.0</v>
      </c>
      <c r="AB542" s="4" t="s">
        <v>292</v>
      </c>
      <c r="AC542" s="22" t="n">
        <f>114981</f>
        <v>114981.0</v>
      </c>
      <c r="AD542" s="5" t="s">
        <v>511</v>
      </c>
      <c r="AE542" s="23" t="n">
        <f>85469</f>
        <v>85469.0</v>
      </c>
    </row>
    <row r="543">
      <c r="A543" s="24" t="s">
        <v>1113</v>
      </c>
      <c r="B543" s="25" t="s">
        <v>1114</v>
      </c>
      <c r="C543" s="26"/>
      <c r="D543" s="27"/>
      <c r="E543" s="28" t="s">
        <v>56</v>
      </c>
      <c r="F543" s="20" t="n">
        <f>123</f>
        <v>123.0</v>
      </c>
      <c r="G543" s="21" t="n">
        <f>4393512</f>
        <v>4393512.0</v>
      </c>
      <c r="H543" s="21" t="n">
        <f>18568</f>
        <v>18568.0</v>
      </c>
      <c r="I543" s="21" t="n">
        <f>229243</f>
        <v>229243.0</v>
      </c>
      <c r="J543" s="21" t="n">
        <f>35720</f>
        <v>35720.0</v>
      </c>
      <c r="K543" s="21" t="n">
        <f>1864</f>
        <v>1864.0</v>
      </c>
      <c r="L543" s="4" t="s">
        <v>88</v>
      </c>
      <c r="M543" s="22" t="n">
        <f>152862</f>
        <v>152862.0</v>
      </c>
      <c r="N543" s="5" t="s">
        <v>909</v>
      </c>
      <c r="O543" s="23" t="n">
        <f>16259</f>
        <v>16259.0</v>
      </c>
      <c r="P543" s="3" t="s">
        <v>1218</v>
      </c>
      <c r="Q543" s="21" t="n">
        <f>2735650500000</f>
        <v>2.7356505E12</v>
      </c>
      <c r="R543" s="3" t="s">
        <v>1219</v>
      </c>
      <c r="S543" s="21" t="n">
        <f>5265513237154</f>
        <v>5.265513237154E12</v>
      </c>
      <c r="T543" s="21" t="n">
        <f>274551876098</f>
        <v>2.74551876098E11</v>
      </c>
      <c r="U543" s="5" t="s">
        <v>88</v>
      </c>
      <c r="V543" s="23" t="n">
        <f>22460275040000</f>
        <v>2.246027504E13</v>
      </c>
      <c r="W543" s="5" t="s">
        <v>909</v>
      </c>
      <c r="X543" s="23" t="n">
        <f>2400236230000</f>
        <v>2.40023623E12</v>
      </c>
      <c r="Y543" s="23"/>
      <c r="Z543" s="21" t="n">
        <f>1036963</f>
        <v>1036963.0</v>
      </c>
      <c r="AA543" s="21" t="n">
        <f>92726</f>
        <v>92726.0</v>
      </c>
      <c r="AB543" s="4" t="s">
        <v>442</v>
      </c>
      <c r="AC543" s="22" t="n">
        <f>115296</f>
        <v>115296.0</v>
      </c>
      <c r="AD543" s="5" t="s">
        <v>335</v>
      </c>
      <c r="AE543" s="23" t="n">
        <f>87679</f>
        <v>87679.0</v>
      </c>
    </row>
    <row r="544">
      <c r="A544" s="24" t="s">
        <v>1113</v>
      </c>
      <c r="B544" s="25" t="s">
        <v>1114</v>
      </c>
      <c r="C544" s="26"/>
      <c r="D544" s="27"/>
      <c r="E544" s="28" t="s">
        <v>63</v>
      </c>
      <c r="F544" s="20" t="n">
        <f>122</f>
        <v>122.0</v>
      </c>
      <c r="G544" s="21" t="n">
        <f>4097813</f>
        <v>4097813.0</v>
      </c>
      <c r="H544" s="21" t="n">
        <f>19346</f>
        <v>19346.0</v>
      </c>
      <c r="I544" s="21" t="n">
        <f>206500</f>
        <v>206500.0</v>
      </c>
      <c r="J544" s="21" t="n">
        <f>33589</f>
        <v>33589.0</v>
      </c>
      <c r="K544" s="21" t="n">
        <f>1693</f>
        <v>1693.0</v>
      </c>
      <c r="L544" s="4" t="s">
        <v>81</v>
      </c>
      <c r="M544" s="22" t="n">
        <f>136296</f>
        <v>136296.0</v>
      </c>
      <c r="N544" s="5" t="s">
        <v>113</v>
      </c>
      <c r="O544" s="23" t="n">
        <f>9613</f>
        <v>9613.0</v>
      </c>
      <c r="P544" s="3" t="s">
        <v>1220</v>
      </c>
      <c r="Q544" s="21" t="n">
        <f>2895046000000</f>
        <v>2.895046E12</v>
      </c>
      <c r="R544" s="3" t="s">
        <v>1221</v>
      </c>
      <c r="S544" s="21" t="n">
        <f>5031445261721</f>
        <v>5.031445261721E12</v>
      </c>
      <c r="T544" s="21" t="n">
        <f>253632935820</f>
        <v>2.5363293582E11</v>
      </c>
      <c r="U544" s="5" t="s">
        <v>81</v>
      </c>
      <c r="V544" s="23" t="n">
        <f>20263243590000</f>
        <v>2.026324359E13</v>
      </c>
      <c r="W544" s="5" t="s">
        <v>113</v>
      </c>
      <c r="X544" s="23" t="n">
        <f>1431793020000</f>
        <v>1.43179302E12</v>
      </c>
      <c r="Y544" s="23"/>
      <c r="Z544" s="21" t="n">
        <f>970619</f>
        <v>970619.0</v>
      </c>
      <c r="AA544" s="21" t="n">
        <f>72371</f>
        <v>72371.0</v>
      </c>
      <c r="AB544" s="4" t="s">
        <v>872</v>
      </c>
      <c r="AC544" s="22" t="n">
        <f>118032</f>
        <v>118032.0</v>
      </c>
      <c r="AD544" s="5" t="s">
        <v>171</v>
      </c>
      <c r="AE544" s="23" t="n">
        <f>66735</f>
        <v>66735.0</v>
      </c>
    </row>
    <row r="545">
      <c r="A545" s="24" t="s">
        <v>1113</v>
      </c>
      <c r="B545" s="25" t="s">
        <v>1114</v>
      </c>
      <c r="C545" s="26"/>
      <c r="D545" s="27"/>
      <c r="E545" s="28" t="s">
        <v>70</v>
      </c>
      <c r="F545" s="20" t="n">
        <f>123</f>
        <v>123.0</v>
      </c>
      <c r="G545" s="21" t="n">
        <f>3485900</f>
        <v>3485900.0</v>
      </c>
      <c r="H545" s="21" t="n">
        <f>16556</f>
        <v>16556.0</v>
      </c>
      <c r="I545" s="21" t="n">
        <f>169143</f>
        <v>169143.0</v>
      </c>
      <c r="J545" s="21" t="n">
        <f>28341</f>
        <v>28341.0</v>
      </c>
      <c r="K545" s="21" t="n">
        <f>1375</f>
        <v>1375.0</v>
      </c>
      <c r="L545" s="4" t="s">
        <v>143</v>
      </c>
      <c r="M545" s="22" t="n">
        <f>121978</f>
        <v>121978.0</v>
      </c>
      <c r="N545" s="5" t="s">
        <v>573</v>
      </c>
      <c r="O545" s="23" t="n">
        <f>10565</f>
        <v>10565.0</v>
      </c>
      <c r="P545" s="3" t="s">
        <v>1222</v>
      </c>
      <c r="Q545" s="21" t="n">
        <f>2519555500000</f>
        <v>2.5195555E12</v>
      </c>
      <c r="R545" s="3" t="s">
        <v>1223</v>
      </c>
      <c r="S545" s="21" t="n">
        <f>4308840478049</f>
        <v>4.308840478049E12</v>
      </c>
      <c r="T545" s="21" t="n">
        <f>208911188699</f>
        <v>2.08911188699E11</v>
      </c>
      <c r="U545" s="5" t="s">
        <v>143</v>
      </c>
      <c r="V545" s="23" t="n">
        <f>18545760230000</f>
        <v>1.854576023E13</v>
      </c>
      <c r="W545" s="5" t="s">
        <v>573</v>
      </c>
      <c r="X545" s="23" t="n">
        <f>1599115880000</f>
        <v>1.59911588E12</v>
      </c>
      <c r="Y545" s="23"/>
      <c r="Z545" s="21" t="n">
        <f>750115</f>
        <v>750115.0</v>
      </c>
      <c r="AA545" s="21" t="n">
        <f>58654</f>
        <v>58654.0</v>
      </c>
      <c r="AB545" s="4" t="s">
        <v>96</v>
      </c>
      <c r="AC545" s="22" t="n">
        <f>91233</f>
        <v>91233.0</v>
      </c>
      <c r="AD545" s="5" t="s">
        <v>750</v>
      </c>
      <c r="AE545" s="23" t="n">
        <f>54405</f>
        <v>54405.0</v>
      </c>
    </row>
    <row r="546">
      <c r="A546" s="24" t="s">
        <v>1113</v>
      </c>
      <c r="B546" s="25" t="s">
        <v>1114</v>
      </c>
      <c r="C546" s="26"/>
      <c r="D546" s="27"/>
      <c r="E546" s="28" t="s">
        <v>77</v>
      </c>
      <c r="F546" s="20" t="n">
        <f>122</f>
        <v>122.0</v>
      </c>
      <c r="G546" s="21" t="n">
        <f>3513596</f>
        <v>3513596.0</v>
      </c>
      <c r="H546" s="21" t="n">
        <f>17638</f>
        <v>17638.0</v>
      </c>
      <c r="I546" s="21" t="n">
        <f>189793</f>
        <v>189793.0</v>
      </c>
      <c r="J546" s="21" t="n">
        <f>28800</f>
        <v>28800.0</v>
      </c>
      <c r="K546" s="21" t="n">
        <f>1556</f>
        <v>1556.0</v>
      </c>
      <c r="L546" s="4" t="s">
        <v>93</v>
      </c>
      <c r="M546" s="22" t="n">
        <f>120211</f>
        <v>120211.0</v>
      </c>
      <c r="N546" s="5" t="s">
        <v>134</v>
      </c>
      <c r="O546" s="23" t="n">
        <f>7521</f>
        <v>7521.0</v>
      </c>
      <c r="P546" s="3" t="s">
        <v>1224</v>
      </c>
      <c r="Q546" s="21" t="n">
        <f>2656307500000</f>
        <v>2.6563075E12</v>
      </c>
      <c r="R546" s="3" t="s">
        <v>1225</v>
      </c>
      <c r="S546" s="21" t="n">
        <f>4334213898627</f>
        <v>4.334213898627E12</v>
      </c>
      <c r="T546" s="21" t="n">
        <f>233933481660</f>
        <v>2.3393348166E11</v>
      </c>
      <c r="U546" s="5" t="s">
        <v>93</v>
      </c>
      <c r="V546" s="23" t="n">
        <f>18091668547500</f>
        <v>1.80916685475E13</v>
      </c>
      <c r="W546" s="5" t="s">
        <v>134</v>
      </c>
      <c r="X546" s="23" t="n">
        <f>1126759370000</f>
        <v>1.12675937E12</v>
      </c>
      <c r="Y546" s="23"/>
      <c r="Z546" s="21" t="n">
        <f>824066</f>
        <v>824066.0</v>
      </c>
      <c r="AA546" s="21" t="n">
        <f>80172</f>
        <v>80172.0</v>
      </c>
      <c r="AB546" s="4" t="s">
        <v>1064</v>
      </c>
      <c r="AC546" s="22" t="n">
        <f>114011</f>
        <v>114011.0</v>
      </c>
      <c r="AD546" s="5" t="s">
        <v>221</v>
      </c>
      <c r="AE546" s="23" t="n">
        <f>58642</f>
        <v>58642.0</v>
      </c>
    </row>
    <row r="547">
      <c r="A547" s="24" t="s">
        <v>1113</v>
      </c>
      <c r="B547" s="25" t="s">
        <v>1114</v>
      </c>
      <c r="C547" s="26"/>
      <c r="D547" s="27"/>
      <c r="E547" s="28" t="s">
        <v>83</v>
      </c>
      <c r="F547" s="20" t="n">
        <f>124</f>
        <v>124.0</v>
      </c>
      <c r="G547" s="21" t="n">
        <f>4016315</f>
        <v>4016315.0</v>
      </c>
      <c r="H547" s="21" t="n">
        <f>21732</f>
        <v>21732.0</v>
      </c>
      <c r="I547" s="21" t="n">
        <f>242425</f>
        <v>242425.0</v>
      </c>
      <c r="J547" s="21" t="n">
        <f>32390</f>
        <v>32390.0</v>
      </c>
      <c r="K547" s="21" t="n">
        <f>1955</f>
        <v>1955.0</v>
      </c>
      <c r="L547" s="4" t="s">
        <v>143</v>
      </c>
      <c r="M547" s="22" t="n">
        <f>162107</f>
        <v>162107.0</v>
      </c>
      <c r="N547" s="5" t="s">
        <v>1132</v>
      </c>
      <c r="O547" s="23" t="n">
        <f>11930</f>
        <v>11930.0</v>
      </c>
      <c r="P547" s="3" t="s">
        <v>1226</v>
      </c>
      <c r="Q547" s="21" t="n">
        <f>3272520500000</f>
        <v>3.2725205E12</v>
      </c>
      <c r="R547" s="3" t="s">
        <v>1227</v>
      </c>
      <c r="S547" s="21" t="n">
        <f>4880070331593</f>
        <v>4.880070331593E12</v>
      </c>
      <c r="T547" s="21" t="n">
        <f>294798178690</f>
        <v>2.9479817869E11</v>
      </c>
      <c r="U547" s="5" t="s">
        <v>143</v>
      </c>
      <c r="V547" s="23" t="n">
        <f>24406293622500</f>
        <v>2.44062936225E13</v>
      </c>
      <c r="W547" s="5" t="s">
        <v>1132</v>
      </c>
      <c r="X547" s="23" t="n">
        <f>1792288650000</f>
        <v>1.79228865E12</v>
      </c>
      <c r="Y547" s="23"/>
      <c r="Z547" s="21" t="n">
        <f>929934</f>
        <v>929934.0</v>
      </c>
      <c r="AA547" s="21" t="n">
        <f>92604</f>
        <v>92604.0</v>
      </c>
      <c r="AB547" s="4" t="s">
        <v>458</v>
      </c>
      <c r="AC547" s="22" t="n">
        <f>106486</f>
        <v>106486.0</v>
      </c>
      <c r="AD547" s="5" t="s">
        <v>672</v>
      </c>
      <c r="AE547" s="23" t="n">
        <f>78987</f>
        <v>78987.0</v>
      </c>
    </row>
    <row r="548">
      <c r="A548" s="24" t="s">
        <v>1113</v>
      </c>
      <c r="B548" s="25" t="s">
        <v>1114</v>
      </c>
      <c r="C548" s="26"/>
      <c r="D548" s="27"/>
      <c r="E548" s="28" t="s">
        <v>89</v>
      </c>
      <c r="F548" s="20" t="n">
        <f>121</f>
        <v>121.0</v>
      </c>
      <c r="G548" s="21" t="n">
        <f>4798285</f>
        <v>4798285.0</v>
      </c>
      <c r="H548" s="21" t="n">
        <f>21311</f>
        <v>21311.0</v>
      </c>
      <c r="I548" s="21" t="n">
        <f>278211</f>
        <v>278211.0</v>
      </c>
      <c r="J548" s="21" t="n">
        <f>39655</f>
        <v>39655.0</v>
      </c>
      <c r="K548" s="21" t="n">
        <f>2299</f>
        <v>2299.0</v>
      </c>
      <c r="L548" s="4" t="s">
        <v>68</v>
      </c>
      <c r="M548" s="22" t="n">
        <f>150424</f>
        <v>150424.0</v>
      </c>
      <c r="N548" s="5" t="s">
        <v>113</v>
      </c>
      <c r="O548" s="23" t="n">
        <f>12450</f>
        <v>12450.0</v>
      </c>
      <c r="P548" s="3" t="s">
        <v>1228</v>
      </c>
      <c r="Q548" s="21" t="n">
        <f>3208623000000</f>
        <v>3.208623E12</v>
      </c>
      <c r="R548" s="3" t="s">
        <v>1229</v>
      </c>
      <c r="S548" s="21" t="n">
        <f>5975932893347</f>
        <v>5.975932893347E12</v>
      </c>
      <c r="T548" s="21" t="n">
        <f>346691972851</f>
        <v>3.46691972851E11</v>
      </c>
      <c r="U548" s="5" t="s">
        <v>68</v>
      </c>
      <c r="V548" s="23" t="n">
        <f>22690179857500</f>
        <v>2.26901798575E13</v>
      </c>
      <c r="W548" s="5" t="s">
        <v>113</v>
      </c>
      <c r="X548" s="23" t="n">
        <f>1878209340000</f>
        <v>1.87820934E12</v>
      </c>
      <c r="Y548" s="23"/>
      <c r="Z548" s="21" t="n">
        <f>1064398</f>
        <v>1064398.0</v>
      </c>
      <c r="AA548" s="21" t="n">
        <f>117060</f>
        <v>117060.0</v>
      </c>
      <c r="AB548" s="4" t="s">
        <v>93</v>
      </c>
      <c r="AC548" s="22" t="n">
        <f>170869</f>
        <v>170869.0</v>
      </c>
      <c r="AD548" s="5" t="s">
        <v>519</v>
      </c>
      <c r="AE548" s="23" t="n">
        <f>85667</f>
        <v>85667.0</v>
      </c>
    </row>
    <row r="549">
      <c r="A549" s="24" t="s">
        <v>1113</v>
      </c>
      <c r="B549" s="25" t="s">
        <v>1114</v>
      </c>
      <c r="C549" s="26"/>
      <c r="D549" s="27"/>
      <c r="E549" s="28" t="s">
        <v>95</v>
      </c>
      <c r="F549" s="20" t="n">
        <f>124</f>
        <v>124.0</v>
      </c>
      <c r="G549" s="21" t="n">
        <f>4965791</f>
        <v>4965791.0</v>
      </c>
      <c r="H549" s="21" t="n">
        <f>13043</f>
        <v>13043.0</v>
      </c>
      <c r="I549" s="21" t="n">
        <f>412154</f>
        <v>412154.0</v>
      </c>
      <c r="J549" s="21" t="n">
        <f>40047</f>
        <v>40047.0</v>
      </c>
      <c r="K549" s="21" t="n">
        <f>3324</f>
        <v>3324.0</v>
      </c>
      <c r="L549" s="4" t="s">
        <v>281</v>
      </c>
      <c r="M549" s="22" t="n">
        <f>179523</f>
        <v>179523.0</v>
      </c>
      <c r="N549" s="5" t="s">
        <v>1162</v>
      </c>
      <c r="O549" s="23" t="n">
        <f>13915</f>
        <v>13915.0</v>
      </c>
      <c r="P549" s="3" t="s">
        <v>1230</v>
      </c>
      <c r="Q549" s="21" t="n">
        <f>1963902000000</f>
        <v>1.963902E12</v>
      </c>
      <c r="R549" s="3" t="s">
        <v>1231</v>
      </c>
      <c r="S549" s="21" t="n">
        <f>6030242709961</f>
        <v>6.030242709961E12</v>
      </c>
      <c r="T549" s="21" t="n">
        <f>500299053832</f>
        <v>5.00299053832E11</v>
      </c>
      <c r="U549" s="5" t="s">
        <v>281</v>
      </c>
      <c r="V549" s="23" t="n">
        <f>26984386862700</f>
        <v>2.69843868627E13</v>
      </c>
      <c r="W549" s="5" t="s">
        <v>1162</v>
      </c>
      <c r="X549" s="23" t="n">
        <f>2098128370000</f>
        <v>2.09812837E12</v>
      </c>
      <c r="Y549" s="23"/>
      <c r="Z549" s="21" t="n">
        <f>1243567</f>
        <v>1243567.0</v>
      </c>
      <c r="AA549" s="21" t="n">
        <f>122608</f>
        <v>122608.0</v>
      </c>
      <c r="AB549" s="4" t="s">
        <v>281</v>
      </c>
      <c r="AC549" s="22" t="n">
        <f>185351</f>
        <v>185351.0</v>
      </c>
      <c r="AD549" s="5" t="s">
        <v>76</v>
      </c>
      <c r="AE549" s="23" t="n">
        <f>110182</f>
        <v>110182.0</v>
      </c>
    </row>
    <row r="550">
      <c r="A550" s="24" t="s">
        <v>1113</v>
      </c>
      <c r="B550" s="25" t="s">
        <v>1114</v>
      </c>
      <c r="C550" s="26"/>
      <c r="D550" s="27"/>
      <c r="E550" s="28" t="s">
        <v>101</v>
      </c>
      <c r="F550" s="20" t="n">
        <f>120</f>
        <v>120.0</v>
      </c>
      <c r="G550" s="21" t="n">
        <f>5303329</f>
        <v>5303329.0</v>
      </c>
      <c r="H550" s="21" t="n">
        <f>21727</f>
        <v>21727.0</v>
      </c>
      <c r="I550" s="21" t="n">
        <f>369121</f>
        <v>369121.0</v>
      </c>
      <c r="J550" s="21" t="n">
        <f>44194</f>
        <v>44194.0</v>
      </c>
      <c r="K550" s="21" t="n">
        <f>3076</f>
        <v>3076.0</v>
      </c>
      <c r="L550" s="4" t="s">
        <v>49</v>
      </c>
      <c r="M550" s="22" t="n">
        <f>199661</f>
        <v>199661.0</v>
      </c>
      <c r="N550" s="5" t="s">
        <v>250</v>
      </c>
      <c r="O550" s="23" t="n">
        <f>16169</f>
        <v>16169.0</v>
      </c>
      <c r="P550" s="3" t="s">
        <v>1232</v>
      </c>
      <c r="Q550" s="21" t="n">
        <f>3291647000000</f>
        <v>3.291647E12</v>
      </c>
      <c r="R550" s="3" t="s">
        <v>1233</v>
      </c>
      <c r="S550" s="21" t="n">
        <f>6712022393360</f>
        <v>6.71202239336E12</v>
      </c>
      <c r="T550" s="21" t="n">
        <f>467606336277</f>
        <v>4.67606336277E11</v>
      </c>
      <c r="U550" s="5" t="s">
        <v>49</v>
      </c>
      <c r="V550" s="23" t="n">
        <f>30313507922000</f>
        <v>3.0313507922E13</v>
      </c>
      <c r="W550" s="5" t="s">
        <v>250</v>
      </c>
      <c r="X550" s="23" t="n">
        <f>2428806240000</f>
        <v>2.42880624E12</v>
      </c>
      <c r="Y550" s="23"/>
      <c r="Z550" s="21" t="n">
        <f>1042447</f>
        <v>1042447.0</v>
      </c>
      <c r="AA550" s="21" t="n">
        <f>112288</f>
        <v>112288.0</v>
      </c>
      <c r="AB550" s="4" t="s">
        <v>54</v>
      </c>
      <c r="AC550" s="22" t="n">
        <f>152764</f>
        <v>152764.0</v>
      </c>
      <c r="AD550" s="5" t="s">
        <v>540</v>
      </c>
      <c r="AE550" s="23" t="n">
        <f>104366</f>
        <v>104366.0</v>
      </c>
    </row>
    <row r="551">
      <c r="A551" s="24" t="s">
        <v>1113</v>
      </c>
      <c r="B551" s="25" t="s">
        <v>1114</v>
      </c>
      <c r="C551" s="26"/>
      <c r="D551" s="27"/>
      <c r="E551" s="28" t="s">
        <v>106</v>
      </c>
      <c r="F551" s="20" t="n">
        <f>121</f>
        <v>121.0</v>
      </c>
      <c r="G551" s="21" t="n">
        <f>4980052</f>
        <v>4980052.0</v>
      </c>
      <c r="H551" s="21" t="n">
        <f>17384</f>
        <v>17384.0</v>
      </c>
      <c r="I551" s="21" t="n">
        <f>305735</f>
        <v>305735.0</v>
      </c>
      <c r="J551" s="21" t="n">
        <f>41157</f>
        <v>41157.0</v>
      </c>
      <c r="K551" s="21" t="n">
        <f>2527</f>
        <v>2527.0</v>
      </c>
      <c r="L551" s="4" t="s">
        <v>193</v>
      </c>
      <c r="M551" s="22" t="n">
        <f>182543</f>
        <v>182543.0</v>
      </c>
      <c r="N551" s="5" t="s">
        <v>481</v>
      </c>
      <c r="O551" s="23" t="n">
        <f>13170</f>
        <v>13170.0</v>
      </c>
      <c r="P551" s="3" t="s">
        <v>1234</v>
      </c>
      <c r="Q551" s="21" t="n">
        <f>2672757500000</f>
        <v>2.6727575E12</v>
      </c>
      <c r="R551" s="3" t="s">
        <v>1235</v>
      </c>
      <c r="S551" s="21" t="n">
        <f>6331069598181</f>
        <v>6.331069598181E12</v>
      </c>
      <c r="T551" s="21" t="n">
        <f>389384626941</f>
        <v>3.89384626941E11</v>
      </c>
      <c r="U551" s="5" t="s">
        <v>193</v>
      </c>
      <c r="V551" s="23" t="n">
        <f>28008738682500</f>
        <v>2.80087386825E13</v>
      </c>
      <c r="W551" s="5" t="s">
        <v>481</v>
      </c>
      <c r="X551" s="23" t="n">
        <f>2024435940000</f>
        <v>2.02443594E12</v>
      </c>
      <c r="Y551" s="23"/>
      <c r="Z551" s="21" t="n">
        <f>972209</f>
        <v>972209.0</v>
      </c>
      <c r="AA551" s="21" t="n">
        <f>99891</f>
        <v>99891.0</v>
      </c>
      <c r="AB551" s="4" t="s">
        <v>458</v>
      </c>
      <c r="AC551" s="22" t="n">
        <f>140637</f>
        <v>140637.0</v>
      </c>
      <c r="AD551" s="5" t="s">
        <v>450</v>
      </c>
      <c r="AE551" s="23" t="n">
        <f>96877</f>
        <v>96877.0</v>
      </c>
    </row>
    <row r="552">
      <c r="A552" s="24" t="s">
        <v>1113</v>
      </c>
      <c r="B552" s="25" t="s">
        <v>1114</v>
      </c>
      <c r="C552" s="26"/>
      <c r="D552" s="27"/>
      <c r="E552" s="28" t="s">
        <v>112</v>
      </c>
      <c r="F552" s="20" t="n">
        <f>120</f>
        <v>120.0</v>
      </c>
      <c r="G552" s="21" t="n">
        <f>4573068</f>
        <v>4573068.0</v>
      </c>
      <c r="H552" s="21" t="n">
        <f>19911</f>
        <v>19911.0</v>
      </c>
      <c r="I552" s="21" t="n">
        <f>298801</f>
        <v>298801.0</v>
      </c>
      <c r="J552" s="21" t="n">
        <f>38109</f>
        <v>38109.0</v>
      </c>
      <c r="K552" s="21" t="n">
        <f>2490</f>
        <v>2490.0</v>
      </c>
      <c r="L552" s="4" t="s">
        <v>49</v>
      </c>
      <c r="M552" s="22" t="n">
        <f>180779</f>
        <v>180779.0</v>
      </c>
      <c r="N552" s="5" t="s">
        <v>698</v>
      </c>
      <c r="O552" s="23" t="n">
        <f>10231</f>
        <v>10231.0</v>
      </c>
      <c r="P552" s="3" t="s">
        <v>1236</v>
      </c>
      <c r="Q552" s="21" t="n">
        <f>3051310000000</f>
        <v>3.05131E12</v>
      </c>
      <c r="R552" s="3" t="s">
        <v>1237</v>
      </c>
      <c r="S552" s="21" t="n">
        <f>5838864542263</f>
        <v>5.838864542263E12</v>
      </c>
      <c r="T552" s="21" t="n">
        <f>381498985680</f>
        <v>3.8149898568E11</v>
      </c>
      <c r="U552" s="5" t="s">
        <v>49</v>
      </c>
      <c r="V552" s="23" t="n">
        <f>27514456957500</f>
        <v>2.75144569575E13</v>
      </c>
      <c r="W552" s="5" t="s">
        <v>698</v>
      </c>
      <c r="X552" s="23" t="n">
        <f>1562112520000</f>
        <v>1.56211252E12</v>
      </c>
      <c r="Y552" s="23"/>
      <c r="Z552" s="21" t="n">
        <f>942581</f>
        <v>942581.0</v>
      </c>
      <c r="AA552" s="21" t="n">
        <f>68923</f>
        <v>68923.0</v>
      </c>
      <c r="AB552" s="4" t="s">
        <v>197</v>
      </c>
      <c r="AC552" s="22" t="n">
        <f>169827</f>
        <v>169827.0</v>
      </c>
      <c r="AD552" s="5" t="s">
        <v>698</v>
      </c>
      <c r="AE552" s="23" t="n">
        <f>67780</f>
        <v>67780.0</v>
      </c>
    </row>
    <row r="553">
      <c r="A553" s="24" t="s">
        <v>1113</v>
      </c>
      <c r="B553" s="25" t="s">
        <v>1114</v>
      </c>
      <c r="C553" s="26"/>
      <c r="D553" s="27"/>
      <c r="E553" s="28" t="s">
        <v>118</v>
      </c>
      <c r="F553" s="20" t="n">
        <f>122</f>
        <v>122.0</v>
      </c>
      <c r="G553" s="21" t="n">
        <f>2939386</f>
        <v>2939386.0</v>
      </c>
      <c r="H553" s="21" t="n">
        <f>6792</f>
        <v>6792.0</v>
      </c>
      <c r="I553" s="21" t="n">
        <f>203916</f>
        <v>203916.0</v>
      </c>
      <c r="J553" s="21" t="n">
        <f>24093</f>
        <v>24093.0</v>
      </c>
      <c r="K553" s="21" t="n">
        <f>1671</f>
        <v>1671.0</v>
      </c>
      <c r="L553" s="4" t="s">
        <v>281</v>
      </c>
      <c r="M553" s="22" t="n">
        <f>129136</f>
        <v>129136.0</v>
      </c>
      <c r="N553" s="5" t="s">
        <v>123</v>
      </c>
      <c r="O553" s="23" t="n">
        <f>5389</f>
        <v>5389.0</v>
      </c>
      <c r="P553" s="3" t="s">
        <v>1238</v>
      </c>
      <c r="Q553" s="21" t="n">
        <f>1032883000000</f>
        <v>1.032883E12</v>
      </c>
      <c r="R553" s="3" t="s">
        <v>1239</v>
      </c>
      <c r="S553" s="21" t="n">
        <f>3663228476081</f>
        <v>3.663228476081E12</v>
      </c>
      <c r="T553" s="21" t="n">
        <f>254004320016</f>
        <v>2.54004320016E11</v>
      </c>
      <c r="U553" s="5" t="s">
        <v>281</v>
      </c>
      <c r="V553" s="23" t="n">
        <f>19618037533000</f>
        <v>1.9618037533E13</v>
      </c>
      <c r="W553" s="5" t="s">
        <v>123</v>
      </c>
      <c r="X553" s="23" t="n">
        <f>820995740000</f>
        <v>8.2099574E11</v>
      </c>
      <c r="Y553" s="23"/>
      <c r="Z553" s="21" t="n">
        <f>587132</f>
        <v>587132.0</v>
      </c>
      <c r="AA553" s="21" t="n">
        <f>70577</f>
        <v>70577.0</v>
      </c>
      <c r="AB553" s="4" t="s">
        <v>75</v>
      </c>
      <c r="AC553" s="22" t="n">
        <f>87210</f>
        <v>87210.0</v>
      </c>
      <c r="AD553" s="5" t="s">
        <v>205</v>
      </c>
      <c r="AE553" s="23" t="n">
        <f>63127</f>
        <v>63127.0</v>
      </c>
    </row>
    <row r="554">
      <c r="A554" s="24" t="s">
        <v>1113</v>
      </c>
      <c r="B554" s="25" t="s">
        <v>1114</v>
      </c>
      <c r="C554" s="26"/>
      <c r="D554" s="27"/>
      <c r="E554" s="28" t="s">
        <v>124</v>
      </c>
      <c r="F554" s="20" t="n">
        <f>123</f>
        <v>123.0</v>
      </c>
      <c r="G554" s="21" t="n">
        <f>4187586</f>
        <v>4187586.0</v>
      </c>
      <c r="H554" s="21" t="n">
        <f>7078</f>
        <v>7078.0</v>
      </c>
      <c r="I554" s="21" t="n">
        <f>259235</f>
        <v>259235.0</v>
      </c>
      <c r="J554" s="21" t="n">
        <f>34045</f>
        <v>34045.0</v>
      </c>
      <c r="K554" s="21" t="n">
        <f>2108</f>
        <v>2108.0</v>
      </c>
      <c r="L554" s="4" t="s">
        <v>197</v>
      </c>
      <c r="M554" s="22" t="n">
        <f>141895</f>
        <v>141895.0</v>
      </c>
      <c r="N554" s="5" t="s">
        <v>65</v>
      </c>
      <c r="O554" s="23" t="n">
        <f>12776</f>
        <v>12776.0</v>
      </c>
      <c r="P554" s="3" t="s">
        <v>1240</v>
      </c>
      <c r="Q554" s="21" t="n">
        <f>1073349500000</f>
        <v>1.0733495E12</v>
      </c>
      <c r="R554" s="3" t="s">
        <v>1241</v>
      </c>
      <c r="S554" s="21" t="n">
        <f>5163392290789</f>
        <v>5.163392290789E12</v>
      </c>
      <c r="T554" s="21" t="n">
        <f>319419236399</f>
        <v>3.19419236399E11</v>
      </c>
      <c r="U554" s="5" t="s">
        <v>197</v>
      </c>
      <c r="V554" s="23" t="n">
        <f>21429791760100</f>
        <v>2.14297917601E13</v>
      </c>
      <c r="W554" s="5" t="s">
        <v>65</v>
      </c>
      <c r="X554" s="23" t="n">
        <f>1941152560000</f>
        <v>1.94115256E12</v>
      </c>
      <c r="Y554" s="23"/>
      <c r="Z554" s="21" t="n">
        <f>751242</f>
        <v>751242.0</v>
      </c>
      <c r="AA554" s="21" t="n">
        <f>76525</f>
        <v>76525.0</v>
      </c>
      <c r="AB554" s="4" t="s">
        <v>921</v>
      </c>
      <c r="AC554" s="22" t="n">
        <f>110350</f>
        <v>110350.0</v>
      </c>
      <c r="AD554" s="5" t="s">
        <v>843</v>
      </c>
      <c r="AE554" s="23" t="n">
        <f>66614</f>
        <v>66614.0</v>
      </c>
    </row>
    <row r="555">
      <c r="A555" s="24" t="s">
        <v>1113</v>
      </c>
      <c r="B555" s="25" t="s">
        <v>1114</v>
      </c>
      <c r="C555" s="26"/>
      <c r="D555" s="27"/>
      <c r="E555" s="28" t="s">
        <v>127</v>
      </c>
      <c r="F555" s="20" t="n">
        <f>122</f>
        <v>122.0</v>
      </c>
      <c r="G555" s="21" t="n">
        <f>3698570</f>
        <v>3698570.0</v>
      </c>
      <c r="H555" s="21" t="n">
        <f>5103</f>
        <v>5103.0</v>
      </c>
      <c r="I555" s="21" t="n">
        <f>299658</f>
        <v>299658.0</v>
      </c>
      <c r="J555" s="21" t="n">
        <f>30316</f>
        <v>30316.0</v>
      </c>
      <c r="K555" s="21" t="n">
        <f>2456</f>
        <v>2456.0</v>
      </c>
      <c r="L555" s="4" t="s">
        <v>75</v>
      </c>
      <c r="M555" s="22" t="n">
        <f>149548</f>
        <v>149548.0</v>
      </c>
      <c r="N555" s="5" t="s">
        <v>254</v>
      </c>
      <c r="O555" s="23" t="n">
        <f>9937</f>
        <v>9937.0</v>
      </c>
      <c r="P555" s="3" t="s">
        <v>1242</v>
      </c>
      <c r="Q555" s="21" t="n">
        <f>773703000000</f>
        <v>7.73703E11</v>
      </c>
      <c r="R555" s="3" t="s">
        <v>1243</v>
      </c>
      <c r="S555" s="21" t="n">
        <f>4601385085998</f>
        <v>4.601385085998E12</v>
      </c>
      <c r="T555" s="21" t="n">
        <f>372825171982</f>
        <v>3.72825171982E11</v>
      </c>
      <c r="U555" s="5" t="s">
        <v>75</v>
      </c>
      <c r="V555" s="23" t="n">
        <f>22694508630400</f>
        <v>2.26945086304E13</v>
      </c>
      <c r="W555" s="5" t="s">
        <v>254</v>
      </c>
      <c r="X555" s="23" t="n">
        <f>1508619640000</f>
        <v>1.50861964E12</v>
      </c>
      <c r="Y555" s="23"/>
      <c r="Z555" s="21" t="n">
        <f>755899</f>
        <v>755899.0</v>
      </c>
      <c r="AA555" s="21" t="n">
        <f>81092</f>
        <v>81092.0</v>
      </c>
      <c r="AB555" s="4" t="s">
        <v>119</v>
      </c>
      <c r="AC555" s="22" t="n">
        <f>118404</f>
        <v>118404.0</v>
      </c>
      <c r="AD555" s="5" t="s">
        <v>510</v>
      </c>
      <c r="AE555" s="23" t="n">
        <f>74898</f>
        <v>74898.0</v>
      </c>
    </row>
    <row r="556">
      <c r="A556" s="24" t="s">
        <v>1113</v>
      </c>
      <c r="B556" s="25" t="s">
        <v>1114</v>
      </c>
      <c r="C556" s="26"/>
      <c r="D556" s="27"/>
      <c r="E556" s="28" t="s">
        <v>133</v>
      </c>
      <c r="F556" s="20" t="n">
        <f>122</f>
        <v>122.0</v>
      </c>
      <c r="G556" s="21" t="n">
        <f>4431474</f>
        <v>4431474.0</v>
      </c>
      <c r="H556" s="21" t="n">
        <f>5592</f>
        <v>5592.0</v>
      </c>
      <c r="I556" s="21" t="n">
        <f>346062</f>
        <v>346062.0</v>
      </c>
      <c r="J556" s="21" t="n">
        <f>36324</f>
        <v>36324.0</v>
      </c>
      <c r="K556" s="21" t="n">
        <f>2837</f>
        <v>2837.0</v>
      </c>
      <c r="L556" s="4" t="s">
        <v>81</v>
      </c>
      <c r="M556" s="22" t="n">
        <f>139880</f>
        <v>139880.0</v>
      </c>
      <c r="N556" s="5" t="s">
        <v>134</v>
      </c>
      <c r="O556" s="23" t="n">
        <f>8054</f>
        <v>8054.0</v>
      </c>
      <c r="P556" s="3" t="s">
        <v>1244</v>
      </c>
      <c r="Q556" s="21" t="n">
        <f>844525000000</f>
        <v>8.44525E11</v>
      </c>
      <c r="R556" s="3" t="s">
        <v>1245</v>
      </c>
      <c r="S556" s="21" t="n">
        <f>5488574057646</f>
        <v>5.488574057646E12</v>
      </c>
      <c r="T556" s="21" t="n">
        <f>429147485105</f>
        <v>4.29147485105E11</v>
      </c>
      <c r="U556" s="5" t="s">
        <v>81</v>
      </c>
      <c r="V556" s="23" t="n">
        <f>21261809430500</f>
        <v>2.12618094305E13</v>
      </c>
      <c r="W556" s="5" t="s">
        <v>134</v>
      </c>
      <c r="X556" s="23" t="n">
        <f>1223123930000</f>
        <v>1.22312393E12</v>
      </c>
      <c r="Y556" s="23"/>
      <c r="Z556" s="21" t="n">
        <f>826683</f>
        <v>826683.0</v>
      </c>
      <c r="AA556" s="21" t="n">
        <f>89573</f>
        <v>89573.0</v>
      </c>
      <c r="AB556" s="4" t="s">
        <v>53</v>
      </c>
      <c r="AC556" s="22" t="n">
        <f>116272</f>
        <v>116272.0</v>
      </c>
      <c r="AD556" s="5" t="s">
        <v>994</v>
      </c>
      <c r="AE556" s="23" t="n">
        <f>77993</f>
        <v>77993.0</v>
      </c>
    </row>
    <row r="557">
      <c r="A557" s="24" t="s">
        <v>1113</v>
      </c>
      <c r="B557" s="25" t="s">
        <v>1114</v>
      </c>
      <c r="C557" s="26"/>
      <c r="D557" s="27"/>
      <c r="E557" s="28" t="s">
        <v>139</v>
      </c>
      <c r="F557" s="20" t="n">
        <f>123</f>
        <v>123.0</v>
      </c>
      <c r="G557" s="21" t="n">
        <f>3982355</f>
        <v>3982355.0</v>
      </c>
      <c r="H557" s="21" t="n">
        <f>4331</f>
        <v>4331.0</v>
      </c>
      <c r="I557" s="21" t="n">
        <f>388721</f>
        <v>388721.0</v>
      </c>
      <c r="J557" s="21" t="n">
        <f>32377</f>
        <v>32377.0</v>
      </c>
      <c r="K557" s="21" t="n">
        <f>3160</f>
        <v>3160.0</v>
      </c>
      <c r="L557" s="4" t="s">
        <v>88</v>
      </c>
      <c r="M557" s="22" t="n">
        <f>169140</f>
        <v>169140.0</v>
      </c>
      <c r="N557" s="5" t="s">
        <v>140</v>
      </c>
      <c r="O557" s="23" t="n">
        <f>11469</f>
        <v>11469.0</v>
      </c>
      <c r="P557" s="3" t="s">
        <v>1246</v>
      </c>
      <c r="Q557" s="21" t="n">
        <f>646700000000</f>
        <v>6.467E11</v>
      </c>
      <c r="R557" s="3" t="s">
        <v>1247</v>
      </c>
      <c r="S557" s="21" t="n">
        <f>4830383971740</f>
        <v>4.83038397174E12</v>
      </c>
      <c r="T557" s="21" t="n">
        <f>471513525073</f>
        <v>4.71513525073E11</v>
      </c>
      <c r="U557" s="5" t="s">
        <v>88</v>
      </c>
      <c r="V557" s="23" t="n">
        <f>25259040211400</f>
        <v>2.52590402114E13</v>
      </c>
      <c r="W557" s="5" t="s">
        <v>140</v>
      </c>
      <c r="X557" s="23" t="n">
        <f>1712743040000</f>
        <v>1.71274304E12</v>
      </c>
      <c r="Y557" s="23"/>
      <c r="Z557" s="21" t="n">
        <f>1223771</f>
        <v>1223771.0</v>
      </c>
      <c r="AA557" s="21" t="n">
        <f>124280</f>
        <v>124280.0</v>
      </c>
      <c r="AB557" s="4" t="s">
        <v>71</v>
      </c>
      <c r="AC557" s="22" t="n">
        <f>181164</f>
        <v>181164.0</v>
      </c>
      <c r="AD557" s="5" t="s">
        <v>784</v>
      </c>
      <c r="AE557" s="23" t="n">
        <f>89370</f>
        <v>89370.0</v>
      </c>
    </row>
    <row r="558">
      <c r="A558" s="24" t="s">
        <v>1113</v>
      </c>
      <c r="B558" s="25" t="s">
        <v>1114</v>
      </c>
      <c r="C558" s="26"/>
      <c r="D558" s="27"/>
      <c r="E558" s="28" t="s">
        <v>145</v>
      </c>
      <c r="F558" s="20" t="n">
        <f>122</f>
        <v>122.0</v>
      </c>
      <c r="G558" s="21" t="n">
        <f>3904451</f>
        <v>3904451.0</v>
      </c>
      <c r="H558" s="21" t="n">
        <f>3696</f>
        <v>3696.0</v>
      </c>
      <c r="I558" s="21" t="n">
        <f>468438</f>
        <v>468438.0</v>
      </c>
      <c r="J558" s="21" t="n">
        <f>32004</f>
        <v>32004.0</v>
      </c>
      <c r="K558" s="21" t="n">
        <f>3840</f>
        <v>3840.0</v>
      </c>
      <c r="L558" s="4" t="s">
        <v>64</v>
      </c>
      <c r="M558" s="22" t="n">
        <f>135192</f>
        <v>135192.0</v>
      </c>
      <c r="N558" s="5" t="s">
        <v>134</v>
      </c>
      <c r="O558" s="23" t="n">
        <f>10952</f>
        <v>10952.0</v>
      </c>
      <c r="P558" s="3" t="s">
        <v>1248</v>
      </c>
      <c r="Q558" s="21" t="n">
        <f>542691250000</f>
        <v>5.4269125E11</v>
      </c>
      <c r="R558" s="3" t="s">
        <v>1249</v>
      </c>
      <c r="S558" s="21" t="n">
        <f>4718284974251</f>
        <v>4.718284974251E12</v>
      </c>
      <c r="T558" s="21" t="n">
        <f>565479569333</f>
        <v>5.65479569333E11</v>
      </c>
      <c r="U558" s="5" t="s">
        <v>64</v>
      </c>
      <c r="V558" s="23" t="n">
        <f>20108768737400</f>
        <v>2.01087687374E13</v>
      </c>
      <c r="W558" s="5" t="s">
        <v>134</v>
      </c>
      <c r="X558" s="23" t="n">
        <f>1596809920000</f>
        <v>1.59680992E12</v>
      </c>
      <c r="Y558" s="23"/>
      <c r="Z558" s="21" t="n">
        <f>1304296</f>
        <v>1304296.0</v>
      </c>
      <c r="AA558" s="21" t="n">
        <f>157961</f>
        <v>157961.0</v>
      </c>
      <c r="AB558" s="4" t="s">
        <v>68</v>
      </c>
      <c r="AC558" s="22" t="n">
        <f>190790</f>
        <v>190790.0</v>
      </c>
      <c r="AD558" s="5" t="s">
        <v>138</v>
      </c>
      <c r="AE558" s="23" t="n">
        <f>121686</f>
        <v>121686.0</v>
      </c>
    </row>
    <row r="559">
      <c r="A559" s="24" t="s">
        <v>1113</v>
      </c>
      <c r="B559" s="25" t="s">
        <v>1114</v>
      </c>
      <c r="C559" s="26"/>
      <c r="D559" s="27"/>
      <c r="E559" s="28" t="s">
        <v>150</v>
      </c>
      <c r="F559" s="20" t="n">
        <f>124</f>
        <v>124.0</v>
      </c>
      <c r="G559" s="21" t="n">
        <f>4372340</f>
        <v>4372340.0</v>
      </c>
      <c r="H559" s="21" t="n">
        <f>4473</f>
        <v>4473.0</v>
      </c>
      <c r="I559" s="21" t="n">
        <f>500047</f>
        <v>500047.0</v>
      </c>
      <c r="J559" s="21" t="n">
        <f>35261</f>
        <v>35261.0</v>
      </c>
      <c r="K559" s="21" t="n">
        <f>4033</f>
        <v>4033.0</v>
      </c>
      <c r="L559" s="4" t="s">
        <v>128</v>
      </c>
      <c r="M559" s="22" t="n">
        <f>241788</f>
        <v>241788.0</v>
      </c>
      <c r="N559" s="5" t="s">
        <v>510</v>
      </c>
      <c r="O559" s="23" t="n">
        <f>12516</f>
        <v>12516.0</v>
      </c>
      <c r="P559" s="3" t="s">
        <v>1250</v>
      </c>
      <c r="Q559" s="21" t="n">
        <f>657568500000</f>
        <v>6.575685E11</v>
      </c>
      <c r="R559" s="3" t="s">
        <v>1251</v>
      </c>
      <c r="S559" s="21" t="n">
        <f>5199492924256</f>
        <v>5.199492924256E12</v>
      </c>
      <c r="T559" s="21" t="n">
        <f>594343852885</f>
        <v>5.94343852885E11</v>
      </c>
      <c r="U559" s="5" t="s">
        <v>128</v>
      </c>
      <c r="V559" s="23" t="n">
        <f>35411599491800</f>
        <v>3.54115994918E13</v>
      </c>
      <c r="W559" s="5" t="s">
        <v>510</v>
      </c>
      <c r="X559" s="23" t="n">
        <f>1848119380000</f>
        <v>1.84811938E12</v>
      </c>
      <c r="Y559" s="23"/>
      <c r="Z559" s="21" t="n">
        <f>1420114</f>
        <v>1420114.0</v>
      </c>
      <c r="AA559" s="21" t="n">
        <f>183689</f>
        <v>183689.0</v>
      </c>
      <c r="AB559" s="4" t="s">
        <v>183</v>
      </c>
      <c r="AC559" s="22" t="n">
        <f>217567</f>
        <v>217567.0</v>
      </c>
      <c r="AD559" s="5" t="s">
        <v>666</v>
      </c>
      <c r="AE559" s="23" t="n">
        <f>158106</f>
        <v>158106.0</v>
      </c>
    </row>
    <row r="560">
      <c r="A560" s="24" t="s">
        <v>1113</v>
      </c>
      <c r="B560" s="25" t="s">
        <v>1114</v>
      </c>
      <c r="C560" s="26"/>
      <c r="D560" s="27"/>
      <c r="E560" s="28" t="s">
        <v>154</v>
      </c>
      <c r="F560" s="20" t="n">
        <f>120</f>
        <v>120.0</v>
      </c>
      <c r="G560" s="21" t="n">
        <f>5811552</f>
        <v>5811552.0</v>
      </c>
      <c r="H560" s="21" t="n">
        <f>5685</f>
        <v>5685.0</v>
      </c>
      <c r="I560" s="21" t="n">
        <f>623279</f>
        <v>623279.0</v>
      </c>
      <c r="J560" s="21" t="n">
        <f>48430</f>
        <v>48430.0</v>
      </c>
      <c r="K560" s="21" t="n">
        <f>5194</f>
        <v>5194.0</v>
      </c>
      <c r="L560" s="4" t="s">
        <v>64</v>
      </c>
      <c r="M560" s="22" t="n">
        <f>278982</f>
        <v>278982.0</v>
      </c>
      <c r="N560" s="5" t="s">
        <v>50</v>
      </c>
      <c r="O560" s="23" t="n">
        <f>7487</f>
        <v>7487.0</v>
      </c>
      <c r="P560" s="3" t="s">
        <v>1252</v>
      </c>
      <c r="Q560" s="21" t="n">
        <f>828228750000</f>
        <v>8.2822875E11</v>
      </c>
      <c r="R560" s="3" t="s">
        <v>1253</v>
      </c>
      <c r="S560" s="21" t="n">
        <f>7060977386145</f>
        <v>7.060977386145E12</v>
      </c>
      <c r="T560" s="21" t="n">
        <f>757624158478</f>
        <v>7.57624158478E11</v>
      </c>
      <c r="U560" s="5" t="s">
        <v>64</v>
      </c>
      <c r="V560" s="23" t="n">
        <f>40569232610700</f>
        <v>4.05692326107E13</v>
      </c>
      <c r="W560" s="5" t="s">
        <v>50</v>
      </c>
      <c r="X560" s="23" t="n">
        <f>1096714070000</f>
        <v>1.09671407E12</v>
      </c>
      <c r="Y560" s="23"/>
      <c r="Z560" s="21" t="n">
        <f>1803550</f>
        <v>1803550.0</v>
      </c>
      <c r="AA560" s="21" t="n">
        <f>189389</f>
        <v>189389.0</v>
      </c>
      <c r="AB560" s="4" t="s">
        <v>93</v>
      </c>
      <c r="AC560" s="22" t="n">
        <f>263213</f>
        <v>263213.0</v>
      </c>
      <c r="AD560" s="5" t="s">
        <v>82</v>
      </c>
      <c r="AE560" s="23" t="n">
        <f>181180</f>
        <v>181180.0</v>
      </c>
    </row>
    <row r="561">
      <c r="A561" s="24" t="s">
        <v>1254</v>
      </c>
      <c r="B561" s="25" t="s">
        <v>1255</v>
      </c>
      <c r="C561" s="26"/>
      <c r="D561" s="27"/>
      <c r="E561" s="28" t="s">
        <v>401</v>
      </c>
      <c r="F561" s="20" t="n">
        <f>7</f>
        <v>7.0</v>
      </c>
      <c r="G561" s="21" t="n">
        <f>16</f>
        <v>16.0</v>
      </c>
      <c r="H561" s="21"/>
      <c r="I561" s="21" t="str">
        <f>"－"</f>
        <v>－</v>
      </c>
      <c r="J561" s="21" t="n">
        <f>2</f>
        <v>2.0</v>
      </c>
      <c r="K561" s="21" t="str">
        <f>"－"</f>
        <v>－</v>
      </c>
      <c r="L561" s="4" t="s">
        <v>1256</v>
      </c>
      <c r="M561" s="22" t="n">
        <f>13</f>
        <v>13.0</v>
      </c>
      <c r="N561" s="5" t="s">
        <v>511</v>
      </c>
      <c r="O561" s="23" t="str">
        <f>"－"</f>
        <v>－</v>
      </c>
      <c r="P561" s="3" t="s">
        <v>1257</v>
      </c>
      <c r="Q561" s="21"/>
      <c r="R561" s="3" t="s">
        <v>247</v>
      </c>
      <c r="S561" s="21" t="n">
        <f>31891714</f>
        <v>3.1891714E7</v>
      </c>
      <c r="T561" s="21" t="str">
        <f>"－"</f>
        <v>－</v>
      </c>
      <c r="U561" s="5" t="s">
        <v>1256</v>
      </c>
      <c r="V561" s="23" t="n">
        <f>181383000</f>
        <v>1.81383E8</v>
      </c>
      <c r="W561" s="5" t="s">
        <v>511</v>
      </c>
      <c r="X561" s="23" t="str">
        <f>"－"</f>
        <v>－</v>
      </c>
      <c r="Y561" s="23"/>
      <c r="Z561" s="21" t="str">
        <f>"－"</f>
        <v>－</v>
      </c>
      <c r="AA561" s="21" t="n">
        <f>10</f>
        <v>10.0</v>
      </c>
      <c r="AB561" s="4" t="s">
        <v>1256</v>
      </c>
      <c r="AC561" s="22" t="n">
        <f>10</f>
        <v>10.0</v>
      </c>
      <c r="AD561" s="5" t="s">
        <v>1256</v>
      </c>
      <c r="AE561" s="23" t="n">
        <f>10</f>
        <v>10.0</v>
      </c>
    </row>
    <row r="562">
      <c r="A562" s="24" t="s">
        <v>1254</v>
      </c>
      <c r="B562" s="25" t="s">
        <v>1255</v>
      </c>
      <c r="C562" s="26"/>
      <c r="D562" s="27"/>
      <c r="E562" s="28" t="s">
        <v>405</v>
      </c>
      <c r="F562" s="20" t="n">
        <f>123</f>
        <v>123.0</v>
      </c>
      <c r="G562" s="21" t="n">
        <f>30</f>
        <v>30.0</v>
      </c>
      <c r="H562" s="21"/>
      <c r="I562" s="21" t="str">
        <f>"－"</f>
        <v>－</v>
      </c>
      <c r="J562" s="21" t="n">
        <f>0</f>
        <v>0.0</v>
      </c>
      <c r="K562" s="21" t="str">
        <f>"－"</f>
        <v>－</v>
      </c>
      <c r="L562" s="4" t="s">
        <v>262</v>
      </c>
      <c r="M562" s="22" t="n">
        <f>20</f>
        <v>20.0</v>
      </c>
      <c r="N562" s="5" t="s">
        <v>335</v>
      </c>
      <c r="O562" s="23" t="str">
        <f>"－"</f>
        <v>－</v>
      </c>
      <c r="P562" s="3" t="s">
        <v>1258</v>
      </c>
      <c r="Q562" s="21"/>
      <c r="R562" s="3" t="s">
        <v>247</v>
      </c>
      <c r="S562" s="21" t="n">
        <f>3328049</f>
        <v>3328049.0</v>
      </c>
      <c r="T562" s="21" t="str">
        <f>"－"</f>
        <v>－</v>
      </c>
      <c r="U562" s="5" t="s">
        <v>262</v>
      </c>
      <c r="V562" s="23" t="n">
        <f>272180000</f>
        <v>2.7218E8</v>
      </c>
      <c r="W562" s="5" t="s">
        <v>335</v>
      </c>
      <c r="X562" s="23" t="str">
        <f>"－"</f>
        <v>－</v>
      </c>
      <c r="Y562" s="23"/>
      <c r="Z562" s="21" t="str">
        <f>"－"</f>
        <v>－</v>
      </c>
      <c r="AA562" s="21" t="str">
        <f>"－"</f>
        <v>－</v>
      </c>
      <c r="AB562" s="4" t="s">
        <v>262</v>
      </c>
      <c r="AC562" s="22" t="n">
        <f>20</f>
        <v>20.0</v>
      </c>
      <c r="AD562" s="5" t="s">
        <v>1259</v>
      </c>
      <c r="AE562" s="23" t="str">
        <f>"－"</f>
        <v>－</v>
      </c>
    </row>
    <row r="563">
      <c r="A563" s="24" t="s">
        <v>1254</v>
      </c>
      <c r="B563" s="25" t="s">
        <v>1255</v>
      </c>
      <c r="C563" s="26"/>
      <c r="D563" s="27"/>
      <c r="E563" s="28" t="s">
        <v>409</v>
      </c>
      <c r="F563" s="20" t="n">
        <f>121</f>
        <v>121.0</v>
      </c>
      <c r="G563" s="21" t="str">
        <f>"－"</f>
        <v>－</v>
      </c>
      <c r="H563" s="21"/>
      <c r="I563" s="21" t="str">
        <f>"－"</f>
        <v>－</v>
      </c>
      <c r="J563" s="21" t="str">
        <f>"－"</f>
        <v>－</v>
      </c>
      <c r="K563" s="21" t="str">
        <f>"－"</f>
        <v>－</v>
      </c>
      <c r="L563" s="4" t="s">
        <v>279</v>
      </c>
      <c r="M563" s="22" t="str">
        <f>"－"</f>
        <v>－</v>
      </c>
      <c r="N563" s="5" t="s">
        <v>279</v>
      </c>
      <c r="O563" s="23" t="str">
        <f>"－"</f>
        <v>－</v>
      </c>
      <c r="P563" s="3" t="s">
        <v>247</v>
      </c>
      <c r="Q563" s="21"/>
      <c r="R563" s="3" t="s">
        <v>247</v>
      </c>
      <c r="S563" s="21" t="str">
        <f>"－"</f>
        <v>－</v>
      </c>
      <c r="T563" s="21" t="str">
        <f>"－"</f>
        <v>－</v>
      </c>
      <c r="U563" s="5" t="s">
        <v>279</v>
      </c>
      <c r="V563" s="23" t="str">
        <f>"－"</f>
        <v>－</v>
      </c>
      <c r="W563" s="5" t="s">
        <v>279</v>
      </c>
      <c r="X563" s="23" t="str">
        <f>"－"</f>
        <v>－</v>
      </c>
      <c r="Y563" s="23"/>
      <c r="Z563" s="21" t="str">
        <f>"－"</f>
        <v>－</v>
      </c>
      <c r="AA563" s="21" t="str">
        <f>"－"</f>
        <v>－</v>
      </c>
      <c r="AB563" s="4" t="s">
        <v>279</v>
      </c>
      <c r="AC563" s="22" t="str">
        <f>"－"</f>
        <v>－</v>
      </c>
      <c r="AD563" s="5" t="s">
        <v>279</v>
      </c>
      <c r="AE563" s="23" t="str">
        <f>"－"</f>
        <v>－</v>
      </c>
    </row>
    <row r="564">
      <c r="A564" s="24" t="s">
        <v>1254</v>
      </c>
      <c r="B564" s="25" t="s">
        <v>1255</v>
      </c>
      <c r="C564" s="26"/>
      <c r="D564" s="27"/>
      <c r="E564" s="28" t="s">
        <v>412</v>
      </c>
      <c r="F564" s="20" t="n">
        <f>124</f>
        <v>124.0</v>
      </c>
      <c r="G564" s="21" t="str">
        <f>"－"</f>
        <v>－</v>
      </c>
      <c r="H564" s="21"/>
      <c r="I564" s="21" t="str">
        <f>"－"</f>
        <v>－</v>
      </c>
      <c r="J564" s="21" t="str">
        <f>"－"</f>
        <v>－</v>
      </c>
      <c r="K564" s="21" t="str">
        <f>"－"</f>
        <v>－</v>
      </c>
      <c r="L564" s="4" t="s">
        <v>335</v>
      </c>
      <c r="M564" s="22" t="str">
        <f>"－"</f>
        <v>－</v>
      </c>
      <c r="N564" s="5" t="s">
        <v>335</v>
      </c>
      <c r="O564" s="23" t="str">
        <f>"－"</f>
        <v>－</v>
      </c>
      <c r="P564" s="3" t="s">
        <v>247</v>
      </c>
      <c r="Q564" s="21"/>
      <c r="R564" s="3" t="s">
        <v>247</v>
      </c>
      <c r="S564" s="21" t="str">
        <f>"－"</f>
        <v>－</v>
      </c>
      <c r="T564" s="21" t="str">
        <f>"－"</f>
        <v>－</v>
      </c>
      <c r="U564" s="5" t="s">
        <v>335</v>
      </c>
      <c r="V564" s="23" t="str">
        <f>"－"</f>
        <v>－</v>
      </c>
      <c r="W564" s="5" t="s">
        <v>335</v>
      </c>
      <c r="X564" s="23" t="str">
        <f>"－"</f>
        <v>－</v>
      </c>
      <c r="Y564" s="23"/>
      <c r="Z564" s="21" t="str">
        <f>"－"</f>
        <v>－</v>
      </c>
      <c r="AA564" s="21" t="str">
        <f>"－"</f>
        <v>－</v>
      </c>
      <c r="AB564" s="4" t="s">
        <v>335</v>
      </c>
      <c r="AC564" s="22" t="str">
        <f>"－"</f>
        <v>－</v>
      </c>
      <c r="AD564" s="5" t="s">
        <v>335</v>
      </c>
      <c r="AE564" s="23" t="str">
        <f>"－"</f>
        <v>－</v>
      </c>
    </row>
    <row r="565">
      <c r="A565" s="24" t="s">
        <v>1254</v>
      </c>
      <c r="B565" s="25" t="s">
        <v>1255</v>
      </c>
      <c r="C565" s="26"/>
      <c r="D565" s="27"/>
      <c r="E565" s="28" t="s">
        <v>415</v>
      </c>
      <c r="F565" s="20" t="n">
        <f>121</f>
        <v>121.0</v>
      </c>
      <c r="G565" s="21" t="str">
        <f>"－"</f>
        <v>－</v>
      </c>
      <c r="H565" s="21"/>
      <c r="I565" s="21" t="str">
        <f>"－"</f>
        <v>－</v>
      </c>
      <c r="J565" s="21" t="str">
        <f>"－"</f>
        <v>－</v>
      </c>
      <c r="K565" s="21" t="str">
        <f>"－"</f>
        <v>－</v>
      </c>
      <c r="L565" s="4" t="s">
        <v>279</v>
      </c>
      <c r="M565" s="22" t="str">
        <f>"－"</f>
        <v>－</v>
      </c>
      <c r="N565" s="5" t="s">
        <v>279</v>
      </c>
      <c r="O565" s="23" t="str">
        <f>"－"</f>
        <v>－</v>
      </c>
      <c r="P565" s="3" t="s">
        <v>247</v>
      </c>
      <c r="Q565" s="21"/>
      <c r="R565" s="3" t="s">
        <v>247</v>
      </c>
      <c r="S565" s="21" t="str">
        <f>"－"</f>
        <v>－</v>
      </c>
      <c r="T565" s="21" t="str">
        <f>"－"</f>
        <v>－</v>
      </c>
      <c r="U565" s="5" t="s">
        <v>279</v>
      </c>
      <c r="V565" s="23" t="str">
        <f>"－"</f>
        <v>－</v>
      </c>
      <c r="W565" s="5" t="s">
        <v>279</v>
      </c>
      <c r="X565" s="23" t="str">
        <f>"－"</f>
        <v>－</v>
      </c>
      <c r="Y565" s="23"/>
      <c r="Z565" s="21" t="str">
        <f>"－"</f>
        <v>－</v>
      </c>
      <c r="AA565" s="21" t="str">
        <f>"－"</f>
        <v>－</v>
      </c>
      <c r="AB565" s="4" t="s">
        <v>279</v>
      </c>
      <c r="AC565" s="22" t="str">
        <f>"－"</f>
        <v>－</v>
      </c>
      <c r="AD565" s="5" t="s">
        <v>279</v>
      </c>
      <c r="AE565" s="23" t="str">
        <f>"－"</f>
        <v>－</v>
      </c>
    </row>
    <row r="566">
      <c r="A566" s="24" t="s">
        <v>1254</v>
      </c>
      <c r="B566" s="25" t="s">
        <v>1255</v>
      </c>
      <c r="C566" s="26"/>
      <c r="D566" s="27"/>
      <c r="E566" s="28" t="s">
        <v>418</v>
      </c>
      <c r="F566" s="20" t="n">
        <f>124</f>
        <v>124.0</v>
      </c>
      <c r="G566" s="21" t="n">
        <f>1</f>
        <v>1.0</v>
      </c>
      <c r="H566" s="21"/>
      <c r="I566" s="21" t="str">
        <f>"－"</f>
        <v>－</v>
      </c>
      <c r="J566" s="21" t="n">
        <f>0</f>
        <v>0.0</v>
      </c>
      <c r="K566" s="21" t="str">
        <f>"－"</f>
        <v>－</v>
      </c>
      <c r="L566" s="4" t="s">
        <v>317</v>
      </c>
      <c r="M566" s="22" t="n">
        <f>1</f>
        <v>1.0</v>
      </c>
      <c r="N566" s="5" t="s">
        <v>335</v>
      </c>
      <c r="O566" s="23" t="str">
        <f>"－"</f>
        <v>－</v>
      </c>
      <c r="P566" s="3" t="s">
        <v>1260</v>
      </c>
      <c r="Q566" s="21"/>
      <c r="R566" s="3" t="s">
        <v>247</v>
      </c>
      <c r="S566" s="21" t="n">
        <f>114089</f>
        <v>114089.0</v>
      </c>
      <c r="T566" s="21" t="str">
        <f>"－"</f>
        <v>－</v>
      </c>
      <c r="U566" s="5" t="s">
        <v>317</v>
      </c>
      <c r="V566" s="23" t="n">
        <f>14147000</f>
        <v>1.4147E7</v>
      </c>
      <c r="W566" s="5" t="s">
        <v>335</v>
      </c>
      <c r="X566" s="23" t="str">
        <f>"－"</f>
        <v>－</v>
      </c>
      <c r="Y566" s="23"/>
      <c r="Z566" s="21" t="str">
        <f>"－"</f>
        <v>－</v>
      </c>
      <c r="AA566" s="21" t="str">
        <f>"－"</f>
        <v>－</v>
      </c>
      <c r="AB566" s="4" t="s">
        <v>335</v>
      </c>
      <c r="AC566" s="22" t="str">
        <f>"－"</f>
        <v>－</v>
      </c>
      <c r="AD566" s="5" t="s">
        <v>335</v>
      </c>
      <c r="AE566" s="23" t="str">
        <f>"－"</f>
        <v>－</v>
      </c>
    </row>
    <row r="567">
      <c r="A567" s="24" t="s">
        <v>1254</v>
      </c>
      <c r="B567" s="25" t="s">
        <v>1255</v>
      </c>
      <c r="C567" s="26"/>
      <c r="D567" s="27"/>
      <c r="E567" s="28" t="s">
        <v>422</v>
      </c>
      <c r="F567" s="20" t="n">
        <f>122</f>
        <v>122.0</v>
      </c>
      <c r="G567" s="21" t="n">
        <f>25068</f>
        <v>25068.0</v>
      </c>
      <c r="H567" s="21"/>
      <c r="I567" s="21" t="str">
        <f>"－"</f>
        <v>－</v>
      </c>
      <c r="J567" s="21" t="n">
        <f>205</f>
        <v>205.0</v>
      </c>
      <c r="K567" s="21" t="str">
        <f>"－"</f>
        <v>－</v>
      </c>
      <c r="L567" s="4" t="s">
        <v>94</v>
      </c>
      <c r="M567" s="22" t="n">
        <f>1271</f>
        <v>1271.0</v>
      </c>
      <c r="N567" s="5" t="s">
        <v>82</v>
      </c>
      <c r="O567" s="23" t="str">
        <f>"－"</f>
        <v>－</v>
      </c>
      <c r="P567" s="3" t="s">
        <v>1261</v>
      </c>
      <c r="Q567" s="21"/>
      <c r="R567" s="3" t="s">
        <v>247</v>
      </c>
      <c r="S567" s="21" t="n">
        <f>2923314848</f>
        <v>2.923314848E9</v>
      </c>
      <c r="T567" s="21" t="str">
        <f>"－"</f>
        <v>－</v>
      </c>
      <c r="U567" s="5" t="s">
        <v>94</v>
      </c>
      <c r="V567" s="23" t="n">
        <f>17980928000</f>
        <v>1.7980928E10</v>
      </c>
      <c r="W567" s="5" t="s">
        <v>82</v>
      </c>
      <c r="X567" s="23" t="str">
        <f>"－"</f>
        <v>－</v>
      </c>
      <c r="Y567" s="23"/>
      <c r="Z567" s="21" t="n">
        <f>20</f>
        <v>20.0</v>
      </c>
      <c r="AA567" s="21" t="n">
        <f>394</f>
        <v>394.0</v>
      </c>
      <c r="AB567" s="4" t="s">
        <v>259</v>
      </c>
      <c r="AC567" s="22" t="n">
        <f>1548</f>
        <v>1548.0</v>
      </c>
      <c r="AD567" s="5" t="s">
        <v>82</v>
      </c>
      <c r="AE567" s="23" t="str">
        <f>"－"</f>
        <v>－</v>
      </c>
    </row>
    <row r="568">
      <c r="A568" s="24" t="s">
        <v>1254</v>
      </c>
      <c r="B568" s="25" t="s">
        <v>1255</v>
      </c>
      <c r="C568" s="26"/>
      <c r="D568" s="27"/>
      <c r="E568" s="28" t="s">
        <v>425</v>
      </c>
      <c r="F568" s="20" t="n">
        <f>125</f>
        <v>125.0</v>
      </c>
      <c r="G568" s="21" t="n">
        <f>12382</f>
        <v>12382.0</v>
      </c>
      <c r="H568" s="21"/>
      <c r="I568" s="21" t="n">
        <f>19</f>
        <v>19.0</v>
      </c>
      <c r="J568" s="21" t="n">
        <f>99</f>
        <v>99.0</v>
      </c>
      <c r="K568" s="21" t="n">
        <f>0</f>
        <v>0.0</v>
      </c>
      <c r="L568" s="4" t="s">
        <v>96</v>
      </c>
      <c r="M568" s="22" t="n">
        <f>685</f>
        <v>685.0</v>
      </c>
      <c r="N568" s="5" t="s">
        <v>963</v>
      </c>
      <c r="O568" s="23" t="str">
        <f>"－"</f>
        <v>－</v>
      </c>
      <c r="P568" s="3" t="s">
        <v>1262</v>
      </c>
      <c r="Q568" s="21"/>
      <c r="R568" s="3" t="s">
        <v>1263</v>
      </c>
      <c r="S568" s="21" t="n">
        <f>1417631076</f>
        <v>1.417631076E9</v>
      </c>
      <c r="T568" s="21" t="n">
        <f>2159488</f>
        <v>2159488.0</v>
      </c>
      <c r="U568" s="5" t="s">
        <v>96</v>
      </c>
      <c r="V568" s="23" t="n">
        <f>9826809500</f>
        <v>9.8268095E9</v>
      </c>
      <c r="W568" s="5" t="s">
        <v>963</v>
      </c>
      <c r="X568" s="23" t="str">
        <f>"－"</f>
        <v>－</v>
      </c>
      <c r="Y568" s="23"/>
      <c r="Z568" s="21" t="str">
        <f>"－"</f>
        <v>－</v>
      </c>
      <c r="AA568" s="21" t="n">
        <f>335</f>
        <v>335.0</v>
      </c>
      <c r="AB568" s="4" t="s">
        <v>272</v>
      </c>
      <c r="AC568" s="22" t="n">
        <f>1019</f>
        <v>1019.0</v>
      </c>
      <c r="AD568" s="5" t="s">
        <v>61</v>
      </c>
      <c r="AE568" s="23" t="n">
        <f>85</f>
        <v>85.0</v>
      </c>
    </row>
    <row r="569">
      <c r="A569" s="24" t="s">
        <v>1254</v>
      </c>
      <c r="B569" s="25" t="s">
        <v>1255</v>
      </c>
      <c r="C569" s="26"/>
      <c r="D569" s="27"/>
      <c r="E569" s="28" t="s">
        <v>428</v>
      </c>
      <c r="F569" s="20" t="n">
        <f>120</f>
        <v>120.0</v>
      </c>
      <c r="G569" s="21" t="n">
        <f>8081</f>
        <v>8081.0</v>
      </c>
      <c r="H569" s="21"/>
      <c r="I569" s="21" t="str">
        <f>"－"</f>
        <v>－</v>
      </c>
      <c r="J569" s="21" t="n">
        <f>67</f>
        <v>67.0</v>
      </c>
      <c r="K569" s="21" t="str">
        <f>"－"</f>
        <v>－</v>
      </c>
      <c r="L569" s="4" t="s">
        <v>1075</v>
      </c>
      <c r="M569" s="22" t="n">
        <f>559</f>
        <v>559.0</v>
      </c>
      <c r="N569" s="5" t="s">
        <v>528</v>
      </c>
      <c r="O569" s="23" t="str">
        <f>"－"</f>
        <v>－</v>
      </c>
      <c r="P569" s="3" t="s">
        <v>1264</v>
      </c>
      <c r="Q569" s="21"/>
      <c r="R569" s="3" t="s">
        <v>247</v>
      </c>
      <c r="S569" s="21" t="n">
        <f>973210283</f>
        <v>9.73210283E8</v>
      </c>
      <c r="T569" s="21" t="str">
        <f>"－"</f>
        <v>－</v>
      </c>
      <c r="U569" s="5" t="s">
        <v>1075</v>
      </c>
      <c r="V569" s="23" t="n">
        <f>8069532500</f>
        <v>8.0695325E9</v>
      </c>
      <c r="W569" s="5" t="s">
        <v>528</v>
      </c>
      <c r="X569" s="23" t="str">
        <f>"－"</f>
        <v>－</v>
      </c>
      <c r="Y569" s="23"/>
      <c r="Z569" s="21" t="n">
        <f>8</f>
        <v>8.0</v>
      </c>
      <c r="AA569" s="21" t="n">
        <f>376</f>
        <v>376.0</v>
      </c>
      <c r="AB569" s="4" t="s">
        <v>241</v>
      </c>
      <c r="AC569" s="22" t="n">
        <f>728</f>
        <v>728.0</v>
      </c>
      <c r="AD569" s="5" t="s">
        <v>54</v>
      </c>
      <c r="AE569" s="23" t="n">
        <f>86</f>
        <v>86.0</v>
      </c>
    </row>
    <row r="570">
      <c r="A570" s="24" t="s">
        <v>1254</v>
      </c>
      <c r="B570" s="25" t="s">
        <v>1255</v>
      </c>
      <c r="C570" s="26"/>
      <c r="D570" s="27"/>
      <c r="E570" s="28" t="s">
        <v>433</v>
      </c>
      <c r="F570" s="20" t="n">
        <f>125</f>
        <v>125.0</v>
      </c>
      <c r="G570" s="21" t="n">
        <f>10585</f>
        <v>10585.0</v>
      </c>
      <c r="H570" s="21"/>
      <c r="I570" s="21" t="n">
        <f>126</f>
        <v>126.0</v>
      </c>
      <c r="J570" s="21" t="n">
        <f>85</f>
        <v>85.0</v>
      </c>
      <c r="K570" s="21" t="n">
        <f>1</f>
        <v>1.0</v>
      </c>
      <c r="L570" s="4" t="s">
        <v>672</v>
      </c>
      <c r="M570" s="22" t="n">
        <f>1024</f>
        <v>1024.0</v>
      </c>
      <c r="N570" s="5" t="s">
        <v>1265</v>
      </c>
      <c r="O570" s="23" t="str">
        <f>"－"</f>
        <v>－</v>
      </c>
      <c r="P570" s="3" t="s">
        <v>1266</v>
      </c>
      <c r="Q570" s="21"/>
      <c r="R570" s="3" t="s">
        <v>1267</v>
      </c>
      <c r="S570" s="21" t="n">
        <f>1216229624</f>
        <v>1.216229624E9</v>
      </c>
      <c r="T570" s="21" t="n">
        <f>14432952</f>
        <v>1.4432952E7</v>
      </c>
      <c r="U570" s="5" t="s">
        <v>672</v>
      </c>
      <c r="V570" s="23" t="n">
        <f>14932784000</f>
        <v>1.4932784E10</v>
      </c>
      <c r="W570" s="5" t="s">
        <v>1265</v>
      </c>
      <c r="X570" s="23" t="str">
        <f>"－"</f>
        <v>－</v>
      </c>
      <c r="Y570" s="23"/>
      <c r="Z570" s="21" t="n">
        <f>357</f>
        <v>357.0</v>
      </c>
      <c r="AA570" s="21" t="n">
        <f>212</f>
        <v>212.0</v>
      </c>
      <c r="AB570" s="4" t="s">
        <v>96</v>
      </c>
      <c r="AC570" s="22" t="n">
        <f>1113</f>
        <v>1113.0</v>
      </c>
      <c r="AD570" s="5" t="s">
        <v>61</v>
      </c>
      <c r="AE570" s="23" t="n">
        <f>152</f>
        <v>152.0</v>
      </c>
    </row>
    <row r="571">
      <c r="A571" s="24" t="s">
        <v>1254</v>
      </c>
      <c r="B571" s="25" t="s">
        <v>1255</v>
      </c>
      <c r="C571" s="26"/>
      <c r="D571" s="27"/>
      <c r="E571" s="28" t="s">
        <v>437</v>
      </c>
      <c r="F571" s="20" t="n">
        <f>120</f>
        <v>120.0</v>
      </c>
      <c r="G571" s="21" t="n">
        <f>4321</f>
        <v>4321.0</v>
      </c>
      <c r="H571" s="21"/>
      <c r="I571" s="21" t="n">
        <f>28</f>
        <v>28.0</v>
      </c>
      <c r="J571" s="21" t="n">
        <f>36</f>
        <v>36.0</v>
      </c>
      <c r="K571" s="21" t="n">
        <f>0</f>
        <v>0.0</v>
      </c>
      <c r="L571" s="4" t="s">
        <v>270</v>
      </c>
      <c r="M571" s="22" t="n">
        <f>684</f>
        <v>684.0</v>
      </c>
      <c r="N571" s="5" t="s">
        <v>541</v>
      </c>
      <c r="O571" s="23" t="str">
        <f>"－"</f>
        <v>－</v>
      </c>
      <c r="P571" s="3" t="s">
        <v>1268</v>
      </c>
      <c r="Q571" s="21"/>
      <c r="R571" s="3" t="s">
        <v>1269</v>
      </c>
      <c r="S571" s="21" t="n">
        <f>520891896</f>
        <v>5.20891896E8</v>
      </c>
      <c r="T571" s="21" t="n">
        <f>3380208</f>
        <v>3380208.0</v>
      </c>
      <c r="U571" s="5" t="s">
        <v>270</v>
      </c>
      <c r="V571" s="23" t="n">
        <f>9906373000</f>
        <v>9.906373E9</v>
      </c>
      <c r="W571" s="5" t="s">
        <v>541</v>
      </c>
      <c r="X571" s="23" t="str">
        <f>"－"</f>
        <v>－</v>
      </c>
      <c r="Y571" s="23"/>
      <c r="Z571" s="21" t="n">
        <f>4</f>
        <v>4.0</v>
      </c>
      <c r="AA571" s="21" t="n">
        <f>478</f>
        <v>478.0</v>
      </c>
      <c r="AB571" s="4" t="s">
        <v>330</v>
      </c>
      <c r="AC571" s="22" t="n">
        <f>478</f>
        <v>478.0</v>
      </c>
      <c r="AD571" s="5" t="s">
        <v>54</v>
      </c>
      <c r="AE571" s="23" t="n">
        <f>85</f>
        <v>85.0</v>
      </c>
    </row>
    <row r="572">
      <c r="A572" s="24" t="s">
        <v>1254</v>
      </c>
      <c r="B572" s="25" t="s">
        <v>1255</v>
      </c>
      <c r="C572" s="26"/>
      <c r="D572" s="27"/>
      <c r="E572" s="28" t="s">
        <v>441</v>
      </c>
      <c r="F572" s="20" t="n">
        <f>125</f>
        <v>125.0</v>
      </c>
      <c r="G572" s="21" t="n">
        <f>9279</f>
        <v>9279.0</v>
      </c>
      <c r="H572" s="21"/>
      <c r="I572" s="21" t="n">
        <f>23</f>
        <v>23.0</v>
      </c>
      <c r="J572" s="21" t="n">
        <f>74</f>
        <v>74.0</v>
      </c>
      <c r="K572" s="21" t="n">
        <f>0</f>
        <v>0.0</v>
      </c>
      <c r="L572" s="4" t="s">
        <v>666</v>
      </c>
      <c r="M572" s="22" t="n">
        <f>651</f>
        <v>651.0</v>
      </c>
      <c r="N572" s="5" t="s">
        <v>1270</v>
      </c>
      <c r="O572" s="23" t="n">
        <f>1</f>
        <v>1.0</v>
      </c>
      <c r="P572" s="3" t="s">
        <v>1271</v>
      </c>
      <c r="Q572" s="21"/>
      <c r="R572" s="3" t="s">
        <v>1272</v>
      </c>
      <c r="S572" s="21" t="n">
        <f>1079100488</f>
        <v>1.079100488E9</v>
      </c>
      <c r="T572" s="21" t="n">
        <f>2686876</f>
        <v>2686876.0</v>
      </c>
      <c r="U572" s="5" t="s">
        <v>666</v>
      </c>
      <c r="V572" s="23" t="n">
        <f>9411190500</f>
        <v>9.4111905E9</v>
      </c>
      <c r="W572" s="5" t="s">
        <v>1270</v>
      </c>
      <c r="X572" s="23" t="n">
        <f>14522000</f>
        <v>1.4522E7</v>
      </c>
      <c r="Y572" s="23"/>
      <c r="Z572" s="21" t="n">
        <f>39</f>
        <v>39.0</v>
      </c>
      <c r="AA572" s="21" t="n">
        <f>241</f>
        <v>241.0</v>
      </c>
      <c r="AB572" s="4" t="s">
        <v>193</v>
      </c>
      <c r="AC572" s="22" t="n">
        <f>866</f>
        <v>866.0</v>
      </c>
      <c r="AD572" s="5" t="s">
        <v>895</v>
      </c>
      <c r="AE572" s="23" t="n">
        <f>220</f>
        <v>220.0</v>
      </c>
    </row>
    <row r="573">
      <c r="A573" s="24" t="s">
        <v>1254</v>
      </c>
      <c r="B573" s="25" t="s">
        <v>1255</v>
      </c>
      <c r="C573" s="26"/>
      <c r="D573" s="27"/>
      <c r="E573" s="28" t="s">
        <v>48</v>
      </c>
      <c r="F573" s="20" t="n">
        <f>121</f>
        <v>121.0</v>
      </c>
      <c r="G573" s="21" t="n">
        <f>29162</f>
        <v>29162.0</v>
      </c>
      <c r="H573" s="21"/>
      <c r="I573" s="21" t="n">
        <f>24</f>
        <v>24.0</v>
      </c>
      <c r="J573" s="21" t="n">
        <f>241</f>
        <v>241.0</v>
      </c>
      <c r="K573" s="21" t="n">
        <f>0</f>
        <v>0.0</v>
      </c>
      <c r="L573" s="4" t="s">
        <v>102</v>
      </c>
      <c r="M573" s="22" t="n">
        <f>1139</f>
        <v>1139.0</v>
      </c>
      <c r="N573" s="5" t="s">
        <v>484</v>
      </c>
      <c r="O573" s="23" t="n">
        <f>9</f>
        <v>9.0</v>
      </c>
      <c r="P573" s="3" t="s">
        <v>1273</v>
      </c>
      <c r="Q573" s="21"/>
      <c r="R573" s="3" t="s">
        <v>1274</v>
      </c>
      <c r="S573" s="21" t="n">
        <f>3549590401</f>
        <v>3.549590401E9</v>
      </c>
      <c r="T573" s="21" t="n">
        <f>2922793</f>
        <v>2922793.0</v>
      </c>
      <c r="U573" s="5" t="s">
        <v>102</v>
      </c>
      <c r="V573" s="23" t="n">
        <f>16781636000</f>
        <v>1.6781636E10</v>
      </c>
      <c r="W573" s="5" t="s">
        <v>484</v>
      </c>
      <c r="X573" s="23" t="n">
        <f>132901500</f>
        <v>1.329015E8</v>
      </c>
      <c r="Y573" s="23"/>
      <c r="Z573" s="21" t="n">
        <f>170</f>
        <v>170.0</v>
      </c>
      <c r="AA573" s="21" t="n">
        <f>417</f>
        <v>417.0</v>
      </c>
      <c r="AB573" s="4" t="s">
        <v>197</v>
      </c>
      <c r="AC573" s="22" t="n">
        <f>2374</f>
        <v>2374.0</v>
      </c>
      <c r="AD573" s="5" t="s">
        <v>54</v>
      </c>
      <c r="AE573" s="23" t="n">
        <f>227</f>
        <v>227.0</v>
      </c>
    </row>
    <row r="574">
      <c r="A574" s="24" t="s">
        <v>1254</v>
      </c>
      <c r="B574" s="25" t="s">
        <v>1255</v>
      </c>
      <c r="C574" s="26"/>
      <c r="D574" s="27"/>
      <c r="E574" s="28" t="s">
        <v>56</v>
      </c>
      <c r="F574" s="20" t="n">
        <f>123</f>
        <v>123.0</v>
      </c>
      <c r="G574" s="21" t="n">
        <f>18482</f>
        <v>18482.0</v>
      </c>
      <c r="H574" s="21"/>
      <c r="I574" s="21" t="n">
        <f>60</f>
        <v>60.0</v>
      </c>
      <c r="J574" s="21" t="n">
        <f>150</f>
        <v>150.0</v>
      </c>
      <c r="K574" s="21" t="n">
        <f>0</f>
        <v>0.0</v>
      </c>
      <c r="L574" s="4" t="s">
        <v>274</v>
      </c>
      <c r="M574" s="22" t="n">
        <f>1013</f>
        <v>1013.0</v>
      </c>
      <c r="N574" s="5" t="s">
        <v>1132</v>
      </c>
      <c r="O574" s="23" t="n">
        <f>1</f>
        <v>1.0</v>
      </c>
      <c r="P574" s="3" t="s">
        <v>1275</v>
      </c>
      <c r="Q574" s="21"/>
      <c r="R574" s="3" t="s">
        <v>1276</v>
      </c>
      <c r="S574" s="21" t="n">
        <f>2213626553</f>
        <v>2.213626553E9</v>
      </c>
      <c r="T574" s="21" t="n">
        <f>7191203</f>
        <v>7191203.0</v>
      </c>
      <c r="U574" s="5" t="s">
        <v>274</v>
      </c>
      <c r="V574" s="23" t="n">
        <f>14910329000</f>
        <v>1.4910329E10</v>
      </c>
      <c r="W574" s="5" t="s">
        <v>1132</v>
      </c>
      <c r="X574" s="23" t="n">
        <f>14747500</f>
        <v>1.47475E7</v>
      </c>
      <c r="Y574" s="23"/>
      <c r="Z574" s="21" t="n">
        <f>710</f>
        <v>710.0</v>
      </c>
      <c r="AA574" s="21" t="n">
        <f>237</f>
        <v>237.0</v>
      </c>
      <c r="AB574" s="4" t="s">
        <v>230</v>
      </c>
      <c r="AC574" s="22" t="n">
        <f>875</f>
        <v>875.0</v>
      </c>
      <c r="AD574" s="5" t="s">
        <v>61</v>
      </c>
      <c r="AE574" s="23" t="n">
        <f>154</f>
        <v>154.0</v>
      </c>
    </row>
    <row r="575">
      <c r="A575" s="24" t="s">
        <v>1254</v>
      </c>
      <c r="B575" s="25" t="s">
        <v>1255</v>
      </c>
      <c r="C575" s="26"/>
      <c r="D575" s="27"/>
      <c r="E575" s="28" t="s">
        <v>63</v>
      </c>
      <c r="F575" s="20" t="n">
        <f>122</f>
        <v>122.0</v>
      </c>
      <c r="G575" s="21" t="n">
        <f>6380</f>
        <v>6380.0</v>
      </c>
      <c r="H575" s="21"/>
      <c r="I575" s="21" t="n">
        <f>30</f>
        <v>30.0</v>
      </c>
      <c r="J575" s="21" t="n">
        <f>52</f>
        <v>52.0</v>
      </c>
      <c r="K575" s="21" t="n">
        <f>0</f>
        <v>0.0</v>
      </c>
      <c r="L575" s="4" t="s">
        <v>102</v>
      </c>
      <c r="M575" s="22" t="n">
        <f>599</f>
        <v>599.0</v>
      </c>
      <c r="N575" s="5" t="s">
        <v>1277</v>
      </c>
      <c r="O575" s="23" t="str">
        <f>"－"</f>
        <v>－</v>
      </c>
      <c r="P575" s="3" t="s">
        <v>1278</v>
      </c>
      <c r="Q575" s="21"/>
      <c r="R575" s="3" t="s">
        <v>1279</v>
      </c>
      <c r="S575" s="21" t="n">
        <f>785956516</f>
        <v>7.85956516E8</v>
      </c>
      <c r="T575" s="21" t="n">
        <f>3721295</f>
        <v>3721295.0</v>
      </c>
      <c r="U575" s="5" t="s">
        <v>102</v>
      </c>
      <c r="V575" s="23" t="n">
        <f>9059257000</f>
        <v>9.059257E9</v>
      </c>
      <c r="W575" s="5" t="s">
        <v>1277</v>
      </c>
      <c r="X575" s="23" t="str">
        <f>"－"</f>
        <v>－</v>
      </c>
      <c r="Y575" s="23"/>
      <c r="Z575" s="21" t="n">
        <f>4</f>
        <v>4.0</v>
      </c>
      <c r="AA575" s="21" t="n">
        <f>103</f>
        <v>103.0</v>
      </c>
      <c r="AB575" s="4" t="s">
        <v>934</v>
      </c>
      <c r="AC575" s="22" t="n">
        <f>392</f>
        <v>392.0</v>
      </c>
      <c r="AD575" s="5" t="s">
        <v>94</v>
      </c>
      <c r="AE575" s="23" t="n">
        <f>69</f>
        <v>69.0</v>
      </c>
    </row>
    <row r="576">
      <c r="A576" s="24" t="s">
        <v>1254</v>
      </c>
      <c r="B576" s="25" t="s">
        <v>1255</v>
      </c>
      <c r="C576" s="26"/>
      <c r="D576" s="27"/>
      <c r="E576" s="28" t="s">
        <v>70</v>
      </c>
      <c r="F576" s="20" t="n">
        <f>123</f>
        <v>123.0</v>
      </c>
      <c r="G576" s="21" t="n">
        <f>955</f>
        <v>955.0</v>
      </c>
      <c r="H576" s="21"/>
      <c r="I576" s="21" t="n">
        <f>14</f>
        <v>14.0</v>
      </c>
      <c r="J576" s="21" t="n">
        <f>8</f>
        <v>8.0</v>
      </c>
      <c r="K576" s="21" t="n">
        <f>0</f>
        <v>0.0</v>
      </c>
      <c r="L576" s="4" t="s">
        <v>143</v>
      </c>
      <c r="M576" s="22" t="n">
        <f>56</f>
        <v>56.0</v>
      </c>
      <c r="N576" s="5" t="s">
        <v>751</v>
      </c>
      <c r="O576" s="23" t="str">
        <f>"－"</f>
        <v>－</v>
      </c>
      <c r="P576" s="3" t="s">
        <v>1280</v>
      </c>
      <c r="Q576" s="21"/>
      <c r="R576" s="3" t="s">
        <v>1281</v>
      </c>
      <c r="S576" s="21" t="n">
        <f>118103768</f>
        <v>1.18103768E8</v>
      </c>
      <c r="T576" s="21" t="n">
        <f>1730593</f>
        <v>1730593.0</v>
      </c>
      <c r="U576" s="5" t="s">
        <v>143</v>
      </c>
      <c r="V576" s="23" t="n">
        <f>851449000</f>
        <v>8.51449E8</v>
      </c>
      <c r="W576" s="5" t="s">
        <v>751</v>
      </c>
      <c r="X576" s="23" t="str">
        <f>"－"</f>
        <v>－</v>
      </c>
      <c r="Y576" s="23"/>
      <c r="Z576" s="21" t="str">
        <f>"－"</f>
        <v>－</v>
      </c>
      <c r="AA576" s="21" t="n">
        <f>72</f>
        <v>72.0</v>
      </c>
      <c r="AB576" s="4" t="s">
        <v>972</v>
      </c>
      <c r="AC576" s="22" t="n">
        <f>167</f>
        <v>167.0</v>
      </c>
      <c r="AD576" s="5" t="s">
        <v>76</v>
      </c>
      <c r="AE576" s="23" t="n">
        <f>47</f>
        <v>47.0</v>
      </c>
    </row>
    <row r="577">
      <c r="A577" s="24" t="s">
        <v>1254</v>
      </c>
      <c r="B577" s="25" t="s">
        <v>1255</v>
      </c>
      <c r="C577" s="26"/>
      <c r="D577" s="27"/>
      <c r="E577" s="28" t="s">
        <v>77</v>
      </c>
      <c r="F577" s="20" t="n">
        <f>122</f>
        <v>122.0</v>
      </c>
      <c r="G577" s="21" t="n">
        <f>627</f>
        <v>627.0</v>
      </c>
      <c r="H577" s="21"/>
      <c r="I577" s="21" t="str">
        <f>"－"</f>
        <v>－</v>
      </c>
      <c r="J577" s="21" t="n">
        <f>5</f>
        <v>5.0</v>
      </c>
      <c r="K577" s="21" t="str">
        <f>"－"</f>
        <v>－</v>
      </c>
      <c r="L577" s="4" t="s">
        <v>1282</v>
      </c>
      <c r="M577" s="22" t="n">
        <f>52</f>
        <v>52.0</v>
      </c>
      <c r="N577" s="5" t="s">
        <v>82</v>
      </c>
      <c r="O577" s="23" t="str">
        <f>"－"</f>
        <v>－</v>
      </c>
      <c r="P577" s="3" t="s">
        <v>1283</v>
      </c>
      <c r="Q577" s="21"/>
      <c r="R577" s="3" t="s">
        <v>247</v>
      </c>
      <c r="S577" s="21" t="n">
        <f>77418869</f>
        <v>7.7418869E7</v>
      </c>
      <c r="T577" s="21" t="str">
        <f>"－"</f>
        <v>－</v>
      </c>
      <c r="U577" s="5" t="s">
        <v>1282</v>
      </c>
      <c r="V577" s="23" t="n">
        <f>784060500</f>
        <v>7.840605E8</v>
      </c>
      <c r="W577" s="5" t="s">
        <v>82</v>
      </c>
      <c r="X577" s="23" t="str">
        <f>"－"</f>
        <v>－</v>
      </c>
      <c r="Y577" s="23"/>
      <c r="Z577" s="21" t="str">
        <f>"－"</f>
        <v>－</v>
      </c>
      <c r="AA577" s="21" t="n">
        <f>40</f>
        <v>40.0</v>
      </c>
      <c r="AB577" s="4" t="s">
        <v>374</v>
      </c>
      <c r="AC577" s="22" t="n">
        <f>129</f>
        <v>129.0</v>
      </c>
      <c r="AD577" s="5" t="s">
        <v>171</v>
      </c>
      <c r="AE577" s="23" t="n">
        <f>20</f>
        <v>20.0</v>
      </c>
    </row>
    <row r="578">
      <c r="A578" s="24" t="s">
        <v>1254</v>
      </c>
      <c r="B578" s="25" t="s">
        <v>1255</v>
      </c>
      <c r="C578" s="26"/>
      <c r="D578" s="27"/>
      <c r="E578" s="28" t="s">
        <v>83</v>
      </c>
      <c r="F578" s="20" t="n">
        <f>124</f>
        <v>124.0</v>
      </c>
      <c r="G578" s="21" t="n">
        <f>983</f>
        <v>983.0</v>
      </c>
      <c r="H578" s="21"/>
      <c r="I578" s="21" t="str">
        <f>"－"</f>
        <v>－</v>
      </c>
      <c r="J578" s="21" t="n">
        <f>8</f>
        <v>8.0</v>
      </c>
      <c r="K578" s="21" t="str">
        <f>"－"</f>
        <v>－</v>
      </c>
      <c r="L578" s="4" t="s">
        <v>143</v>
      </c>
      <c r="M578" s="22" t="n">
        <f>115</f>
        <v>115.0</v>
      </c>
      <c r="N578" s="5" t="s">
        <v>151</v>
      </c>
      <c r="O578" s="23" t="str">
        <f>"－"</f>
        <v>－</v>
      </c>
      <c r="P578" s="3" t="s">
        <v>1284</v>
      </c>
      <c r="Q578" s="21"/>
      <c r="R578" s="3" t="s">
        <v>247</v>
      </c>
      <c r="S578" s="21" t="n">
        <f>119296952</f>
        <v>1.19296952E8</v>
      </c>
      <c r="T578" s="21" t="str">
        <f>"－"</f>
        <v>－</v>
      </c>
      <c r="U578" s="5" t="s">
        <v>143</v>
      </c>
      <c r="V578" s="23" t="n">
        <f>1730220500</f>
        <v>1.7302205E9</v>
      </c>
      <c r="W578" s="5" t="s">
        <v>151</v>
      </c>
      <c r="X578" s="23" t="str">
        <f>"－"</f>
        <v>－</v>
      </c>
      <c r="Y578" s="23"/>
      <c r="Z578" s="21" t="str">
        <f>"－"</f>
        <v>－</v>
      </c>
      <c r="AA578" s="21" t="n">
        <f>105</f>
        <v>105.0</v>
      </c>
      <c r="AB578" s="4" t="s">
        <v>217</v>
      </c>
      <c r="AC578" s="22" t="n">
        <f>178</f>
        <v>178.0</v>
      </c>
      <c r="AD578" s="5" t="s">
        <v>132</v>
      </c>
      <c r="AE578" s="23" t="n">
        <f>28</f>
        <v>28.0</v>
      </c>
    </row>
    <row r="579">
      <c r="A579" s="24" t="s">
        <v>1254</v>
      </c>
      <c r="B579" s="25" t="s">
        <v>1255</v>
      </c>
      <c r="C579" s="26"/>
      <c r="D579" s="27"/>
      <c r="E579" s="28" t="s">
        <v>89</v>
      </c>
      <c r="F579" s="20" t="n">
        <f>121</f>
        <v>121.0</v>
      </c>
      <c r="G579" s="21" t="n">
        <f>681</f>
        <v>681.0</v>
      </c>
      <c r="H579" s="21"/>
      <c r="I579" s="21" t="str">
        <f>"－"</f>
        <v>－</v>
      </c>
      <c r="J579" s="21" t="n">
        <f>6</f>
        <v>6.0</v>
      </c>
      <c r="K579" s="21" t="str">
        <f>"－"</f>
        <v>－</v>
      </c>
      <c r="L579" s="4" t="s">
        <v>202</v>
      </c>
      <c r="M579" s="22" t="n">
        <f>109</f>
        <v>109.0</v>
      </c>
      <c r="N579" s="5" t="s">
        <v>519</v>
      </c>
      <c r="O579" s="23" t="str">
        <f>"－"</f>
        <v>－</v>
      </c>
      <c r="P579" s="3" t="s">
        <v>1285</v>
      </c>
      <c r="Q579" s="21"/>
      <c r="R579" s="3" t="s">
        <v>247</v>
      </c>
      <c r="S579" s="21" t="n">
        <f>84793583</f>
        <v>8.4793583E7</v>
      </c>
      <c r="T579" s="21" t="str">
        <f>"－"</f>
        <v>－</v>
      </c>
      <c r="U579" s="5" t="s">
        <v>202</v>
      </c>
      <c r="V579" s="23" t="n">
        <f>1642076000</f>
        <v>1.642076E9</v>
      </c>
      <c r="W579" s="5" t="s">
        <v>519</v>
      </c>
      <c r="X579" s="23" t="str">
        <f>"－"</f>
        <v>－</v>
      </c>
      <c r="Y579" s="23"/>
      <c r="Z579" s="21" t="str">
        <f>"－"</f>
        <v>－</v>
      </c>
      <c r="AA579" s="21" t="n">
        <f>53</f>
        <v>53.0</v>
      </c>
      <c r="AB579" s="4" t="s">
        <v>138</v>
      </c>
      <c r="AC579" s="22" t="n">
        <f>223</f>
        <v>223.0</v>
      </c>
      <c r="AD579" s="5" t="s">
        <v>171</v>
      </c>
      <c r="AE579" s="23" t="n">
        <f>25</f>
        <v>25.0</v>
      </c>
    </row>
    <row r="580">
      <c r="A580" s="24" t="s">
        <v>1254</v>
      </c>
      <c r="B580" s="25" t="s">
        <v>1255</v>
      </c>
      <c r="C580" s="26"/>
      <c r="D580" s="27"/>
      <c r="E580" s="28" t="s">
        <v>95</v>
      </c>
      <c r="F580" s="20" t="n">
        <f>124</f>
        <v>124.0</v>
      </c>
      <c r="G580" s="21" t="n">
        <f>2318</f>
        <v>2318.0</v>
      </c>
      <c r="H580" s="21"/>
      <c r="I580" s="21" t="str">
        <f>"－"</f>
        <v>－</v>
      </c>
      <c r="J580" s="21" t="n">
        <f>19</f>
        <v>19.0</v>
      </c>
      <c r="K580" s="21" t="str">
        <f>"－"</f>
        <v>－</v>
      </c>
      <c r="L580" s="4" t="s">
        <v>1072</v>
      </c>
      <c r="M580" s="22" t="n">
        <f>514</f>
        <v>514.0</v>
      </c>
      <c r="N580" s="5" t="s">
        <v>784</v>
      </c>
      <c r="O580" s="23" t="str">
        <f>"－"</f>
        <v>－</v>
      </c>
      <c r="P580" s="3" t="s">
        <v>1286</v>
      </c>
      <c r="Q580" s="21"/>
      <c r="R580" s="3" t="s">
        <v>247</v>
      </c>
      <c r="S580" s="21" t="n">
        <f>280955468</f>
        <v>2.80955468E8</v>
      </c>
      <c r="T580" s="21" t="str">
        <f>"－"</f>
        <v>－</v>
      </c>
      <c r="U580" s="5" t="s">
        <v>1072</v>
      </c>
      <c r="V580" s="23" t="n">
        <f>7714331000</f>
        <v>7.714331E9</v>
      </c>
      <c r="W580" s="5" t="s">
        <v>784</v>
      </c>
      <c r="X580" s="23" t="str">
        <f>"－"</f>
        <v>－</v>
      </c>
      <c r="Y580" s="23"/>
      <c r="Z580" s="21" t="n">
        <f>32</f>
        <v>32.0</v>
      </c>
      <c r="AA580" s="21" t="n">
        <f>41</f>
        <v>41.0</v>
      </c>
      <c r="AB580" s="4" t="s">
        <v>281</v>
      </c>
      <c r="AC580" s="22" t="n">
        <f>456</f>
        <v>456.0</v>
      </c>
      <c r="AD580" s="5" t="s">
        <v>76</v>
      </c>
      <c r="AE580" s="23" t="n">
        <f>23</f>
        <v>23.0</v>
      </c>
    </row>
    <row r="581">
      <c r="A581" s="24" t="s">
        <v>1254</v>
      </c>
      <c r="B581" s="25" t="s">
        <v>1255</v>
      </c>
      <c r="C581" s="26"/>
      <c r="D581" s="27"/>
      <c r="E581" s="28" t="s">
        <v>101</v>
      </c>
      <c r="F581" s="20" t="n">
        <f>120</f>
        <v>120.0</v>
      </c>
      <c r="G581" s="21" t="n">
        <f>1074</f>
        <v>1074.0</v>
      </c>
      <c r="H581" s="21"/>
      <c r="I581" s="21" t="str">
        <f>"－"</f>
        <v>－</v>
      </c>
      <c r="J581" s="21" t="n">
        <f>9</f>
        <v>9.0</v>
      </c>
      <c r="K581" s="21" t="str">
        <f>"－"</f>
        <v>－</v>
      </c>
      <c r="L581" s="4" t="s">
        <v>582</v>
      </c>
      <c r="M581" s="22" t="n">
        <f>137</f>
        <v>137.0</v>
      </c>
      <c r="N581" s="5" t="s">
        <v>279</v>
      </c>
      <c r="O581" s="23" t="str">
        <f>"－"</f>
        <v>－</v>
      </c>
      <c r="P581" s="3" t="s">
        <v>1287</v>
      </c>
      <c r="Q581" s="21"/>
      <c r="R581" s="3" t="s">
        <v>247</v>
      </c>
      <c r="S581" s="21" t="n">
        <f>136072817</f>
        <v>1.36072817E8</v>
      </c>
      <c r="T581" s="21" t="str">
        <f>"－"</f>
        <v>－</v>
      </c>
      <c r="U581" s="5" t="s">
        <v>582</v>
      </c>
      <c r="V581" s="23" t="n">
        <f>2089138500</f>
        <v>2.0891385E9</v>
      </c>
      <c r="W581" s="5" t="s">
        <v>279</v>
      </c>
      <c r="X581" s="23" t="str">
        <f>"－"</f>
        <v>－</v>
      </c>
      <c r="Y581" s="23"/>
      <c r="Z581" s="21" t="str">
        <f>"－"</f>
        <v>－</v>
      </c>
      <c r="AA581" s="21" t="n">
        <f>133</f>
        <v>133.0</v>
      </c>
      <c r="AB581" s="4" t="s">
        <v>49</v>
      </c>
      <c r="AC581" s="22" t="n">
        <f>174</f>
        <v>174.0</v>
      </c>
      <c r="AD581" s="5" t="s">
        <v>171</v>
      </c>
      <c r="AE581" s="23" t="n">
        <f>37</f>
        <v>37.0</v>
      </c>
    </row>
    <row r="582">
      <c r="A582" s="24" t="s">
        <v>1254</v>
      </c>
      <c r="B582" s="25" t="s">
        <v>1255</v>
      </c>
      <c r="C582" s="26"/>
      <c r="D582" s="27"/>
      <c r="E582" s="28" t="s">
        <v>106</v>
      </c>
      <c r="F582" s="20" t="n">
        <f>121</f>
        <v>121.0</v>
      </c>
      <c r="G582" s="21" t="n">
        <f>824</f>
        <v>824.0</v>
      </c>
      <c r="H582" s="21"/>
      <c r="I582" s="21" t="str">
        <f>"－"</f>
        <v>－</v>
      </c>
      <c r="J582" s="21" t="n">
        <f>7</f>
        <v>7.0</v>
      </c>
      <c r="K582" s="21" t="str">
        <f>"－"</f>
        <v>－</v>
      </c>
      <c r="L582" s="4" t="s">
        <v>450</v>
      </c>
      <c r="M582" s="22" t="n">
        <f>112</f>
        <v>112.0</v>
      </c>
      <c r="N582" s="5" t="s">
        <v>335</v>
      </c>
      <c r="O582" s="23" t="str">
        <f>"－"</f>
        <v>－</v>
      </c>
      <c r="P582" s="3" t="s">
        <v>1288</v>
      </c>
      <c r="Q582" s="21"/>
      <c r="R582" s="3" t="s">
        <v>247</v>
      </c>
      <c r="S582" s="21" t="n">
        <f>104830707</f>
        <v>1.04830707E8</v>
      </c>
      <c r="T582" s="21" t="str">
        <f>"－"</f>
        <v>－</v>
      </c>
      <c r="U582" s="5" t="s">
        <v>450</v>
      </c>
      <c r="V582" s="23" t="n">
        <f>1740355500</f>
        <v>1.7403555E9</v>
      </c>
      <c r="W582" s="5" t="s">
        <v>335</v>
      </c>
      <c r="X582" s="23" t="str">
        <f>"－"</f>
        <v>－</v>
      </c>
      <c r="Y582" s="23"/>
      <c r="Z582" s="21" t="n">
        <f>9</f>
        <v>9.0</v>
      </c>
      <c r="AA582" s="21" t="n">
        <f>134</f>
        <v>134.0</v>
      </c>
      <c r="AB582" s="4" t="s">
        <v>75</v>
      </c>
      <c r="AC582" s="22" t="n">
        <f>232</f>
        <v>232.0</v>
      </c>
      <c r="AD582" s="5" t="s">
        <v>132</v>
      </c>
      <c r="AE582" s="23" t="n">
        <f>41</f>
        <v>41.0</v>
      </c>
    </row>
    <row r="583">
      <c r="A583" s="24" t="s">
        <v>1254</v>
      </c>
      <c r="B583" s="25" t="s">
        <v>1255</v>
      </c>
      <c r="C583" s="26"/>
      <c r="D583" s="27"/>
      <c r="E583" s="28" t="s">
        <v>112</v>
      </c>
      <c r="F583" s="20" t="n">
        <f>120</f>
        <v>120.0</v>
      </c>
      <c r="G583" s="21" t="n">
        <f>2002</f>
        <v>2002.0</v>
      </c>
      <c r="H583" s="21"/>
      <c r="I583" s="21" t="str">
        <f>"－"</f>
        <v>－</v>
      </c>
      <c r="J583" s="21" t="n">
        <f>17</f>
        <v>17.0</v>
      </c>
      <c r="K583" s="21" t="str">
        <f>"－"</f>
        <v>－</v>
      </c>
      <c r="L583" s="4" t="s">
        <v>138</v>
      </c>
      <c r="M583" s="22" t="n">
        <f>326</f>
        <v>326.0</v>
      </c>
      <c r="N583" s="5" t="s">
        <v>1277</v>
      </c>
      <c r="O583" s="23" t="str">
        <f>"－"</f>
        <v>－</v>
      </c>
      <c r="P583" s="3" t="s">
        <v>1289</v>
      </c>
      <c r="Q583" s="21"/>
      <c r="R583" s="3" t="s">
        <v>247</v>
      </c>
      <c r="S583" s="21" t="n">
        <f>255645625</f>
        <v>2.55645625E8</v>
      </c>
      <c r="T583" s="21" t="str">
        <f>"－"</f>
        <v>－</v>
      </c>
      <c r="U583" s="5" t="s">
        <v>138</v>
      </c>
      <c r="V583" s="23" t="n">
        <f>4963924500</f>
        <v>4.9639245E9</v>
      </c>
      <c r="W583" s="5" t="s">
        <v>1277</v>
      </c>
      <c r="X583" s="23" t="str">
        <f>"－"</f>
        <v>－</v>
      </c>
      <c r="Y583" s="23"/>
      <c r="Z583" s="21" t="str">
        <f>"－"</f>
        <v>－</v>
      </c>
      <c r="AA583" s="21" t="n">
        <f>43</f>
        <v>43.0</v>
      </c>
      <c r="AB583" s="4" t="s">
        <v>116</v>
      </c>
      <c r="AC583" s="22" t="n">
        <f>470</f>
        <v>470.0</v>
      </c>
      <c r="AD583" s="5" t="s">
        <v>440</v>
      </c>
      <c r="AE583" s="23" t="n">
        <f>32</f>
        <v>32.0</v>
      </c>
    </row>
    <row r="584">
      <c r="A584" s="24" t="s">
        <v>1254</v>
      </c>
      <c r="B584" s="25" t="s">
        <v>1255</v>
      </c>
      <c r="C584" s="26"/>
      <c r="D584" s="27"/>
      <c r="E584" s="28" t="s">
        <v>118</v>
      </c>
      <c r="F584" s="20" t="n">
        <f>122</f>
        <v>122.0</v>
      </c>
      <c r="G584" s="21" t="n">
        <f>352</f>
        <v>352.0</v>
      </c>
      <c r="H584" s="21"/>
      <c r="I584" s="21" t="str">
        <f>"－"</f>
        <v>－</v>
      </c>
      <c r="J584" s="21" t="n">
        <f>3</f>
        <v>3.0</v>
      </c>
      <c r="K584" s="21" t="str">
        <f>"－"</f>
        <v>－</v>
      </c>
      <c r="L584" s="4" t="s">
        <v>978</v>
      </c>
      <c r="M584" s="22" t="n">
        <f>101</f>
        <v>101.0</v>
      </c>
      <c r="N584" s="5" t="s">
        <v>263</v>
      </c>
      <c r="O584" s="23" t="str">
        <f>"－"</f>
        <v>－</v>
      </c>
      <c r="P584" s="3" t="s">
        <v>1290</v>
      </c>
      <c r="Q584" s="21"/>
      <c r="R584" s="3" t="s">
        <v>247</v>
      </c>
      <c r="S584" s="21" t="n">
        <f>43894148</f>
        <v>4.3894148E7</v>
      </c>
      <c r="T584" s="21" t="str">
        <f>"－"</f>
        <v>－</v>
      </c>
      <c r="U584" s="5" t="s">
        <v>978</v>
      </c>
      <c r="V584" s="23" t="n">
        <f>1535956000</f>
        <v>1.535956E9</v>
      </c>
      <c r="W584" s="5" t="s">
        <v>263</v>
      </c>
      <c r="X584" s="23" t="str">
        <f>"－"</f>
        <v>－</v>
      </c>
      <c r="Y584" s="23"/>
      <c r="Z584" s="21" t="str">
        <f>"－"</f>
        <v>－</v>
      </c>
      <c r="AA584" s="21" t="n">
        <f>31</f>
        <v>31.0</v>
      </c>
      <c r="AB584" s="4" t="s">
        <v>469</v>
      </c>
      <c r="AC584" s="22" t="n">
        <f>125</f>
        <v>125.0</v>
      </c>
      <c r="AD584" s="5" t="s">
        <v>930</v>
      </c>
      <c r="AE584" s="23" t="n">
        <f>22</f>
        <v>22.0</v>
      </c>
    </row>
    <row r="585">
      <c r="A585" s="24" t="s">
        <v>1254</v>
      </c>
      <c r="B585" s="25" t="s">
        <v>1255</v>
      </c>
      <c r="C585" s="26"/>
      <c r="D585" s="27"/>
      <c r="E585" s="28" t="s">
        <v>124</v>
      </c>
      <c r="F585" s="20" t="n">
        <f>123</f>
        <v>123.0</v>
      </c>
      <c r="G585" s="21" t="n">
        <f>439</f>
        <v>439.0</v>
      </c>
      <c r="H585" s="21"/>
      <c r="I585" s="21" t="str">
        <f>"－"</f>
        <v>－</v>
      </c>
      <c r="J585" s="21" t="n">
        <f>4</f>
        <v>4.0</v>
      </c>
      <c r="K585" s="21" t="str">
        <f>"－"</f>
        <v>－</v>
      </c>
      <c r="L585" s="4" t="s">
        <v>197</v>
      </c>
      <c r="M585" s="22" t="n">
        <f>37</f>
        <v>37.0</v>
      </c>
      <c r="N585" s="5" t="s">
        <v>519</v>
      </c>
      <c r="O585" s="23" t="str">
        <f>"－"</f>
        <v>－</v>
      </c>
      <c r="P585" s="3" t="s">
        <v>1291</v>
      </c>
      <c r="Q585" s="21"/>
      <c r="R585" s="3" t="s">
        <v>247</v>
      </c>
      <c r="S585" s="21" t="n">
        <f>54103565</f>
        <v>5.4103565E7</v>
      </c>
      <c r="T585" s="21" t="str">
        <f>"－"</f>
        <v>－</v>
      </c>
      <c r="U585" s="5" t="s">
        <v>197</v>
      </c>
      <c r="V585" s="23" t="n">
        <f>559167000</f>
        <v>5.59167E8</v>
      </c>
      <c r="W585" s="5" t="s">
        <v>519</v>
      </c>
      <c r="X585" s="23" t="str">
        <f>"－"</f>
        <v>－</v>
      </c>
      <c r="Y585" s="23"/>
      <c r="Z585" s="21" t="n">
        <f>22</f>
        <v>22.0</v>
      </c>
      <c r="AA585" s="21" t="n">
        <f>57</f>
        <v>57.0</v>
      </c>
      <c r="AB585" s="4" t="s">
        <v>94</v>
      </c>
      <c r="AC585" s="22" t="n">
        <f>69</f>
        <v>69.0</v>
      </c>
      <c r="AD585" s="5" t="s">
        <v>65</v>
      </c>
      <c r="AE585" s="23" t="n">
        <f>28</f>
        <v>28.0</v>
      </c>
    </row>
    <row r="586">
      <c r="A586" s="24" t="s">
        <v>1254</v>
      </c>
      <c r="B586" s="25" t="s">
        <v>1255</v>
      </c>
      <c r="C586" s="26"/>
      <c r="D586" s="27"/>
      <c r="E586" s="28" t="s">
        <v>127</v>
      </c>
      <c r="F586" s="20" t="n">
        <f>122</f>
        <v>122.0</v>
      </c>
      <c r="G586" s="21" t="n">
        <f>529</f>
        <v>529.0</v>
      </c>
      <c r="H586" s="21"/>
      <c r="I586" s="21" t="str">
        <f>"－"</f>
        <v>－</v>
      </c>
      <c r="J586" s="21" t="n">
        <f>4</f>
        <v>4.0</v>
      </c>
      <c r="K586" s="21" t="str">
        <f>"－"</f>
        <v>－</v>
      </c>
      <c r="L586" s="4" t="s">
        <v>128</v>
      </c>
      <c r="M586" s="22" t="n">
        <f>78</f>
        <v>78.0</v>
      </c>
      <c r="N586" s="5" t="s">
        <v>784</v>
      </c>
      <c r="O586" s="23" t="str">
        <f>"－"</f>
        <v>－</v>
      </c>
      <c r="P586" s="3" t="s">
        <v>1292</v>
      </c>
      <c r="Q586" s="21"/>
      <c r="R586" s="3" t="s">
        <v>247</v>
      </c>
      <c r="S586" s="21" t="n">
        <f>65788176</f>
        <v>6.5788176E7</v>
      </c>
      <c r="T586" s="21" t="str">
        <f>"－"</f>
        <v>－</v>
      </c>
      <c r="U586" s="5" t="s">
        <v>128</v>
      </c>
      <c r="V586" s="23" t="n">
        <f>1184926000</f>
        <v>1.184926E9</v>
      </c>
      <c r="W586" s="5" t="s">
        <v>784</v>
      </c>
      <c r="X586" s="23" t="str">
        <f>"－"</f>
        <v>－</v>
      </c>
      <c r="Y586" s="23"/>
      <c r="Z586" s="21" t="n">
        <f>36</f>
        <v>36.0</v>
      </c>
      <c r="AA586" s="21" t="n">
        <f>52</f>
        <v>52.0</v>
      </c>
      <c r="AB586" s="4" t="s">
        <v>88</v>
      </c>
      <c r="AC586" s="22" t="n">
        <f>121</f>
        <v>121.0</v>
      </c>
      <c r="AD586" s="5" t="s">
        <v>192</v>
      </c>
      <c r="AE586" s="23" t="n">
        <f>38</f>
        <v>38.0</v>
      </c>
    </row>
    <row r="587">
      <c r="A587" s="24" t="s">
        <v>1254</v>
      </c>
      <c r="B587" s="25" t="s">
        <v>1255</v>
      </c>
      <c r="C587" s="26"/>
      <c r="D587" s="27"/>
      <c r="E587" s="28" t="s">
        <v>133</v>
      </c>
      <c r="F587" s="20" t="n">
        <f>122</f>
        <v>122.0</v>
      </c>
      <c r="G587" s="21" t="n">
        <f>677</f>
        <v>677.0</v>
      </c>
      <c r="H587" s="21"/>
      <c r="I587" s="21" t="str">
        <f>"－"</f>
        <v>－</v>
      </c>
      <c r="J587" s="21" t="n">
        <f>6</f>
        <v>6.0</v>
      </c>
      <c r="K587" s="21" t="str">
        <f>"－"</f>
        <v>－</v>
      </c>
      <c r="L587" s="4" t="s">
        <v>64</v>
      </c>
      <c r="M587" s="22" t="n">
        <f>55</f>
        <v>55.0</v>
      </c>
      <c r="N587" s="5" t="s">
        <v>260</v>
      </c>
      <c r="O587" s="23" t="str">
        <f>"－"</f>
        <v>－</v>
      </c>
      <c r="P587" s="3" t="s">
        <v>1293</v>
      </c>
      <c r="Q587" s="21"/>
      <c r="R587" s="3" t="s">
        <v>247</v>
      </c>
      <c r="S587" s="21" t="n">
        <f>83764484</f>
        <v>8.3764484E7</v>
      </c>
      <c r="T587" s="21" t="str">
        <f>"－"</f>
        <v>－</v>
      </c>
      <c r="U587" s="5" t="s">
        <v>64</v>
      </c>
      <c r="V587" s="23" t="n">
        <f>836119500</f>
        <v>8.361195E8</v>
      </c>
      <c r="W587" s="5" t="s">
        <v>260</v>
      </c>
      <c r="X587" s="23" t="str">
        <f>"－"</f>
        <v>－</v>
      </c>
      <c r="Y587" s="23"/>
      <c r="Z587" s="21" t="n">
        <f>46</f>
        <v>46.0</v>
      </c>
      <c r="AA587" s="21" t="n">
        <f>45</f>
        <v>45.0</v>
      </c>
      <c r="AB587" s="4" t="s">
        <v>138</v>
      </c>
      <c r="AC587" s="22" t="n">
        <f>70</f>
        <v>70.0</v>
      </c>
      <c r="AD587" s="5" t="s">
        <v>94</v>
      </c>
      <c r="AE587" s="23" t="n">
        <f>30</f>
        <v>30.0</v>
      </c>
    </row>
    <row r="588">
      <c r="A588" s="24" t="s">
        <v>1254</v>
      </c>
      <c r="B588" s="25" t="s">
        <v>1255</v>
      </c>
      <c r="C588" s="26"/>
      <c r="D588" s="27"/>
      <c r="E588" s="28" t="s">
        <v>139</v>
      </c>
      <c r="F588" s="20" t="n">
        <f>123</f>
        <v>123.0</v>
      </c>
      <c r="G588" s="21" t="n">
        <f>2219</f>
        <v>2219.0</v>
      </c>
      <c r="H588" s="21"/>
      <c r="I588" s="21" t="str">
        <f>"－"</f>
        <v>－</v>
      </c>
      <c r="J588" s="21" t="n">
        <f>18</f>
        <v>18.0</v>
      </c>
      <c r="K588" s="21" t="str">
        <f>"－"</f>
        <v>－</v>
      </c>
      <c r="L588" s="4" t="s">
        <v>132</v>
      </c>
      <c r="M588" s="22" t="n">
        <f>348</f>
        <v>348.0</v>
      </c>
      <c r="N588" s="5" t="s">
        <v>675</v>
      </c>
      <c r="O588" s="23" t="str">
        <f>"－"</f>
        <v>－</v>
      </c>
      <c r="P588" s="3" t="s">
        <v>1294</v>
      </c>
      <c r="Q588" s="21"/>
      <c r="R588" s="3" t="s">
        <v>247</v>
      </c>
      <c r="S588" s="21" t="n">
        <f>268373524</f>
        <v>2.68373524E8</v>
      </c>
      <c r="T588" s="21" t="str">
        <f>"－"</f>
        <v>－</v>
      </c>
      <c r="U588" s="5" t="s">
        <v>132</v>
      </c>
      <c r="V588" s="23" t="n">
        <f>5151694500</f>
        <v>5.1516945E9</v>
      </c>
      <c r="W588" s="5" t="s">
        <v>675</v>
      </c>
      <c r="X588" s="23" t="str">
        <f>"－"</f>
        <v>－</v>
      </c>
      <c r="Y588" s="23"/>
      <c r="Z588" s="21" t="n">
        <f>1242</f>
        <v>1242.0</v>
      </c>
      <c r="AA588" s="21" t="n">
        <f>113</f>
        <v>113.0</v>
      </c>
      <c r="AB588" s="4" t="s">
        <v>1295</v>
      </c>
      <c r="AC588" s="22" t="n">
        <f>297</f>
        <v>297.0</v>
      </c>
      <c r="AD588" s="5" t="s">
        <v>76</v>
      </c>
      <c r="AE588" s="23" t="n">
        <f>42</f>
        <v>42.0</v>
      </c>
    </row>
    <row r="589">
      <c r="A589" s="24" t="s">
        <v>1254</v>
      </c>
      <c r="B589" s="25" t="s">
        <v>1255</v>
      </c>
      <c r="C589" s="26"/>
      <c r="D589" s="27"/>
      <c r="E589" s="28" t="s">
        <v>145</v>
      </c>
      <c r="F589" s="20" t="n">
        <f>122</f>
        <v>122.0</v>
      </c>
      <c r="G589" s="21" t="n">
        <f>2314</f>
        <v>2314.0</v>
      </c>
      <c r="H589" s="21"/>
      <c r="I589" s="21" t="str">
        <f>"－"</f>
        <v>－</v>
      </c>
      <c r="J589" s="21" t="n">
        <f>19</f>
        <v>19.0</v>
      </c>
      <c r="K589" s="21" t="str">
        <f>"－"</f>
        <v>－</v>
      </c>
      <c r="L589" s="4" t="s">
        <v>68</v>
      </c>
      <c r="M589" s="22" t="n">
        <f>170</f>
        <v>170.0</v>
      </c>
      <c r="N589" s="5" t="s">
        <v>644</v>
      </c>
      <c r="O589" s="23" t="str">
        <f>"－"</f>
        <v>－</v>
      </c>
      <c r="P589" s="3" t="s">
        <v>1296</v>
      </c>
      <c r="Q589" s="21"/>
      <c r="R589" s="3" t="s">
        <v>247</v>
      </c>
      <c r="S589" s="21" t="n">
        <f>278908320</f>
        <v>2.7890832E8</v>
      </c>
      <c r="T589" s="21" t="str">
        <f>"－"</f>
        <v>－</v>
      </c>
      <c r="U589" s="5" t="s">
        <v>68</v>
      </c>
      <c r="V589" s="23" t="n">
        <f>2495463000</f>
        <v>2.495463E9</v>
      </c>
      <c r="W589" s="5" t="s">
        <v>644</v>
      </c>
      <c r="X589" s="23" t="str">
        <f>"－"</f>
        <v>－</v>
      </c>
      <c r="Y589" s="23"/>
      <c r="Z589" s="21" t="n">
        <f>1313</f>
        <v>1313.0</v>
      </c>
      <c r="AA589" s="21" t="n">
        <f>277</f>
        <v>277.0</v>
      </c>
      <c r="AB589" s="4" t="s">
        <v>218</v>
      </c>
      <c r="AC589" s="22" t="n">
        <f>295</f>
        <v>295.0</v>
      </c>
      <c r="AD589" s="5" t="s">
        <v>212</v>
      </c>
      <c r="AE589" s="23" t="n">
        <f>44</f>
        <v>44.0</v>
      </c>
    </row>
    <row r="590">
      <c r="A590" s="24" t="s">
        <v>1254</v>
      </c>
      <c r="B590" s="25" t="s">
        <v>1255</v>
      </c>
      <c r="C590" s="26"/>
      <c r="D590" s="27"/>
      <c r="E590" s="28" t="s">
        <v>150</v>
      </c>
      <c r="F590" s="20" t="n">
        <f>124</f>
        <v>124.0</v>
      </c>
      <c r="G590" s="21" t="n">
        <f>1158</f>
        <v>1158.0</v>
      </c>
      <c r="H590" s="21"/>
      <c r="I590" s="21" t="str">
        <f>"－"</f>
        <v>－</v>
      </c>
      <c r="J590" s="21" t="n">
        <f>9</f>
        <v>9.0</v>
      </c>
      <c r="K590" s="21" t="str">
        <f>"－"</f>
        <v>－</v>
      </c>
      <c r="L590" s="4" t="s">
        <v>936</v>
      </c>
      <c r="M590" s="22" t="n">
        <f>46</f>
        <v>46.0</v>
      </c>
      <c r="N590" s="5" t="s">
        <v>151</v>
      </c>
      <c r="O590" s="23" t="str">
        <f>"－"</f>
        <v>－</v>
      </c>
      <c r="P590" s="3" t="s">
        <v>1297</v>
      </c>
      <c r="Q590" s="21"/>
      <c r="R590" s="3" t="s">
        <v>247</v>
      </c>
      <c r="S590" s="21" t="n">
        <f>137681621</f>
        <v>1.37681621E8</v>
      </c>
      <c r="T590" s="21" t="str">
        <f>"－"</f>
        <v>－</v>
      </c>
      <c r="U590" s="5" t="s">
        <v>936</v>
      </c>
      <c r="V590" s="23" t="n">
        <f>683523500</f>
        <v>6.835235E8</v>
      </c>
      <c r="W590" s="5" t="s">
        <v>151</v>
      </c>
      <c r="X590" s="23" t="str">
        <f>"－"</f>
        <v>－</v>
      </c>
      <c r="Y590" s="23"/>
      <c r="Z590" s="21" t="n">
        <f>711</f>
        <v>711.0</v>
      </c>
      <c r="AA590" s="21" t="n">
        <f>107</f>
        <v>107.0</v>
      </c>
      <c r="AB590" s="4" t="s">
        <v>537</v>
      </c>
      <c r="AC590" s="22" t="n">
        <f>298</f>
        <v>298.0</v>
      </c>
      <c r="AD590" s="5" t="s">
        <v>132</v>
      </c>
      <c r="AE590" s="23" t="n">
        <f>46</f>
        <v>46.0</v>
      </c>
    </row>
    <row r="591">
      <c r="A591" s="24" t="s">
        <v>1254</v>
      </c>
      <c r="B591" s="25" t="s">
        <v>1255</v>
      </c>
      <c r="C591" s="26"/>
      <c r="D591" s="27"/>
      <c r="E591" s="28" t="s">
        <v>154</v>
      </c>
      <c r="F591" s="20" t="n">
        <f>120</f>
        <v>120.0</v>
      </c>
      <c r="G591" s="21" t="n">
        <f>2018</f>
        <v>2018.0</v>
      </c>
      <c r="H591" s="21"/>
      <c r="I591" s="21" t="str">
        <f>"－"</f>
        <v>－</v>
      </c>
      <c r="J591" s="21" t="n">
        <f>17</f>
        <v>17.0</v>
      </c>
      <c r="K591" s="21" t="str">
        <f>"－"</f>
        <v>－</v>
      </c>
      <c r="L591" s="4" t="s">
        <v>93</v>
      </c>
      <c r="M591" s="22" t="n">
        <f>248</f>
        <v>248.0</v>
      </c>
      <c r="N591" s="5" t="s">
        <v>323</v>
      </c>
      <c r="O591" s="23" t="str">
        <f>"－"</f>
        <v>－</v>
      </c>
      <c r="P591" s="3" t="s">
        <v>1298</v>
      </c>
      <c r="Q591" s="21"/>
      <c r="R591" s="3" t="s">
        <v>247</v>
      </c>
      <c r="S591" s="21" t="n">
        <f>245163267</f>
        <v>2.45163267E8</v>
      </c>
      <c r="T591" s="21" t="str">
        <f>"－"</f>
        <v>－</v>
      </c>
      <c r="U591" s="5" t="s">
        <v>93</v>
      </c>
      <c r="V591" s="23" t="n">
        <f>3624810000</f>
        <v>3.62481E9</v>
      </c>
      <c r="W591" s="5" t="s">
        <v>323</v>
      </c>
      <c r="X591" s="23" t="str">
        <f>"－"</f>
        <v>－</v>
      </c>
      <c r="Y591" s="23"/>
      <c r="Z591" s="21" t="n">
        <f>1370</f>
        <v>1370.0</v>
      </c>
      <c r="AA591" s="21" t="n">
        <f>136</f>
        <v>136.0</v>
      </c>
      <c r="AB591" s="4" t="s">
        <v>1082</v>
      </c>
      <c r="AC591" s="22" t="n">
        <f>263</f>
        <v>263.0</v>
      </c>
      <c r="AD591" s="5" t="s">
        <v>212</v>
      </c>
      <c r="AE591" s="23" t="n">
        <f>62</f>
        <v>62.0</v>
      </c>
    </row>
    <row r="592">
      <c r="A592" s="24" t="s">
        <v>1299</v>
      </c>
      <c r="B592" s="25" t="s">
        <v>1300</v>
      </c>
      <c r="C592" s="26"/>
      <c r="D592" s="27"/>
      <c r="E592" s="28" t="s">
        <v>244</v>
      </c>
      <c r="F592" s="20" t="n">
        <f>65</f>
        <v>65.0</v>
      </c>
      <c r="G592" s="21" t="n">
        <f>28805</f>
        <v>28805.0</v>
      </c>
      <c r="H592" s="21"/>
      <c r="I592" s="21" t="str">
        <f>"－"</f>
        <v>－</v>
      </c>
      <c r="J592" s="21" t="n">
        <f>443</f>
        <v>443.0</v>
      </c>
      <c r="K592" s="21" t="str">
        <f>"－"</f>
        <v>－</v>
      </c>
      <c r="L592" s="4" t="s">
        <v>1295</v>
      </c>
      <c r="M592" s="22" t="n">
        <f>17010</f>
        <v>17010.0</v>
      </c>
      <c r="N592" s="5" t="s">
        <v>76</v>
      </c>
      <c r="O592" s="23" t="n">
        <f>2</f>
        <v>2.0</v>
      </c>
      <c r="P592" s="3" t="s">
        <v>1301</v>
      </c>
      <c r="Q592" s="21"/>
      <c r="R592" s="3" t="s">
        <v>247</v>
      </c>
      <c r="S592" s="21" t="n">
        <f>46334687385</f>
        <v>4.6334687385E10</v>
      </c>
      <c r="T592" s="21" t="str">
        <f>"－"</f>
        <v>－</v>
      </c>
      <c r="U592" s="5" t="s">
        <v>1295</v>
      </c>
      <c r="V592" s="23" t="n">
        <f>1796477440000</f>
        <v>1.79647744E12</v>
      </c>
      <c r="W592" s="5" t="s">
        <v>76</v>
      </c>
      <c r="X592" s="23" t="n">
        <f>204910000</f>
        <v>2.0491E8</v>
      </c>
      <c r="Y592" s="23"/>
      <c r="Z592" s="21" t="str">
        <f>"－"</f>
        <v>－</v>
      </c>
      <c r="AA592" s="21" t="n">
        <f>247</f>
        <v>247.0</v>
      </c>
      <c r="AB592" s="4" t="s">
        <v>1295</v>
      </c>
      <c r="AC592" s="22" t="n">
        <f>5100</f>
        <v>5100.0</v>
      </c>
      <c r="AD592" s="5" t="s">
        <v>631</v>
      </c>
      <c r="AE592" s="23" t="n">
        <f>81</f>
        <v>81.0</v>
      </c>
    </row>
    <row r="593">
      <c r="A593" s="24" t="s">
        <v>1299</v>
      </c>
      <c r="B593" s="25" t="s">
        <v>1300</v>
      </c>
      <c r="C593" s="26"/>
      <c r="D593" s="27"/>
      <c r="E593" s="28" t="s">
        <v>249</v>
      </c>
      <c r="F593" s="20" t="n">
        <f>128</f>
        <v>128.0</v>
      </c>
      <c r="G593" s="21" t="n">
        <f>22112</f>
        <v>22112.0</v>
      </c>
      <c r="H593" s="21"/>
      <c r="I593" s="21" t="str">
        <f>"－"</f>
        <v>－</v>
      </c>
      <c r="J593" s="21" t="n">
        <f>173</f>
        <v>173.0</v>
      </c>
      <c r="K593" s="21" t="str">
        <f>"－"</f>
        <v>－</v>
      </c>
      <c r="L593" s="4" t="s">
        <v>202</v>
      </c>
      <c r="M593" s="22" t="n">
        <f>525</f>
        <v>525.0</v>
      </c>
      <c r="N593" s="5" t="s">
        <v>250</v>
      </c>
      <c r="O593" s="23" t="n">
        <f>62</f>
        <v>62.0</v>
      </c>
      <c r="P593" s="3" t="s">
        <v>1302</v>
      </c>
      <c r="Q593" s="21"/>
      <c r="R593" s="3" t="s">
        <v>247</v>
      </c>
      <c r="S593" s="21" t="n">
        <f>19054930938</f>
        <v>1.9054930938E10</v>
      </c>
      <c r="T593" s="21" t="str">
        <f>"－"</f>
        <v>－</v>
      </c>
      <c r="U593" s="5" t="s">
        <v>202</v>
      </c>
      <c r="V593" s="23" t="n">
        <f>57643200000</f>
        <v>5.76432E10</v>
      </c>
      <c r="W593" s="5" t="s">
        <v>250</v>
      </c>
      <c r="X593" s="23" t="n">
        <f>6764410000</f>
        <v>6.76441E9</v>
      </c>
      <c r="Y593" s="23"/>
      <c r="Z593" s="21" t="str">
        <f>"－"</f>
        <v>－</v>
      </c>
      <c r="AA593" s="21" t="n">
        <f>792</f>
        <v>792.0</v>
      </c>
      <c r="AB593" s="4" t="s">
        <v>1075</v>
      </c>
      <c r="AC593" s="22" t="n">
        <f>2043</f>
        <v>2043.0</v>
      </c>
      <c r="AD593" s="5" t="s">
        <v>1112</v>
      </c>
      <c r="AE593" s="23" t="n">
        <f>392</f>
        <v>392.0</v>
      </c>
    </row>
    <row r="594">
      <c r="A594" s="24" t="s">
        <v>1299</v>
      </c>
      <c r="B594" s="25" t="s">
        <v>1300</v>
      </c>
      <c r="C594" s="26"/>
      <c r="D594" s="27"/>
      <c r="E594" s="28" t="s">
        <v>253</v>
      </c>
      <c r="F594" s="20" t="n">
        <f>126</f>
        <v>126.0</v>
      </c>
      <c r="G594" s="21" t="n">
        <f>11034</f>
        <v>11034.0</v>
      </c>
      <c r="H594" s="21"/>
      <c r="I594" s="21" t="str">
        <f>"－"</f>
        <v>－</v>
      </c>
      <c r="J594" s="21" t="n">
        <f>88</f>
        <v>88.0</v>
      </c>
      <c r="K594" s="21" t="str">
        <f>"－"</f>
        <v>－</v>
      </c>
      <c r="L594" s="4" t="s">
        <v>97</v>
      </c>
      <c r="M594" s="22" t="n">
        <f>292</f>
        <v>292.0</v>
      </c>
      <c r="N594" s="5" t="s">
        <v>227</v>
      </c>
      <c r="O594" s="23" t="str">
        <f>"－"</f>
        <v>－</v>
      </c>
      <c r="P594" s="3" t="s">
        <v>1303</v>
      </c>
      <c r="Q594" s="21"/>
      <c r="R594" s="3" t="s">
        <v>247</v>
      </c>
      <c r="S594" s="21" t="n">
        <f>9544578968</f>
        <v>9.544578968E9</v>
      </c>
      <c r="T594" s="21" t="str">
        <f>"－"</f>
        <v>－</v>
      </c>
      <c r="U594" s="5" t="s">
        <v>97</v>
      </c>
      <c r="V594" s="23" t="n">
        <f>32170740000</f>
        <v>3.217074E10</v>
      </c>
      <c r="W594" s="5" t="s">
        <v>227</v>
      </c>
      <c r="X594" s="23" t="str">
        <f>"－"</f>
        <v>－</v>
      </c>
      <c r="Y594" s="23"/>
      <c r="Z594" s="21" t="str">
        <f>"－"</f>
        <v>－</v>
      </c>
      <c r="AA594" s="21" t="n">
        <f>291</f>
        <v>291.0</v>
      </c>
      <c r="AB594" s="4" t="s">
        <v>510</v>
      </c>
      <c r="AC594" s="22" t="n">
        <f>888</f>
        <v>888.0</v>
      </c>
      <c r="AD594" s="5" t="s">
        <v>442</v>
      </c>
      <c r="AE594" s="23" t="n">
        <f>182</f>
        <v>182.0</v>
      </c>
    </row>
    <row r="595">
      <c r="A595" s="24" t="s">
        <v>1299</v>
      </c>
      <c r="B595" s="25" t="s">
        <v>1300</v>
      </c>
      <c r="C595" s="26"/>
      <c r="D595" s="27"/>
      <c r="E595" s="28" t="s">
        <v>256</v>
      </c>
      <c r="F595" s="20" t="n">
        <f>121</f>
        <v>121.0</v>
      </c>
      <c r="G595" s="21" t="n">
        <f>11395</f>
        <v>11395.0</v>
      </c>
      <c r="H595" s="21"/>
      <c r="I595" s="21" t="str">
        <f>"－"</f>
        <v>－</v>
      </c>
      <c r="J595" s="21" t="n">
        <f>94</f>
        <v>94.0</v>
      </c>
      <c r="K595" s="21" t="str">
        <f>"－"</f>
        <v>－</v>
      </c>
      <c r="L595" s="4" t="s">
        <v>259</v>
      </c>
      <c r="M595" s="22" t="n">
        <f>544</f>
        <v>544.0</v>
      </c>
      <c r="N595" s="5" t="s">
        <v>1304</v>
      </c>
      <c r="O595" s="23" t="n">
        <f>21</f>
        <v>21.0</v>
      </c>
      <c r="P595" s="3" t="s">
        <v>1305</v>
      </c>
      <c r="Q595" s="21"/>
      <c r="R595" s="3" t="s">
        <v>247</v>
      </c>
      <c r="S595" s="21" t="n">
        <f>9573540248</f>
        <v>9.573540248E9</v>
      </c>
      <c r="T595" s="21" t="str">
        <f>"－"</f>
        <v>－</v>
      </c>
      <c r="U595" s="5" t="s">
        <v>259</v>
      </c>
      <c r="V595" s="23" t="n">
        <f>52932800000</f>
        <v>5.29328E10</v>
      </c>
      <c r="W595" s="5" t="s">
        <v>585</v>
      </c>
      <c r="X595" s="23" t="n">
        <f>1917300000</f>
        <v>1.9173E9</v>
      </c>
      <c r="Y595" s="23"/>
      <c r="Z595" s="21" t="str">
        <f>"－"</f>
        <v>－</v>
      </c>
      <c r="AA595" s="21" t="n">
        <f>610</f>
        <v>610.0</v>
      </c>
      <c r="AB595" s="4" t="s">
        <v>218</v>
      </c>
      <c r="AC595" s="22" t="n">
        <f>737</f>
        <v>737.0</v>
      </c>
      <c r="AD595" s="5" t="s">
        <v>1000</v>
      </c>
      <c r="AE595" s="23" t="n">
        <f>228</f>
        <v>228.0</v>
      </c>
    </row>
    <row r="596">
      <c r="A596" s="24" t="s">
        <v>1299</v>
      </c>
      <c r="B596" s="25" t="s">
        <v>1300</v>
      </c>
      <c r="C596" s="26"/>
      <c r="D596" s="27"/>
      <c r="E596" s="28" t="s">
        <v>261</v>
      </c>
      <c r="F596" s="20" t="n">
        <f>126</f>
        <v>126.0</v>
      </c>
      <c r="G596" s="21" t="n">
        <f>6072</f>
        <v>6072.0</v>
      </c>
      <c r="H596" s="21"/>
      <c r="I596" s="21" t="str">
        <f>"－"</f>
        <v>－</v>
      </c>
      <c r="J596" s="21" t="n">
        <f>48</f>
        <v>48.0</v>
      </c>
      <c r="K596" s="21" t="str">
        <f>"－"</f>
        <v>－</v>
      </c>
      <c r="L596" s="4" t="s">
        <v>1306</v>
      </c>
      <c r="M596" s="22" t="n">
        <f>271</f>
        <v>271.0</v>
      </c>
      <c r="N596" s="5" t="s">
        <v>892</v>
      </c>
      <c r="O596" s="23" t="n">
        <f>11</f>
        <v>11.0</v>
      </c>
      <c r="P596" s="3" t="s">
        <v>1307</v>
      </c>
      <c r="Q596" s="21"/>
      <c r="R596" s="3" t="s">
        <v>247</v>
      </c>
      <c r="S596" s="21" t="n">
        <f>4369468016</f>
        <v>4.369468016E9</v>
      </c>
      <c r="T596" s="21" t="str">
        <f>"－"</f>
        <v>－</v>
      </c>
      <c r="U596" s="5" t="s">
        <v>1306</v>
      </c>
      <c r="V596" s="23" t="n">
        <f>24872200000</f>
        <v>2.48722E10</v>
      </c>
      <c r="W596" s="5" t="s">
        <v>892</v>
      </c>
      <c r="X596" s="23" t="n">
        <f>946000000</f>
        <v>9.46E8</v>
      </c>
      <c r="Y596" s="23"/>
      <c r="Z596" s="21" t="str">
        <f>"－"</f>
        <v>－</v>
      </c>
      <c r="AA596" s="21" t="n">
        <f>248</f>
        <v>248.0</v>
      </c>
      <c r="AB596" s="4" t="s">
        <v>731</v>
      </c>
      <c r="AC596" s="22" t="n">
        <f>721</f>
        <v>721.0</v>
      </c>
      <c r="AD596" s="5" t="s">
        <v>1137</v>
      </c>
      <c r="AE596" s="23" t="n">
        <f>241</f>
        <v>241.0</v>
      </c>
    </row>
    <row r="597">
      <c r="A597" s="24" t="s">
        <v>1299</v>
      </c>
      <c r="B597" s="25" t="s">
        <v>1300</v>
      </c>
      <c r="C597" s="26"/>
      <c r="D597" s="27"/>
      <c r="E597" s="28" t="s">
        <v>267</v>
      </c>
      <c r="F597" s="20" t="n">
        <f>119</f>
        <v>119.0</v>
      </c>
      <c r="G597" s="21" t="n">
        <f>3744</f>
        <v>3744.0</v>
      </c>
      <c r="H597" s="21"/>
      <c r="I597" s="21" t="str">
        <f>"－"</f>
        <v>－</v>
      </c>
      <c r="J597" s="21" t="n">
        <f>31</f>
        <v>31.0</v>
      </c>
      <c r="K597" s="21" t="str">
        <f>"－"</f>
        <v>－</v>
      </c>
      <c r="L597" s="4" t="s">
        <v>170</v>
      </c>
      <c r="M597" s="22" t="n">
        <f>200</f>
        <v>200.0</v>
      </c>
      <c r="N597" s="5" t="s">
        <v>65</v>
      </c>
      <c r="O597" s="23" t="n">
        <f>10</f>
        <v>10.0</v>
      </c>
      <c r="P597" s="3" t="s">
        <v>1308</v>
      </c>
      <c r="Q597" s="21"/>
      <c r="R597" s="3" t="s">
        <v>247</v>
      </c>
      <c r="S597" s="21" t="n">
        <f>2840666218</f>
        <v>2.840666218E9</v>
      </c>
      <c r="T597" s="21" t="str">
        <f>"－"</f>
        <v>－</v>
      </c>
      <c r="U597" s="5" t="s">
        <v>170</v>
      </c>
      <c r="V597" s="23" t="n">
        <f>18545900000</f>
        <v>1.85459E10</v>
      </c>
      <c r="W597" s="5" t="s">
        <v>65</v>
      </c>
      <c r="X597" s="23" t="n">
        <f>917000000</f>
        <v>9.17E8</v>
      </c>
      <c r="Y597" s="23"/>
      <c r="Z597" s="21" t="str">
        <f>"－"</f>
        <v>－</v>
      </c>
      <c r="AA597" s="21" t="n">
        <f>110</f>
        <v>110.0</v>
      </c>
      <c r="AB597" s="4" t="s">
        <v>612</v>
      </c>
      <c r="AC597" s="22" t="n">
        <f>446</f>
        <v>446.0</v>
      </c>
      <c r="AD597" s="5" t="s">
        <v>270</v>
      </c>
      <c r="AE597" s="23" t="n">
        <f>110</f>
        <v>110.0</v>
      </c>
    </row>
    <row r="598">
      <c r="A598" s="24" t="s">
        <v>1299</v>
      </c>
      <c r="B598" s="25" t="s">
        <v>1300</v>
      </c>
      <c r="C598" s="26"/>
      <c r="D598" s="27"/>
      <c r="E598" s="28" t="s">
        <v>271</v>
      </c>
      <c r="F598" s="20" t="n">
        <f>126</f>
        <v>126.0</v>
      </c>
      <c r="G598" s="21" t="n">
        <f>3233</f>
        <v>3233.0</v>
      </c>
      <c r="H598" s="21"/>
      <c r="I598" s="21" t="str">
        <f>"－"</f>
        <v>－</v>
      </c>
      <c r="J598" s="21" t="n">
        <f>26</f>
        <v>26.0</v>
      </c>
      <c r="K598" s="21" t="str">
        <f>"－"</f>
        <v>－</v>
      </c>
      <c r="L598" s="4" t="s">
        <v>140</v>
      </c>
      <c r="M598" s="22" t="n">
        <f>149</f>
        <v>149.0</v>
      </c>
      <c r="N598" s="5" t="s">
        <v>751</v>
      </c>
      <c r="O598" s="23" t="n">
        <f>10</f>
        <v>10.0</v>
      </c>
      <c r="P598" s="3" t="s">
        <v>1309</v>
      </c>
      <c r="Q598" s="21"/>
      <c r="R598" s="3" t="s">
        <v>247</v>
      </c>
      <c r="S598" s="21" t="n">
        <f>2356575397</f>
        <v>2.356575397E9</v>
      </c>
      <c r="T598" s="21" t="str">
        <f>"－"</f>
        <v>－</v>
      </c>
      <c r="U598" s="5" t="s">
        <v>140</v>
      </c>
      <c r="V598" s="23" t="n">
        <f>13599380000</f>
        <v>1.359938E10</v>
      </c>
      <c r="W598" s="5" t="s">
        <v>869</v>
      </c>
      <c r="X598" s="23" t="n">
        <f>905000000</f>
        <v>9.05E8</v>
      </c>
      <c r="Y598" s="23"/>
      <c r="Z598" s="21" t="str">
        <f>"－"</f>
        <v>－</v>
      </c>
      <c r="AA598" s="21" t="n">
        <f>175</f>
        <v>175.0</v>
      </c>
      <c r="AB598" s="4" t="s">
        <v>675</v>
      </c>
      <c r="AC598" s="22" t="n">
        <f>294</f>
        <v>294.0</v>
      </c>
      <c r="AD598" s="5" t="s">
        <v>263</v>
      </c>
      <c r="AE598" s="23" t="n">
        <f>110</f>
        <v>110.0</v>
      </c>
    </row>
    <row r="599">
      <c r="A599" s="24" t="s">
        <v>1299</v>
      </c>
      <c r="B599" s="25" t="s">
        <v>1300</v>
      </c>
      <c r="C599" s="26"/>
      <c r="D599" s="27"/>
      <c r="E599" s="28" t="s">
        <v>275</v>
      </c>
      <c r="F599" s="20" t="n">
        <f>121</f>
        <v>121.0</v>
      </c>
      <c r="G599" s="21" t="n">
        <f>2543</f>
        <v>2543.0</v>
      </c>
      <c r="H599" s="21"/>
      <c r="I599" s="21" t="str">
        <f>"－"</f>
        <v>－</v>
      </c>
      <c r="J599" s="21" t="n">
        <f>21</f>
        <v>21.0</v>
      </c>
      <c r="K599" s="21" t="str">
        <f>"－"</f>
        <v>－</v>
      </c>
      <c r="L599" s="4" t="s">
        <v>300</v>
      </c>
      <c r="M599" s="22" t="n">
        <f>106</f>
        <v>106.0</v>
      </c>
      <c r="N599" s="5" t="s">
        <v>69</v>
      </c>
      <c r="O599" s="23" t="n">
        <f>10</f>
        <v>10.0</v>
      </c>
      <c r="P599" s="3" t="s">
        <v>1310</v>
      </c>
      <c r="Q599" s="21"/>
      <c r="R599" s="3" t="s">
        <v>247</v>
      </c>
      <c r="S599" s="21" t="n">
        <f>2046208430</f>
        <v>2.04620843E9</v>
      </c>
      <c r="T599" s="21" t="str">
        <f>"－"</f>
        <v>－</v>
      </c>
      <c r="U599" s="5" t="s">
        <v>300</v>
      </c>
      <c r="V599" s="23" t="n">
        <f>10365000000</f>
        <v>1.0365E10</v>
      </c>
      <c r="W599" s="5" t="s">
        <v>828</v>
      </c>
      <c r="X599" s="23" t="n">
        <f>955000000</f>
        <v>9.55E8</v>
      </c>
      <c r="Y599" s="23"/>
      <c r="Z599" s="21" t="str">
        <f>"－"</f>
        <v>－</v>
      </c>
      <c r="AA599" s="21" t="n">
        <f>162</f>
        <v>162.0</v>
      </c>
      <c r="AB599" s="4" t="s">
        <v>300</v>
      </c>
      <c r="AC599" s="22" t="n">
        <f>222</f>
        <v>222.0</v>
      </c>
      <c r="AD599" s="5" t="s">
        <v>603</v>
      </c>
      <c r="AE599" s="23" t="n">
        <f>141</f>
        <v>141.0</v>
      </c>
    </row>
    <row r="600">
      <c r="A600" s="24" t="s">
        <v>1299</v>
      </c>
      <c r="B600" s="25" t="s">
        <v>1300</v>
      </c>
      <c r="C600" s="26"/>
      <c r="D600" s="27"/>
      <c r="E600" s="28" t="s">
        <v>280</v>
      </c>
      <c r="F600" s="20" t="n">
        <f>126</f>
        <v>126.0</v>
      </c>
      <c r="G600" s="21" t="n">
        <f>1778</f>
        <v>1778.0</v>
      </c>
      <c r="H600" s="21"/>
      <c r="I600" s="21" t="str">
        <f>"－"</f>
        <v>－</v>
      </c>
      <c r="J600" s="21" t="n">
        <f>14</f>
        <v>14.0</v>
      </c>
      <c r="K600" s="21" t="str">
        <f>"－"</f>
        <v>－</v>
      </c>
      <c r="L600" s="4" t="s">
        <v>312</v>
      </c>
      <c r="M600" s="22" t="n">
        <f>31</f>
        <v>31.0</v>
      </c>
      <c r="N600" s="5" t="s">
        <v>201</v>
      </c>
      <c r="O600" s="23" t="n">
        <f>1</f>
        <v>1.0</v>
      </c>
      <c r="P600" s="3" t="s">
        <v>1311</v>
      </c>
      <c r="Q600" s="21"/>
      <c r="R600" s="3" t="s">
        <v>247</v>
      </c>
      <c r="S600" s="21" t="n">
        <f>1389798095</f>
        <v>1.389798095E9</v>
      </c>
      <c r="T600" s="21" t="str">
        <f>"－"</f>
        <v>－</v>
      </c>
      <c r="U600" s="5" t="s">
        <v>312</v>
      </c>
      <c r="V600" s="23" t="n">
        <f>3110000000</f>
        <v>3.11E9</v>
      </c>
      <c r="W600" s="5" t="s">
        <v>201</v>
      </c>
      <c r="X600" s="23" t="n">
        <f>96870000</f>
        <v>9.687E7</v>
      </c>
      <c r="Y600" s="23"/>
      <c r="Z600" s="21" t="str">
        <f>"－"</f>
        <v>－</v>
      </c>
      <c r="AA600" s="21" t="n">
        <f>140</f>
        <v>140.0</v>
      </c>
      <c r="AB600" s="4" t="s">
        <v>1259</v>
      </c>
      <c r="AC600" s="22" t="n">
        <f>172</f>
        <v>172.0</v>
      </c>
      <c r="AD600" s="5" t="s">
        <v>312</v>
      </c>
      <c r="AE600" s="23" t="n">
        <f>53</f>
        <v>53.0</v>
      </c>
    </row>
    <row r="601">
      <c r="A601" s="24" t="s">
        <v>1299</v>
      </c>
      <c r="B601" s="25" t="s">
        <v>1300</v>
      </c>
      <c r="C601" s="26"/>
      <c r="D601" s="27"/>
      <c r="E601" s="28" t="s">
        <v>284</v>
      </c>
      <c r="F601" s="20" t="n">
        <f>123</f>
        <v>123.0</v>
      </c>
      <c r="G601" s="21" t="n">
        <f>1829</f>
        <v>1829.0</v>
      </c>
      <c r="H601" s="21"/>
      <c r="I601" s="21" t="str">
        <f>"－"</f>
        <v>－</v>
      </c>
      <c r="J601" s="21" t="n">
        <f>15</f>
        <v>15.0</v>
      </c>
      <c r="K601" s="21" t="str">
        <f>"－"</f>
        <v>－</v>
      </c>
      <c r="L601" s="4" t="s">
        <v>300</v>
      </c>
      <c r="M601" s="22" t="n">
        <f>50</f>
        <v>50.0</v>
      </c>
      <c r="N601" s="5" t="s">
        <v>321</v>
      </c>
      <c r="O601" s="23" t="n">
        <f>1</f>
        <v>1.0</v>
      </c>
      <c r="P601" s="3" t="s">
        <v>1312</v>
      </c>
      <c r="Q601" s="21"/>
      <c r="R601" s="3" t="s">
        <v>247</v>
      </c>
      <c r="S601" s="21" t="n">
        <f>1551020732</f>
        <v>1.551020732E9</v>
      </c>
      <c r="T601" s="21" t="str">
        <f>"－"</f>
        <v>－</v>
      </c>
      <c r="U601" s="5" t="s">
        <v>300</v>
      </c>
      <c r="V601" s="23" t="n">
        <f>5514000000</f>
        <v>5.514E9</v>
      </c>
      <c r="W601" s="5" t="s">
        <v>321</v>
      </c>
      <c r="X601" s="23" t="n">
        <f>100900000</f>
        <v>1.009E8</v>
      </c>
      <c r="Y601" s="23"/>
      <c r="Z601" s="21" t="str">
        <f>"－"</f>
        <v>－</v>
      </c>
      <c r="AA601" s="21" t="n">
        <f>197</f>
        <v>197.0</v>
      </c>
      <c r="AB601" s="4" t="s">
        <v>945</v>
      </c>
      <c r="AC601" s="22" t="n">
        <f>220</f>
        <v>220.0</v>
      </c>
      <c r="AD601" s="5" t="s">
        <v>658</v>
      </c>
      <c r="AE601" s="23" t="n">
        <f>96</f>
        <v>96.0</v>
      </c>
    </row>
    <row r="602">
      <c r="A602" s="24" t="s">
        <v>1299</v>
      </c>
      <c r="B602" s="25" t="s">
        <v>1300</v>
      </c>
      <c r="C602" s="26"/>
      <c r="D602" s="27"/>
      <c r="E602" s="28" t="s">
        <v>288</v>
      </c>
      <c r="F602" s="20" t="n">
        <f>124</f>
        <v>124.0</v>
      </c>
      <c r="G602" s="21" t="n">
        <f>1474</f>
        <v>1474.0</v>
      </c>
      <c r="H602" s="21"/>
      <c r="I602" s="21" t="str">
        <f>"－"</f>
        <v>－</v>
      </c>
      <c r="J602" s="21" t="n">
        <f>12</f>
        <v>12.0</v>
      </c>
      <c r="K602" s="21" t="str">
        <f>"－"</f>
        <v>－</v>
      </c>
      <c r="L602" s="4" t="s">
        <v>174</v>
      </c>
      <c r="M602" s="22" t="n">
        <f>41</f>
        <v>41.0</v>
      </c>
      <c r="N602" s="5" t="s">
        <v>132</v>
      </c>
      <c r="O602" s="23" t="n">
        <f>1</f>
        <v>1.0</v>
      </c>
      <c r="P602" s="3" t="s">
        <v>1313</v>
      </c>
      <c r="Q602" s="21"/>
      <c r="R602" s="3" t="s">
        <v>247</v>
      </c>
      <c r="S602" s="21" t="n">
        <f>1247384435</f>
        <v>1.247384435E9</v>
      </c>
      <c r="T602" s="21" t="str">
        <f>"－"</f>
        <v>－</v>
      </c>
      <c r="U602" s="5" t="s">
        <v>174</v>
      </c>
      <c r="V602" s="23" t="n">
        <f>4183910000</f>
        <v>4.18391E9</v>
      </c>
      <c r="W602" s="5" t="s">
        <v>132</v>
      </c>
      <c r="X602" s="23" t="n">
        <f>103000000</f>
        <v>1.03E8</v>
      </c>
      <c r="Y602" s="23"/>
      <c r="Z602" s="21" t="str">
        <f>"－"</f>
        <v>－</v>
      </c>
      <c r="AA602" s="21" t="n">
        <f>163</f>
        <v>163.0</v>
      </c>
      <c r="AB602" s="4" t="s">
        <v>217</v>
      </c>
      <c r="AC602" s="22" t="n">
        <f>217</f>
        <v>217.0</v>
      </c>
      <c r="AD602" s="5" t="s">
        <v>88</v>
      </c>
      <c r="AE602" s="23" t="str">
        <f>"－"</f>
        <v>－</v>
      </c>
    </row>
    <row r="603">
      <c r="A603" s="24" t="s">
        <v>1299</v>
      </c>
      <c r="B603" s="25" t="s">
        <v>1300</v>
      </c>
      <c r="C603" s="26"/>
      <c r="D603" s="27"/>
      <c r="E603" s="28" t="s">
        <v>291</v>
      </c>
      <c r="F603" s="20" t="n">
        <f>122</f>
        <v>122.0</v>
      </c>
      <c r="G603" s="21" t="n">
        <f>1295</f>
        <v>1295.0</v>
      </c>
      <c r="H603" s="21"/>
      <c r="I603" s="21" t="str">
        <f>"－"</f>
        <v>－</v>
      </c>
      <c r="J603" s="21" t="n">
        <f>11</f>
        <v>11.0</v>
      </c>
      <c r="K603" s="21" t="str">
        <f>"－"</f>
        <v>－</v>
      </c>
      <c r="L603" s="4" t="s">
        <v>1282</v>
      </c>
      <c r="M603" s="22" t="n">
        <f>40</f>
        <v>40.0</v>
      </c>
      <c r="N603" s="5" t="s">
        <v>314</v>
      </c>
      <c r="O603" s="23" t="n">
        <f>1</f>
        <v>1.0</v>
      </c>
      <c r="P603" s="3" t="s">
        <v>1314</v>
      </c>
      <c r="Q603" s="21"/>
      <c r="R603" s="3" t="s">
        <v>247</v>
      </c>
      <c r="S603" s="21" t="n">
        <f>1219002459</f>
        <v>1.219002459E9</v>
      </c>
      <c r="T603" s="21" t="str">
        <f>"－"</f>
        <v>－</v>
      </c>
      <c r="U603" s="5" t="s">
        <v>1082</v>
      </c>
      <c r="V603" s="23" t="n">
        <f>4642000000</f>
        <v>4.642E9</v>
      </c>
      <c r="W603" s="5" t="s">
        <v>285</v>
      </c>
      <c r="X603" s="23" t="n">
        <f>121100000</f>
        <v>1.211E8</v>
      </c>
      <c r="Y603" s="23"/>
      <c r="Z603" s="21" t="str">
        <f>"－"</f>
        <v>－</v>
      </c>
      <c r="AA603" s="21" t="n">
        <f>152</f>
        <v>152.0</v>
      </c>
      <c r="AB603" s="4" t="s">
        <v>603</v>
      </c>
      <c r="AC603" s="22" t="n">
        <f>221</f>
        <v>221.0</v>
      </c>
      <c r="AD603" s="5" t="s">
        <v>787</v>
      </c>
      <c r="AE603" s="23" t="n">
        <f>94</f>
        <v>94.0</v>
      </c>
    </row>
    <row r="604">
      <c r="A604" s="24" t="s">
        <v>1299</v>
      </c>
      <c r="B604" s="25" t="s">
        <v>1300</v>
      </c>
      <c r="C604" s="26"/>
      <c r="D604" s="27"/>
      <c r="E604" s="28" t="s">
        <v>295</v>
      </c>
      <c r="F604" s="20" t="n">
        <f>125</f>
        <v>125.0</v>
      </c>
      <c r="G604" s="21" t="n">
        <f>1654</f>
        <v>1654.0</v>
      </c>
      <c r="H604" s="21"/>
      <c r="I604" s="21" t="str">
        <f>"－"</f>
        <v>－</v>
      </c>
      <c r="J604" s="21" t="n">
        <f>13</f>
        <v>13.0</v>
      </c>
      <c r="K604" s="21" t="str">
        <f>"－"</f>
        <v>－</v>
      </c>
      <c r="L604" s="4" t="s">
        <v>1270</v>
      </c>
      <c r="M604" s="22" t="n">
        <f>40</f>
        <v>40.0</v>
      </c>
      <c r="N604" s="5" t="s">
        <v>751</v>
      </c>
      <c r="O604" s="23" t="n">
        <f>2</f>
        <v>2.0</v>
      </c>
      <c r="P604" s="3" t="s">
        <v>1315</v>
      </c>
      <c r="Q604" s="21"/>
      <c r="R604" s="3" t="s">
        <v>247</v>
      </c>
      <c r="S604" s="21" t="n">
        <f>1459450000</f>
        <v>1.45945E9</v>
      </c>
      <c r="T604" s="21" t="str">
        <f>"－"</f>
        <v>－</v>
      </c>
      <c r="U604" s="5" t="s">
        <v>1270</v>
      </c>
      <c r="V604" s="23" t="n">
        <f>4580000000</f>
        <v>4.58E9</v>
      </c>
      <c r="W604" s="5" t="s">
        <v>936</v>
      </c>
      <c r="X604" s="23" t="n">
        <f>215800000</f>
        <v>2.158E8</v>
      </c>
      <c r="Y604" s="23"/>
      <c r="Z604" s="21" t="str">
        <f>"－"</f>
        <v>－</v>
      </c>
      <c r="AA604" s="21" t="n">
        <f>184</f>
        <v>184.0</v>
      </c>
      <c r="AB604" s="4" t="s">
        <v>183</v>
      </c>
      <c r="AC604" s="22" t="n">
        <f>228</f>
        <v>228.0</v>
      </c>
      <c r="AD604" s="5" t="s">
        <v>731</v>
      </c>
      <c r="AE604" s="23" t="n">
        <f>103</f>
        <v>103.0</v>
      </c>
    </row>
    <row r="605">
      <c r="A605" s="24" t="s">
        <v>1299</v>
      </c>
      <c r="B605" s="25" t="s">
        <v>1300</v>
      </c>
      <c r="C605" s="26"/>
      <c r="D605" s="27"/>
      <c r="E605" s="28" t="s">
        <v>297</v>
      </c>
      <c r="F605" s="20" t="n">
        <f>122</f>
        <v>122.0</v>
      </c>
      <c r="G605" s="21" t="n">
        <f>1802</f>
        <v>1802.0</v>
      </c>
      <c r="H605" s="21"/>
      <c r="I605" s="21" t="str">
        <f>"－"</f>
        <v>－</v>
      </c>
      <c r="J605" s="21" t="n">
        <f>15</f>
        <v>15.0</v>
      </c>
      <c r="K605" s="21" t="str">
        <f>"－"</f>
        <v>－</v>
      </c>
      <c r="L605" s="4" t="s">
        <v>1316</v>
      </c>
      <c r="M605" s="22" t="n">
        <f>40</f>
        <v>40.0</v>
      </c>
      <c r="N605" s="5" t="s">
        <v>314</v>
      </c>
      <c r="O605" s="23" t="n">
        <f>1</f>
        <v>1.0</v>
      </c>
      <c r="P605" s="3" t="s">
        <v>1317</v>
      </c>
      <c r="Q605" s="21"/>
      <c r="R605" s="3" t="s">
        <v>247</v>
      </c>
      <c r="S605" s="21" t="n">
        <f>1630705738</f>
        <v>1.630705738E9</v>
      </c>
      <c r="T605" s="21" t="str">
        <f>"－"</f>
        <v>－</v>
      </c>
      <c r="U605" s="5" t="s">
        <v>787</v>
      </c>
      <c r="V605" s="23" t="n">
        <f>4474000000</f>
        <v>4.474E9</v>
      </c>
      <c r="W605" s="5" t="s">
        <v>285</v>
      </c>
      <c r="X605" s="23" t="n">
        <f>109700000</f>
        <v>1.097E8</v>
      </c>
      <c r="Y605" s="23"/>
      <c r="Z605" s="21" t="str">
        <f>"－"</f>
        <v>－</v>
      </c>
      <c r="AA605" s="21" t="n">
        <f>160</f>
        <v>160.0</v>
      </c>
      <c r="AB605" s="4" t="s">
        <v>65</v>
      </c>
      <c r="AC605" s="22" t="n">
        <f>213</f>
        <v>213.0</v>
      </c>
      <c r="AD605" s="5" t="s">
        <v>208</v>
      </c>
      <c r="AE605" s="23" t="n">
        <f>94</f>
        <v>94.0</v>
      </c>
    </row>
    <row r="606">
      <c r="A606" s="24" t="s">
        <v>1299</v>
      </c>
      <c r="B606" s="25" t="s">
        <v>1300</v>
      </c>
      <c r="C606" s="26"/>
      <c r="D606" s="27"/>
      <c r="E606" s="28" t="s">
        <v>301</v>
      </c>
      <c r="F606" s="20" t="n">
        <f>126</f>
        <v>126.0</v>
      </c>
      <c r="G606" s="21" t="n">
        <f>1303</f>
        <v>1303.0</v>
      </c>
      <c r="H606" s="21"/>
      <c r="I606" s="21" t="str">
        <f>"－"</f>
        <v>－</v>
      </c>
      <c r="J606" s="21" t="n">
        <f>10</f>
        <v>10.0</v>
      </c>
      <c r="K606" s="21" t="str">
        <f>"－"</f>
        <v>－</v>
      </c>
      <c r="L606" s="4" t="s">
        <v>1003</v>
      </c>
      <c r="M606" s="22" t="n">
        <f>40</f>
        <v>40.0</v>
      </c>
      <c r="N606" s="5" t="s">
        <v>666</v>
      </c>
      <c r="O606" s="23" t="n">
        <f>2</f>
        <v>2.0</v>
      </c>
      <c r="P606" s="3" t="s">
        <v>1318</v>
      </c>
      <c r="Q606" s="21"/>
      <c r="R606" s="3" t="s">
        <v>247</v>
      </c>
      <c r="S606" s="21" t="n">
        <f>1303126190</f>
        <v>1.30312619E9</v>
      </c>
      <c r="T606" s="21" t="str">
        <f>"－"</f>
        <v>－</v>
      </c>
      <c r="U606" s="5" t="s">
        <v>1003</v>
      </c>
      <c r="V606" s="23" t="n">
        <f>4960000000</f>
        <v>4.96E9</v>
      </c>
      <c r="W606" s="5" t="s">
        <v>350</v>
      </c>
      <c r="X606" s="23" t="n">
        <f>238500000</f>
        <v>2.385E8</v>
      </c>
      <c r="Y606" s="23"/>
      <c r="Z606" s="21" t="str">
        <f>"－"</f>
        <v>－</v>
      </c>
      <c r="AA606" s="21" t="n">
        <f>121</f>
        <v>121.0</v>
      </c>
      <c r="AB606" s="4" t="s">
        <v>265</v>
      </c>
      <c r="AC606" s="22" t="n">
        <f>182</f>
        <v>182.0</v>
      </c>
      <c r="AD606" s="5" t="s">
        <v>75</v>
      </c>
      <c r="AE606" s="23" t="str">
        <f>"－"</f>
        <v>－</v>
      </c>
    </row>
    <row r="607">
      <c r="A607" s="24" t="s">
        <v>1299</v>
      </c>
      <c r="B607" s="25" t="s">
        <v>1300</v>
      </c>
      <c r="C607" s="26"/>
      <c r="D607" s="27"/>
      <c r="E607" s="28" t="s">
        <v>305</v>
      </c>
      <c r="F607" s="20" t="n">
        <f>121</f>
        <v>121.0</v>
      </c>
      <c r="G607" s="21" t="n">
        <f>1124</f>
        <v>1124.0</v>
      </c>
      <c r="H607" s="21"/>
      <c r="I607" s="21" t="str">
        <f>"－"</f>
        <v>－</v>
      </c>
      <c r="J607" s="21" t="n">
        <f>9</f>
        <v>9.0</v>
      </c>
      <c r="K607" s="21" t="str">
        <f>"－"</f>
        <v>－</v>
      </c>
      <c r="L607" s="4" t="s">
        <v>1147</v>
      </c>
      <c r="M607" s="22" t="n">
        <f>50</f>
        <v>50.0</v>
      </c>
      <c r="N607" s="5" t="s">
        <v>257</v>
      </c>
      <c r="O607" s="23" t="n">
        <f>1</f>
        <v>1.0</v>
      </c>
      <c r="P607" s="3" t="s">
        <v>1319</v>
      </c>
      <c r="Q607" s="21"/>
      <c r="R607" s="3" t="s">
        <v>247</v>
      </c>
      <c r="S607" s="21" t="n">
        <f>1176711901</f>
        <v>1.176711901E9</v>
      </c>
      <c r="T607" s="21" t="str">
        <f>"－"</f>
        <v>－</v>
      </c>
      <c r="U607" s="5" t="s">
        <v>1147</v>
      </c>
      <c r="V607" s="23" t="n">
        <f>6250000000</f>
        <v>6.25E9</v>
      </c>
      <c r="W607" s="5" t="s">
        <v>285</v>
      </c>
      <c r="X607" s="23" t="n">
        <f>124700000</f>
        <v>1.247E8</v>
      </c>
      <c r="Y607" s="23"/>
      <c r="Z607" s="21" t="str">
        <f>"－"</f>
        <v>－</v>
      </c>
      <c r="AA607" s="21" t="n">
        <f>141</f>
        <v>141.0</v>
      </c>
      <c r="AB607" s="4" t="s">
        <v>323</v>
      </c>
      <c r="AC607" s="22" t="n">
        <f>160</f>
        <v>160.0</v>
      </c>
      <c r="AD607" s="5" t="s">
        <v>1320</v>
      </c>
      <c r="AE607" s="23" t="n">
        <f>46</f>
        <v>46.0</v>
      </c>
    </row>
    <row r="608">
      <c r="A608" s="24" t="s">
        <v>1299</v>
      </c>
      <c r="B608" s="25" t="s">
        <v>1300</v>
      </c>
      <c r="C608" s="26"/>
      <c r="D608" s="27"/>
      <c r="E608" s="28" t="s">
        <v>309</v>
      </c>
      <c r="F608" s="20" t="n">
        <f>126</f>
        <v>126.0</v>
      </c>
      <c r="G608" s="21" t="n">
        <f>1228</f>
        <v>1228.0</v>
      </c>
      <c r="H608" s="21"/>
      <c r="I608" s="21" t="str">
        <f>"－"</f>
        <v>－</v>
      </c>
      <c r="J608" s="21" t="n">
        <f>10</f>
        <v>10.0</v>
      </c>
      <c r="K608" s="21" t="str">
        <f>"－"</f>
        <v>－</v>
      </c>
      <c r="L608" s="4" t="s">
        <v>525</v>
      </c>
      <c r="M608" s="22" t="n">
        <f>40</f>
        <v>40.0</v>
      </c>
      <c r="N608" s="5" t="s">
        <v>245</v>
      </c>
      <c r="O608" s="23" t="str">
        <f>"－"</f>
        <v>－</v>
      </c>
      <c r="P608" s="3" t="s">
        <v>1321</v>
      </c>
      <c r="Q608" s="21"/>
      <c r="R608" s="3" t="s">
        <v>247</v>
      </c>
      <c r="S608" s="21" t="n">
        <f>1224877063</f>
        <v>1.224877063E9</v>
      </c>
      <c r="T608" s="21" t="str">
        <f>"－"</f>
        <v>－</v>
      </c>
      <c r="U608" s="5" t="s">
        <v>525</v>
      </c>
      <c r="V608" s="23" t="n">
        <f>5016000000</f>
        <v>5.016E9</v>
      </c>
      <c r="W608" s="5" t="s">
        <v>245</v>
      </c>
      <c r="X608" s="23" t="str">
        <f>"－"</f>
        <v>－</v>
      </c>
      <c r="Y608" s="23"/>
      <c r="Z608" s="21" t="str">
        <f>"－"</f>
        <v>－</v>
      </c>
      <c r="AA608" s="21" t="n">
        <f>77</f>
        <v>77.0</v>
      </c>
      <c r="AB608" s="4" t="s">
        <v>319</v>
      </c>
      <c r="AC608" s="22" t="n">
        <f>163</f>
        <v>163.0</v>
      </c>
      <c r="AD608" s="5" t="s">
        <v>398</v>
      </c>
      <c r="AE608" s="23" t="n">
        <f>11</f>
        <v>11.0</v>
      </c>
    </row>
    <row r="609">
      <c r="A609" s="24" t="s">
        <v>1299</v>
      </c>
      <c r="B609" s="25" t="s">
        <v>1300</v>
      </c>
      <c r="C609" s="26"/>
      <c r="D609" s="27"/>
      <c r="E609" s="28" t="s">
        <v>313</v>
      </c>
      <c r="F609" s="20" t="n">
        <f>120</f>
        <v>120.0</v>
      </c>
      <c r="G609" s="21" t="n">
        <f>979</f>
        <v>979.0</v>
      </c>
      <c r="H609" s="21"/>
      <c r="I609" s="21" t="str">
        <f>"－"</f>
        <v>－</v>
      </c>
      <c r="J609" s="21" t="n">
        <f>8</f>
        <v>8.0</v>
      </c>
      <c r="K609" s="21" t="str">
        <f>"－"</f>
        <v>－</v>
      </c>
      <c r="L609" s="4" t="s">
        <v>276</v>
      </c>
      <c r="M609" s="22" t="n">
        <f>60</f>
        <v>60.0</v>
      </c>
      <c r="N609" s="5" t="s">
        <v>279</v>
      </c>
      <c r="O609" s="23" t="str">
        <f>"－"</f>
        <v>－</v>
      </c>
      <c r="P609" s="3" t="s">
        <v>1322</v>
      </c>
      <c r="Q609" s="21"/>
      <c r="R609" s="3" t="s">
        <v>247</v>
      </c>
      <c r="S609" s="21" t="n">
        <f>1094349083</f>
        <v>1.094349083E9</v>
      </c>
      <c r="T609" s="21" t="str">
        <f>"－"</f>
        <v>－</v>
      </c>
      <c r="U609" s="5" t="s">
        <v>276</v>
      </c>
      <c r="V609" s="23" t="n">
        <f>8132000000</f>
        <v>8.132E9</v>
      </c>
      <c r="W609" s="5" t="s">
        <v>279</v>
      </c>
      <c r="X609" s="23" t="str">
        <f>"－"</f>
        <v>－</v>
      </c>
      <c r="Y609" s="23"/>
      <c r="Z609" s="21" t="str">
        <f>"－"</f>
        <v>－</v>
      </c>
      <c r="AA609" s="21" t="n">
        <f>142</f>
        <v>142.0</v>
      </c>
      <c r="AB609" s="4" t="s">
        <v>757</v>
      </c>
      <c r="AC609" s="22" t="n">
        <f>155</f>
        <v>155.0</v>
      </c>
      <c r="AD609" s="5" t="s">
        <v>658</v>
      </c>
      <c r="AE609" s="23" t="str">
        <f>"－"</f>
        <v>－</v>
      </c>
    </row>
    <row r="610">
      <c r="A610" s="24" t="s">
        <v>1299</v>
      </c>
      <c r="B610" s="25" t="s">
        <v>1300</v>
      </c>
      <c r="C610" s="26"/>
      <c r="D610" s="27"/>
      <c r="E610" s="28" t="s">
        <v>316</v>
      </c>
      <c r="F610" s="20" t="n">
        <f>126</f>
        <v>126.0</v>
      </c>
      <c r="G610" s="21" t="n">
        <f>1163</f>
        <v>1163.0</v>
      </c>
      <c r="H610" s="21"/>
      <c r="I610" s="21" t="str">
        <f>"－"</f>
        <v>－</v>
      </c>
      <c r="J610" s="21" t="n">
        <f>9</f>
        <v>9.0</v>
      </c>
      <c r="K610" s="21" t="str">
        <f>"－"</f>
        <v>－</v>
      </c>
      <c r="L610" s="4" t="s">
        <v>245</v>
      </c>
      <c r="M610" s="22" t="n">
        <f>44</f>
        <v>44.0</v>
      </c>
      <c r="N610" s="5" t="s">
        <v>119</v>
      </c>
      <c r="O610" s="23" t="str">
        <f>"－"</f>
        <v>－</v>
      </c>
      <c r="P610" s="3" t="s">
        <v>1323</v>
      </c>
      <c r="Q610" s="21"/>
      <c r="R610" s="3" t="s">
        <v>247</v>
      </c>
      <c r="S610" s="21" t="n">
        <f>1270668016</f>
        <v>1.270668016E9</v>
      </c>
      <c r="T610" s="21" t="str">
        <f>"－"</f>
        <v>－</v>
      </c>
      <c r="U610" s="5" t="s">
        <v>245</v>
      </c>
      <c r="V610" s="23" t="n">
        <f>6233770000</f>
        <v>6.23377E9</v>
      </c>
      <c r="W610" s="5" t="s">
        <v>119</v>
      </c>
      <c r="X610" s="23" t="str">
        <f>"－"</f>
        <v>－</v>
      </c>
      <c r="Y610" s="23"/>
      <c r="Z610" s="21" t="str">
        <f>"－"</f>
        <v>－</v>
      </c>
      <c r="AA610" s="21" t="n">
        <f>93</f>
        <v>93.0</v>
      </c>
      <c r="AB610" s="4" t="s">
        <v>1077</v>
      </c>
      <c r="AC610" s="22" t="n">
        <f>146</f>
        <v>146.0</v>
      </c>
      <c r="AD610" s="5" t="s">
        <v>245</v>
      </c>
      <c r="AE610" s="23" t="n">
        <f>2</f>
        <v>2.0</v>
      </c>
    </row>
    <row r="611">
      <c r="A611" s="24" t="s">
        <v>1299</v>
      </c>
      <c r="B611" s="25" t="s">
        <v>1300</v>
      </c>
      <c r="C611" s="26"/>
      <c r="D611" s="27"/>
      <c r="E611" s="28" t="s">
        <v>320</v>
      </c>
      <c r="F611" s="20" t="n">
        <f>121</f>
        <v>121.0</v>
      </c>
      <c r="G611" s="21" t="n">
        <f>663</f>
        <v>663.0</v>
      </c>
      <c r="H611" s="21"/>
      <c r="I611" s="21" t="str">
        <f>"－"</f>
        <v>－</v>
      </c>
      <c r="J611" s="21" t="n">
        <f>5</f>
        <v>5.0</v>
      </c>
      <c r="K611" s="21" t="str">
        <f>"－"</f>
        <v>－</v>
      </c>
      <c r="L611" s="4" t="s">
        <v>202</v>
      </c>
      <c r="M611" s="22" t="n">
        <f>61</f>
        <v>61.0</v>
      </c>
      <c r="N611" s="5" t="s">
        <v>1056</v>
      </c>
      <c r="O611" s="23" t="str">
        <f>"－"</f>
        <v>－</v>
      </c>
      <c r="P611" s="3" t="s">
        <v>1324</v>
      </c>
      <c r="Q611" s="21"/>
      <c r="R611" s="3" t="s">
        <v>247</v>
      </c>
      <c r="S611" s="21" t="n">
        <f>801294132</f>
        <v>8.01294132E8</v>
      </c>
      <c r="T611" s="21" t="str">
        <f>"－"</f>
        <v>－</v>
      </c>
      <c r="U611" s="5" t="s">
        <v>202</v>
      </c>
      <c r="V611" s="23" t="n">
        <f>8957240000</f>
        <v>8.95724E9</v>
      </c>
      <c r="W611" s="5" t="s">
        <v>1056</v>
      </c>
      <c r="X611" s="23" t="str">
        <f>"－"</f>
        <v>－</v>
      </c>
      <c r="Y611" s="23"/>
      <c r="Z611" s="21" t="str">
        <f>"－"</f>
        <v>－</v>
      </c>
      <c r="AA611" s="21" t="str">
        <f>"－"</f>
        <v>－</v>
      </c>
      <c r="AB611" s="4" t="s">
        <v>1012</v>
      </c>
      <c r="AC611" s="22" t="n">
        <f>150</f>
        <v>150.0</v>
      </c>
      <c r="AD611" s="5" t="s">
        <v>292</v>
      </c>
      <c r="AE611" s="23" t="str">
        <f>"－"</f>
        <v>－</v>
      </c>
    </row>
    <row r="612">
      <c r="A612" s="24" t="s">
        <v>1299</v>
      </c>
      <c r="B612" s="25" t="s">
        <v>1300</v>
      </c>
      <c r="C612" s="26"/>
      <c r="D612" s="27"/>
      <c r="E612" s="28" t="s">
        <v>324</v>
      </c>
      <c r="F612" s="20" t="n">
        <f>125</f>
        <v>125.0</v>
      </c>
      <c r="G612" s="21" t="str">
        <f>"－"</f>
        <v>－</v>
      </c>
      <c r="H612" s="21"/>
      <c r="I612" s="21" t="str">
        <f>"－"</f>
        <v>－</v>
      </c>
      <c r="J612" s="21" t="str">
        <f>"－"</f>
        <v>－</v>
      </c>
      <c r="K612" s="21" t="str">
        <f>"－"</f>
        <v>－</v>
      </c>
      <c r="L612" s="4" t="s">
        <v>335</v>
      </c>
      <c r="M612" s="22" t="str">
        <f>"－"</f>
        <v>－</v>
      </c>
      <c r="N612" s="5" t="s">
        <v>335</v>
      </c>
      <c r="O612" s="23" t="str">
        <f>"－"</f>
        <v>－</v>
      </c>
      <c r="P612" s="3" t="s">
        <v>247</v>
      </c>
      <c r="Q612" s="21"/>
      <c r="R612" s="3" t="s">
        <v>247</v>
      </c>
      <c r="S612" s="21" t="str">
        <f>"－"</f>
        <v>－</v>
      </c>
      <c r="T612" s="21" t="str">
        <f>"－"</f>
        <v>－</v>
      </c>
      <c r="U612" s="5" t="s">
        <v>335</v>
      </c>
      <c r="V612" s="23" t="str">
        <f>"－"</f>
        <v>－</v>
      </c>
      <c r="W612" s="5" t="s">
        <v>335</v>
      </c>
      <c r="X612" s="23" t="str">
        <f>"－"</f>
        <v>－</v>
      </c>
      <c r="Y612" s="23"/>
      <c r="Z612" s="21" t="str">
        <f>"－"</f>
        <v>－</v>
      </c>
      <c r="AA612" s="21" t="str">
        <f>"－"</f>
        <v>－</v>
      </c>
      <c r="AB612" s="4" t="s">
        <v>335</v>
      </c>
      <c r="AC612" s="22" t="str">
        <f>"－"</f>
        <v>－</v>
      </c>
      <c r="AD612" s="5" t="s">
        <v>335</v>
      </c>
      <c r="AE612" s="23" t="str">
        <f>"－"</f>
        <v>－</v>
      </c>
    </row>
    <row r="613">
      <c r="A613" s="24" t="s">
        <v>1299</v>
      </c>
      <c r="B613" s="25" t="s">
        <v>1300</v>
      </c>
      <c r="C613" s="26"/>
      <c r="D613" s="27"/>
      <c r="E613" s="28" t="s">
        <v>327</v>
      </c>
      <c r="F613" s="20" t="n">
        <f>122</f>
        <v>122.0</v>
      </c>
      <c r="G613" s="21" t="str">
        <f>"－"</f>
        <v>－</v>
      </c>
      <c r="H613" s="21"/>
      <c r="I613" s="21" t="str">
        <f>"－"</f>
        <v>－</v>
      </c>
      <c r="J613" s="21" t="str">
        <f>"－"</f>
        <v>－</v>
      </c>
      <c r="K613" s="21" t="str">
        <f>"－"</f>
        <v>－</v>
      </c>
      <c r="L613" s="4" t="s">
        <v>279</v>
      </c>
      <c r="M613" s="22" t="str">
        <f>"－"</f>
        <v>－</v>
      </c>
      <c r="N613" s="5" t="s">
        <v>279</v>
      </c>
      <c r="O613" s="23" t="str">
        <f>"－"</f>
        <v>－</v>
      </c>
      <c r="P613" s="3" t="s">
        <v>247</v>
      </c>
      <c r="Q613" s="21"/>
      <c r="R613" s="3" t="s">
        <v>247</v>
      </c>
      <c r="S613" s="21" t="str">
        <f>"－"</f>
        <v>－</v>
      </c>
      <c r="T613" s="21" t="str">
        <f>"－"</f>
        <v>－</v>
      </c>
      <c r="U613" s="5" t="s">
        <v>279</v>
      </c>
      <c r="V613" s="23" t="str">
        <f>"－"</f>
        <v>－</v>
      </c>
      <c r="W613" s="5" t="s">
        <v>279</v>
      </c>
      <c r="X613" s="23" t="str">
        <f>"－"</f>
        <v>－</v>
      </c>
      <c r="Y613" s="23"/>
      <c r="Z613" s="21" t="str">
        <f>"－"</f>
        <v>－</v>
      </c>
      <c r="AA613" s="21" t="str">
        <f>"－"</f>
        <v>－</v>
      </c>
      <c r="AB613" s="4" t="s">
        <v>279</v>
      </c>
      <c r="AC613" s="22" t="str">
        <f>"－"</f>
        <v>－</v>
      </c>
      <c r="AD613" s="5" t="s">
        <v>279</v>
      </c>
      <c r="AE613" s="23" t="str">
        <f>"－"</f>
        <v>－</v>
      </c>
    </row>
    <row r="614">
      <c r="A614" s="24" t="s">
        <v>1299</v>
      </c>
      <c r="B614" s="25" t="s">
        <v>1300</v>
      </c>
      <c r="C614" s="26"/>
      <c r="D614" s="27"/>
      <c r="E614" s="28" t="s">
        <v>331</v>
      </c>
      <c r="F614" s="20" t="n">
        <f>124</f>
        <v>124.0</v>
      </c>
      <c r="G614" s="21" t="str">
        <f>"－"</f>
        <v>－</v>
      </c>
      <c r="H614" s="21"/>
      <c r="I614" s="21" t="str">
        <f>"－"</f>
        <v>－</v>
      </c>
      <c r="J614" s="21" t="str">
        <f>"－"</f>
        <v>－</v>
      </c>
      <c r="K614" s="21" t="str">
        <f>"－"</f>
        <v>－</v>
      </c>
      <c r="L614" s="4" t="s">
        <v>335</v>
      </c>
      <c r="M614" s="22" t="str">
        <f>"－"</f>
        <v>－</v>
      </c>
      <c r="N614" s="5" t="s">
        <v>335</v>
      </c>
      <c r="O614" s="23" t="str">
        <f>"－"</f>
        <v>－</v>
      </c>
      <c r="P614" s="3" t="s">
        <v>247</v>
      </c>
      <c r="Q614" s="21"/>
      <c r="R614" s="3" t="s">
        <v>247</v>
      </c>
      <c r="S614" s="21" t="str">
        <f>"－"</f>
        <v>－</v>
      </c>
      <c r="T614" s="21" t="str">
        <f>"－"</f>
        <v>－</v>
      </c>
      <c r="U614" s="5" t="s">
        <v>335</v>
      </c>
      <c r="V614" s="23" t="str">
        <f>"－"</f>
        <v>－</v>
      </c>
      <c r="W614" s="5" t="s">
        <v>335</v>
      </c>
      <c r="X614" s="23" t="str">
        <f>"－"</f>
        <v>－</v>
      </c>
      <c r="Y614" s="23"/>
      <c r="Z614" s="21" t="str">
        <f>"－"</f>
        <v>－</v>
      </c>
      <c r="AA614" s="21" t="str">
        <f>"－"</f>
        <v>－</v>
      </c>
      <c r="AB614" s="4" t="s">
        <v>335</v>
      </c>
      <c r="AC614" s="22" t="str">
        <f>"－"</f>
        <v>－</v>
      </c>
      <c r="AD614" s="5" t="s">
        <v>335</v>
      </c>
      <c r="AE614" s="23" t="str">
        <f>"－"</f>
        <v>－</v>
      </c>
    </row>
    <row r="615">
      <c r="A615" s="24" t="s">
        <v>1299</v>
      </c>
      <c r="B615" s="25" t="s">
        <v>1300</v>
      </c>
      <c r="C615" s="26"/>
      <c r="D615" s="27"/>
      <c r="E615" s="28" t="s">
        <v>336</v>
      </c>
      <c r="F615" s="20" t="n">
        <f>122</f>
        <v>122.0</v>
      </c>
      <c r="G615" s="21" t="str">
        <f>"－"</f>
        <v>－</v>
      </c>
      <c r="H615" s="21"/>
      <c r="I615" s="21" t="str">
        <f>"－"</f>
        <v>－</v>
      </c>
      <c r="J615" s="21" t="str">
        <f>"－"</f>
        <v>－</v>
      </c>
      <c r="K615" s="21" t="str">
        <f>"－"</f>
        <v>－</v>
      </c>
      <c r="L615" s="4" t="s">
        <v>279</v>
      </c>
      <c r="M615" s="22" t="str">
        <f>"－"</f>
        <v>－</v>
      </c>
      <c r="N615" s="5" t="s">
        <v>279</v>
      </c>
      <c r="O615" s="23" t="str">
        <f>"－"</f>
        <v>－</v>
      </c>
      <c r="P615" s="3" t="s">
        <v>247</v>
      </c>
      <c r="Q615" s="21"/>
      <c r="R615" s="3" t="s">
        <v>247</v>
      </c>
      <c r="S615" s="21" t="str">
        <f>"－"</f>
        <v>－</v>
      </c>
      <c r="T615" s="21" t="str">
        <f>"－"</f>
        <v>－</v>
      </c>
      <c r="U615" s="5" t="s">
        <v>279</v>
      </c>
      <c r="V615" s="23" t="str">
        <f>"－"</f>
        <v>－</v>
      </c>
      <c r="W615" s="5" t="s">
        <v>279</v>
      </c>
      <c r="X615" s="23" t="str">
        <f>"－"</f>
        <v>－</v>
      </c>
      <c r="Y615" s="23"/>
      <c r="Z615" s="21" t="str">
        <f>"－"</f>
        <v>－</v>
      </c>
      <c r="AA615" s="21" t="str">
        <f>"－"</f>
        <v>－</v>
      </c>
      <c r="AB615" s="4" t="s">
        <v>279</v>
      </c>
      <c r="AC615" s="22" t="str">
        <f>"－"</f>
        <v>－</v>
      </c>
      <c r="AD615" s="5" t="s">
        <v>279</v>
      </c>
      <c r="AE615" s="23" t="str">
        <f>"－"</f>
        <v>－</v>
      </c>
    </row>
    <row r="616">
      <c r="A616" s="24" t="s">
        <v>1299</v>
      </c>
      <c r="B616" s="25" t="s">
        <v>1300</v>
      </c>
      <c r="C616" s="26"/>
      <c r="D616" s="27"/>
      <c r="E616" s="28" t="s">
        <v>340</v>
      </c>
      <c r="F616" s="20" t="n">
        <f>125</f>
        <v>125.0</v>
      </c>
      <c r="G616" s="21" t="str">
        <f>"－"</f>
        <v>－</v>
      </c>
      <c r="H616" s="21"/>
      <c r="I616" s="21" t="str">
        <f>"－"</f>
        <v>－</v>
      </c>
      <c r="J616" s="21" t="str">
        <f>"－"</f>
        <v>－</v>
      </c>
      <c r="K616" s="21" t="str">
        <f>"－"</f>
        <v>－</v>
      </c>
      <c r="L616" s="4" t="s">
        <v>666</v>
      </c>
      <c r="M616" s="22" t="str">
        <f>"－"</f>
        <v>－</v>
      </c>
      <c r="N616" s="5" t="s">
        <v>666</v>
      </c>
      <c r="O616" s="23" t="str">
        <f>"－"</f>
        <v>－</v>
      </c>
      <c r="P616" s="3" t="s">
        <v>247</v>
      </c>
      <c r="Q616" s="21"/>
      <c r="R616" s="3" t="s">
        <v>247</v>
      </c>
      <c r="S616" s="21" t="str">
        <f>"－"</f>
        <v>－</v>
      </c>
      <c r="T616" s="21" t="str">
        <f>"－"</f>
        <v>－</v>
      </c>
      <c r="U616" s="5" t="s">
        <v>666</v>
      </c>
      <c r="V616" s="23" t="str">
        <f>"－"</f>
        <v>－</v>
      </c>
      <c r="W616" s="5" t="s">
        <v>666</v>
      </c>
      <c r="X616" s="23" t="str">
        <f>"－"</f>
        <v>－</v>
      </c>
      <c r="Y616" s="23"/>
      <c r="Z616" s="21" t="str">
        <f>"－"</f>
        <v>－</v>
      </c>
      <c r="AA616" s="21" t="str">
        <f>"－"</f>
        <v>－</v>
      </c>
      <c r="AB616" s="4" t="s">
        <v>666</v>
      </c>
      <c r="AC616" s="22" t="str">
        <f>"－"</f>
        <v>－</v>
      </c>
      <c r="AD616" s="5" t="s">
        <v>666</v>
      </c>
      <c r="AE616" s="23" t="str">
        <f>"－"</f>
        <v>－</v>
      </c>
    </row>
    <row r="617">
      <c r="A617" s="24" t="s">
        <v>1299</v>
      </c>
      <c r="B617" s="25" t="s">
        <v>1300</v>
      </c>
      <c r="C617" s="26"/>
      <c r="D617" s="27"/>
      <c r="E617" s="28" t="s">
        <v>344</v>
      </c>
      <c r="F617" s="20" t="n">
        <f>121</f>
        <v>121.0</v>
      </c>
      <c r="G617" s="21" t="str">
        <f>"－"</f>
        <v>－</v>
      </c>
      <c r="H617" s="21"/>
      <c r="I617" s="21" t="str">
        <f>"－"</f>
        <v>－</v>
      </c>
      <c r="J617" s="21" t="str">
        <f>"－"</f>
        <v>－</v>
      </c>
      <c r="K617" s="21" t="str">
        <f>"－"</f>
        <v>－</v>
      </c>
      <c r="L617" s="4" t="s">
        <v>268</v>
      </c>
      <c r="M617" s="22" t="str">
        <f>"－"</f>
        <v>－</v>
      </c>
      <c r="N617" s="5" t="s">
        <v>268</v>
      </c>
      <c r="O617" s="23" t="str">
        <f>"－"</f>
        <v>－</v>
      </c>
      <c r="P617" s="3" t="s">
        <v>247</v>
      </c>
      <c r="Q617" s="21"/>
      <c r="R617" s="3" t="s">
        <v>247</v>
      </c>
      <c r="S617" s="21" t="str">
        <f>"－"</f>
        <v>－</v>
      </c>
      <c r="T617" s="21" t="str">
        <f>"－"</f>
        <v>－</v>
      </c>
      <c r="U617" s="5" t="s">
        <v>268</v>
      </c>
      <c r="V617" s="23" t="str">
        <f>"－"</f>
        <v>－</v>
      </c>
      <c r="W617" s="5" t="s">
        <v>268</v>
      </c>
      <c r="X617" s="23" t="str">
        <f>"－"</f>
        <v>－</v>
      </c>
      <c r="Y617" s="23"/>
      <c r="Z617" s="21" t="str">
        <f>"－"</f>
        <v>－</v>
      </c>
      <c r="AA617" s="21" t="str">
        <f>"－"</f>
        <v>－</v>
      </c>
      <c r="AB617" s="4" t="s">
        <v>268</v>
      </c>
      <c r="AC617" s="22" t="str">
        <f>"－"</f>
        <v>－</v>
      </c>
      <c r="AD617" s="5" t="s">
        <v>268</v>
      </c>
      <c r="AE617" s="23" t="str">
        <f>"－"</f>
        <v>－</v>
      </c>
    </row>
    <row r="618">
      <c r="A618" s="24" t="s">
        <v>1299</v>
      </c>
      <c r="B618" s="25" t="s">
        <v>1300</v>
      </c>
      <c r="C618" s="26"/>
      <c r="D618" s="27"/>
      <c r="E618" s="28" t="s">
        <v>347</v>
      </c>
      <c r="F618" s="20" t="n">
        <f>125</f>
        <v>125.0</v>
      </c>
      <c r="G618" s="21" t="str">
        <f>"－"</f>
        <v>－</v>
      </c>
      <c r="H618" s="21"/>
      <c r="I618" s="21" t="str">
        <f>"－"</f>
        <v>－</v>
      </c>
      <c r="J618" s="21" t="str">
        <f>"－"</f>
        <v>－</v>
      </c>
      <c r="K618" s="21" t="str">
        <f>"－"</f>
        <v>－</v>
      </c>
      <c r="L618" s="4" t="s">
        <v>263</v>
      </c>
      <c r="M618" s="22" t="str">
        <f>"－"</f>
        <v>－</v>
      </c>
      <c r="N618" s="5" t="s">
        <v>263</v>
      </c>
      <c r="O618" s="23" t="str">
        <f>"－"</f>
        <v>－</v>
      </c>
      <c r="P618" s="3" t="s">
        <v>247</v>
      </c>
      <c r="Q618" s="21"/>
      <c r="R618" s="3" t="s">
        <v>247</v>
      </c>
      <c r="S618" s="21" t="str">
        <f>"－"</f>
        <v>－</v>
      </c>
      <c r="T618" s="21" t="str">
        <f>"－"</f>
        <v>－</v>
      </c>
      <c r="U618" s="5" t="s">
        <v>263</v>
      </c>
      <c r="V618" s="23" t="str">
        <f>"－"</f>
        <v>－</v>
      </c>
      <c r="W618" s="5" t="s">
        <v>263</v>
      </c>
      <c r="X618" s="23" t="str">
        <f>"－"</f>
        <v>－</v>
      </c>
      <c r="Y618" s="23"/>
      <c r="Z618" s="21" t="str">
        <f>"－"</f>
        <v>－</v>
      </c>
      <c r="AA618" s="21" t="str">
        <f>"－"</f>
        <v>－</v>
      </c>
      <c r="AB618" s="4" t="s">
        <v>263</v>
      </c>
      <c r="AC618" s="22" t="str">
        <f>"－"</f>
        <v>－</v>
      </c>
      <c r="AD618" s="5" t="s">
        <v>263</v>
      </c>
      <c r="AE618" s="23" t="str">
        <f>"－"</f>
        <v>－</v>
      </c>
    </row>
    <row r="619">
      <c r="A619" s="24" t="s">
        <v>1299</v>
      </c>
      <c r="B619" s="25" t="s">
        <v>1300</v>
      </c>
      <c r="C619" s="26"/>
      <c r="D619" s="27"/>
      <c r="E619" s="28" t="s">
        <v>351</v>
      </c>
      <c r="F619" s="20" t="n">
        <f>120</f>
        <v>120.0</v>
      </c>
      <c r="G619" s="21" t="str">
        <f>"－"</f>
        <v>－</v>
      </c>
      <c r="H619" s="21"/>
      <c r="I619" s="21" t="str">
        <f>"－"</f>
        <v>－</v>
      </c>
      <c r="J619" s="21" t="str">
        <f>"－"</f>
        <v>－</v>
      </c>
      <c r="K619" s="21" t="str">
        <f>"－"</f>
        <v>－</v>
      </c>
      <c r="L619" s="4" t="s">
        <v>279</v>
      </c>
      <c r="M619" s="22" t="str">
        <f>"－"</f>
        <v>－</v>
      </c>
      <c r="N619" s="5" t="s">
        <v>279</v>
      </c>
      <c r="O619" s="23" t="str">
        <f>"－"</f>
        <v>－</v>
      </c>
      <c r="P619" s="3" t="s">
        <v>247</v>
      </c>
      <c r="Q619" s="21"/>
      <c r="R619" s="3" t="s">
        <v>247</v>
      </c>
      <c r="S619" s="21" t="str">
        <f>"－"</f>
        <v>－</v>
      </c>
      <c r="T619" s="21" t="str">
        <f>"－"</f>
        <v>－</v>
      </c>
      <c r="U619" s="5" t="s">
        <v>279</v>
      </c>
      <c r="V619" s="23" t="str">
        <f>"－"</f>
        <v>－</v>
      </c>
      <c r="W619" s="5" t="s">
        <v>279</v>
      </c>
      <c r="X619" s="23" t="str">
        <f>"－"</f>
        <v>－</v>
      </c>
      <c r="Y619" s="23"/>
      <c r="Z619" s="21" t="str">
        <f>"－"</f>
        <v>－</v>
      </c>
      <c r="AA619" s="21" t="str">
        <f>"－"</f>
        <v>－</v>
      </c>
      <c r="AB619" s="4" t="s">
        <v>279</v>
      </c>
      <c r="AC619" s="22" t="str">
        <f>"－"</f>
        <v>－</v>
      </c>
      <c r="AD619" s="5" t="s">
        <v>279</v>
      </c>
      <c r="AE619" s="23" t="str">
        <f>"－"</f>
        <v>－</v>
      </c>
    </row>
    <row r="620">
      <c r="A620" s="24" t="s">
        <v>1299</v>
      </c>
      <c r="B620" s="25" t="s">
        <v>1300</v>
      </c>
      <c r="C620" s="26"/>
      <c r="D620" s="27"/>
      <c r="E620" s="28" t="s">
        <v>355</v>
      </c>
      <c r="F620" s="20" t="n">
        <f>114</f>
        <v>114.0</v>
      </c>
      <c r="G620" s="21" t="str">
        <f>"－"</f>
        <v>－</v>
      </c>
      <c r="H620" s="21"/>
      <c r="I620" s="21" t="str">
        <f>"－"</f>
        <v>－</v>
      </c>
      <c r="J620" s="21" t="str">
        <f>"－"</f>
        <v>－</v>
      </c>
      <c r="K620" s="21" t="str">
        <f>"－"</f>
        <v>－</v>
      </c>
      <c r="L620" s="4" t="s">
        <v>335</v>
      </c>
      <c r="M620" s="22" t="str">
        <f>"－"</f>
        <v>－</v>
      </c>
      <c r="N620" s="5" t="s">
        <v>335</v>
      </c>
      <c r="O620" s="23" t="str">
        <f>"－"</f>
        <v>－</v>
      </c>
      <c r="P620" s="3" t="s">
        <v>247</v>
      </c>
      <c r="Q620" s="21"/>
      <c r="R620" s="3" t="s">
        <v>247</v>
      </c>
      <c r="S620" s="21" t="str">
        <f>"－"</f>
        <v>－</v>
      </c>
      <c r="T620" s="21" t="str">
        <f>"－"</f>
        <v>－</v>
      </c>
      <c r="U620" s="5" t="s">
        <v>335</v>
      </c>
      <c r="V620" s="23" t="str">
        <f>"－"</f>
        <v>－</v>
      </c>
      <c r="W620" s="5" t="s">
        <v>335</v>
      </c>
      <c r="X620" s="23" t="str">
        <f>"－"</f>
        <v>－</v>
      </c>
      <c r="Y620" s="23"/>
      <c r="Z620" s="21" t="str">
        <f>"－"</f>
        <v>－</v>
      </c>
      <c r="AA620" s="21" t="str">
        <f>"－"</f>
        <v>－</v>
      </c>
      <c r="AB620" s="4" t="s">
        <v>335</v>
      </c>
      <c r="AC620" s="22" t="str">
        <f>"－"</f>
        <v>－</v>
      </c>
      <c r="AD620" s="5" t="s">
        <v>335</v>
      </c>
      <c r="AE620" s="23" t="str">
        <f>"－"</f>
        <v>－</v>
      </c>
    </row>
    <row r="621">
      <c r="A621" s="24" t="s">
        <v>1299</v>
      </c>
      <c r="B621" s="25" t="s">
        <v>1300</v>
      </c>
      <c r="C621" s="26"/>
      <c r="D621" s="27"/>
      <c r="E621" s="28" t="s">
        <v>441</v>
      </c>
      <c r="F621" s="20" t="n">
        <f>121</f>
        <v>121.0</v>
      </c>
      <c r="G621" s="21" t="n">
        <f>4666</f>
        <v>4666.0</v>
      </c>
      <c r="H621" s="21"/>
      <c r="I621" s="21" t="n">
        <f>1465</f>
        <v>1465.0</v>
      </c>
      <c r="J621" s="21" t="n">
        <f>39</f>
        <v>39.0</v>
      </c>
      <c r="K621" s="21" t="n">
        <f>12</f>
        <v>12.0</v>
      </c>
      <c r="L621" s="4" t="s">
        <v>848</v>
      </c>
      <c r="M621" s="22" t="n">
        <f>265</f>
        <v>265.0</v>
      </c>
      <c r="N621" s="5" t="s">
        <v>1295</v>
      </c>
      <c r="O621" s="23" t="str">
        <f>"－"</f>
        <v>－</v>
      </c>
      <c r="P621" s="3" t="s">
        <v>1325</v>
      </c>
      <c r="Q621" s="21"/>
      <c r="R621" s="3" t="s">
        <v>1326</v>
      </c>
      <c r="S621" s="21" t="n">
        <f>7726059174</f>
        <v>7.726059174E9</v>
      </c>
      <c r="T621" s="21" t="n">
        <f>2431724132</f>
        <v>2.431724132E9</v>
      </c>
      <c r="U621" s="5" t="s">
        <v>848</v>
      </c>
      <c r="V621" s="23" t="n">
        <f>52645650000</f>
        <v>5.264565E10</v>
      </c>
      <c r="W621" s="5" t="s">
        <v>1295</v>
      </c>
      <c r="X621" s="23" t="str">
        <f>"－"</f>
        <v>－</v>
      </c>
      <c r="Y621" s="23"/>
      <c r="Z621" s="21" t="n">
        <f>1101</f>
        <v>1101.0</v>
      </c>
      <c r="AA621" s="21" t="n">
        <f>44</f>
        <v>44.0</v>
      </c>
      <c r="AB621" s="4" t="s">
        <v>201</v>
      </c>
      <c r="AC621" s="22" t="n">
        <f>549</f>
        <v>549.0</v>
      </c>
      <c r="AD621" s="5" t="s">
        <v>999</v>
      </c>
      <c r="AE621" s="23" t="n">
        <f>37</f>
        <v>37.0</v>
      </c>
    </row>
    <row r="622">
      <c r="A622" s="24" t="s">
        <v>1299</v>
      </c>
      <c r="B622" s="25" t="s">
        <v>1300</v>
      </c>
      <c r="C622" s="26"/>
      <c r="D622" s="27"/>
      <c r="E622" s="28" t="s">
        <v>48</v>
      </c>
      <c r="F622" s="20" t="n">
        <f>121</f>
        <v>121.0</v>
      </c>
      <c r="G622" s="21" t="n">
        <f>986</f>
        <v>986.0</v>
      </c>
      <c r="H622" s="21"/>
      <c r="I622" s="21" t="n">
        <f>116</f>
        <v>116.0</v>
      </c>
      <c r="J622" s="21" t="n">
        <f>8</f>
        <v>8.0</v>
      </c>
      <c r="K622" s="21" t="n">
        <f>1</f>
        <v>1.0</v>
      </c>
      <c r="L622" s="4" t="s">
        <v>170</v>
      </c>
      <c r="M622" s="22" t="n">
        <f>115</f>
        <v>115.0</v>
      </c>
      <c r="N622" s="5" t="s">
        <v>69</v>
      </c>
      <c r="O622" s="23" t="str">
        <f>"－"</f>
        <v>－</v>
      </c>
      <c r="P622" s="3" t="s">
        <v>1327</v>
      </c>
      <c r="Q622" s="21"/>
      <c r="R622" s="3" t="s">
        <v>1328</v>
      </c>
      <c r="S622" s="21" t="n">
        <f>1717460744</f>
        <v>1.717460744E9</v>
      </c>
      <c r="T622" s="21" t="n">
        <f>200290496</f>
        <v>2.00290496E8</v>
      </c>
      <c r="U622" s="5" t="s">
        <v>170</v>
      </c>
      <c r="V622" s="23" t="n">
        <f>23965500000</f>
        <v>2.39655E10</v>
      </c>
      <c r="W622" s="5" t="s">
        <v>69</v>
      </c>
      <c r="X622" s="23" t="str">
        <f>"－"</f>
        <v>－</v>
      </c>
      <c r="Y622" s="23"/>
      <c r="Z622" s="21" t="n">
        <f>16</f>
        <v>16.0</v>
      </c>
      <c r="AA622" s="21" t="n">
        <f>1</f>
        <v>1.0</v>
      </c>
      <c r="AB622" s="4" t="s">
        <v>1075</v>
      </c>
      <c r="AC622" s="22" t="n">
        <f>162</f>
        <v>162.0</v>
      </c>
      <c r="AD622" s="5" t="s">
        <v>1112</v>
      </c>
      <c r="AE622" s="23" t="n">
        <f>1</f>
        <v>1.0</v>
      </c>
    </row>
    <row r="623">
      <c r="A623" s="24" t="s">
        <v>1299</v>
      </c>
      <c r="B623" s="25" t="s">
        <v>1300</v>
      </c>
      <c r="C623" s="26"/>
      <c r="D623" s="27"/>
      <c r="E623" s="28" t="s">
        <v>56</v>
      </c>
      <c r="F623" s="20" t="n">
        <f>123</f>
        <v>123.0</v>
      </c>
      <c r="G623" s="21" t="n">
        <f>1448</f>
        <v>1448.0</v>
      </c>
      <c r="H623" s="21"/>
      <c r="I623" s="21" t="n">
        <f>205</f>
        <v>205.0</v>
      </c>
      <c r="J623" s="21" t="n">
        <f>12</f>
        <v>12.0</v>
      </c>
      <c r="K623" s="21" t="n">
        <f>2</f>
        <v>2.0</v>
      </c>
      <c r="L623" s="4" t="s">
        <v>317</v>
      </c>
      <c r="M623" s="22" t="n">
        <f>147</f>
        <v>147.0</v>
      </c>
      <c r="N623" s="5" t="s">
        <v>335</v>
      </c>
      <c r="O623" s="23" t="str">
        <f>"－"</f>
        <v>－</v>
      </c>
      <c r="P623" s="3" t="s">
        <v>1329</v>
      </c>
      <c r="Q623" s="21"/>
      <c r="R623" s="3" t="s">
        <v>1330</v>
      </c>
      <c r="S623" s="21" t="n">
        <f>1593214146</f>
        <v>1.593214146E9</v>
      </c>
      <c r="T623" s="21" t="n">
        <f>225612846</f>
        <v>2.25612846E8</v>
      </c>
      <c r="U623" s="5" t="s">
        <v>317</v>
      </c>
      <c r="V623" s="23" t="n">
        <f>19863080000</f>
        <v>1.986308E10</v>
      </c>
      <c r="W623" s="5" t="s">
        <v>335</v>
      </c>
      <c r="X623" s="23" t="str">
        <f>"－"</f>
        <v>－</v>
      </c>
      <c r="Y623" s="23"/>
      <c r="Z623" s="21" t="n">
        <f>78</f>
        <v>78.0</v>
      </c>
      <c r="AA623" s="21" t="n">
        <f>165</f>
        <v>165.0</v>
      </c>
      <c r="AB623" s="4" t="s">
        <v>317</v>
      </c>
      <c r="AC623" s="22" t="n">
        <f>220</f>
        <v>220.0</v>
      </c>
      <c r="AD623" s="5" t="s">
        <v>163</v>
      </c>
      <c r="AE623" s="23" t="str">
        <f>"－"</f>
        <v>－</v>
      </c>
    </row>
    <row r="624">
      <c r="A624" s="24" t="s">
        <v>1299</v>
      </c>
      <c r="B624" s="25" t="s">
        <v>1300</v>
      </c>
      <c r="C624" s="26"/>
      <c r="D624" s="27"/>
      <c r="E624" s="28" t="s">
        <v>63</v>
      </c>
      <c r="F624" s="20" t="n">
        <f>122</f>
        <v>122.0</v>
      </c>
      <c r="G624" s="21" t="n">
        <f>1446</f>
        <v>1446.0</v>
      </c>
      <c r="H624" s="21"/>
      <c r="I624" s="21" t="n">
        <f>443</f>
        <v>443.0</v>
      </c>
      <c r="J624" s="21" t="n">
        <f>12</f>
        <v>12.0</v>
      </c>
      <c r="K624" s="21" t="n">
        <f>4</f>
        <v>4.0</v>
      </c>
      <c r="L624" s="4" t="s">
        <v>197</v>
      </c>
      <c r="M624" s="22" t="n">
        <f>153</f>
        <v>153.0</v>
      </c>
      <c r="N624" s="5" t="s">
        <v>137</v>
      </c>
      <c r="O624" s="23" t="str">
        <f>"－"</f>
        <v>－</v>
      </c>
      <c r="P624" s="3" t="s">
        <v>1331</v>
      </c>
      <c r="Q624" s="21"/>
      <c r="R624" s="3" t="s">
        <v>1332</v>
      </c>
      <c r="S624" s="21" t="n">
        <f>1688256148</f>
        <v>1.688256148E9</v>
      </c>
      <c r="T624" s="21" t="n">
        <f>527749098</f>
        <v>5.27749098E8</v>
      </c>
      <c r="U624" s="5" t="s">
        <v>197</v>
      </c>
      <c r="V624" s="23" t="n">
        <f>23278310000</f>
        <v>2.327831E10</v>
      </c>
      <c r="W624" s="5" t="s">
        <v>137</v>
      </c>
      <c r="X624" s="23" t="str">
        <f>"－"</f>
        <v>－</v>
      </c>
      <c r="Y624" s="23"/>
      <c r="Z624" s="21" t="n">
        <f>330</f>
        <v>330.0</v>
      </c>
      <c r="AA624" s="21" t="n">
        <f>44</f>
        <v>44.0</v>
      </c>
      <c r="AB624" s="4" t="s">
        <v>49</v>
      </c>
      <c r="AC624" s="22" t="n">
        <f>247</f>
        <v>247.0</v>
      </c>
      <c r="AD624" s="5" t="s">
        <v>914</v>
      </c>
      <c r="AE624" s="23" t="n">
        <f>44</f>
        <v>44.0</v>
      </c>
    </row>
    <row r="625">
      <c r="A625" s="24" t="s">
        <v>1299</v>
      </c>
      <c r="B625" s="25" t="s">
        <v>1300</v>
      </c>
      <c r="C625" s="26"/>
      <c r="D625" s="27"/>
      <c r="E625" s="28" t="s">
        <v>70</v>
      </c>
      <c r="F625" s="20" t="n">
        <f>123</f>
        <v>123.0</v>
      </c>
      <c r="G625" s="21" t="n">
        <f>224</f>
        <v>224.0</v>
      </c>
      <c r="H625" s="21"/>
      <c r="I625" s="21" t="n">
        <f>70</f>
        <v>70.0</v>
      </c>
      <c r="J625" s="21" t="n">
        <f>2</f>
        <v>2.0</v>
      </c>
      <c r="K625" s="21" t="n">
        <f>1</f>
        <v>1.0</v>
      </c>
      <c r="L625" s="4" t="s">
        <v>143</v>
      </c>
      <c r="M625" s="22" t="n">
        <f>82</f>
        <v>82.0</v>
      </c>
      <c r="N625" s="5" t="s">
        <v>224</v>
      </c>
      <c r="O625" s="23" t="str">
        <f>"－"</f>
        <v>－</v>
      </c>
      <c r="P625" s="3" t="s">
        <v>1333</v>
      </c>
      <c r="Q625" s="21"/>
      <c r="R625" s="3" t="s">
        <v>1334</v>
      </c>
      <c r="S625" s="21" t="n">
        <f>292058211</f>
        <v>2.92058211E8</v>
      </c>
      <c r="T625" s="21" t="n">
        <f>91845122</f>
        <v>9.1845122E7</v>
      </c>
      <c r="U625" s="5" t="s">
        <v>143</v>
      </c>
      <c r="V625" s="23" t="n">
        <f>13234050000</f>
        <v>1.323405E10</v>
      </c>
      <c r="W625" s="5" t="s">
        <v>224</v>
      </c>
      <c r="X625" s="23" t="str">
        <f>"－"</f>
        <v>－</v>
      </c>
      <c r="Y625" s="23"/>
      <c r="Z625" s="21" t="n">
        <f>75</f>
        <v>75.0</v>
      </c>
      <c r="AA625" s="21" t="n">
        <f>6</f>
        <v>6.0</v>
      </c>
      <c r="AB625" s="4" t="s">
        <v>319</v>
      </c>
      <c r="AC625" s="22" t="n">
        <f>59</f>
        <v>59.0</v>
      </c>
      <c r="AD625" s="5" t="s">
        <v>750</v>
      </c>
      <c r="AE625" s="23" t="n">
        <f>6</f>
        <v>6.0</v>
      </c>
    </row>
    <row r="626">
      <c r="A626" s="24" t="s">
        <v>1299</v>
      </c>
      <c r="B626" s="25" t="s">
        <v>1300</v>
      </c>
      <c r="C626" s="26"/>
      <c r="D626" s="27"/>
      <c r="E626" s="28" t="s">
        <v>77</v>
      </c>
      <c r="F626" s="20" t="n">
        <f>122</f>
        <v>122.0</v>
      </c>
      <c r="G626" s="21" t="n">
        <f>207</f>
        <v>207.0</v>
      </c>
      <c r="H626" s="21"/>
      <c r="I626" s="21" t="str">
        <f>"－"</f>
        <v>－</v>
      </c>
      <c r="J626" s="21" t="n">
        <f>2</f>
        <v>2.0</v>
      </c>
      <c r="K626" s="21" t="str">
        <f>"－"</f>
        <v>－</v>
      </c>
      <c r="L626" s="4" t="s">
        <v>234</v>
      </c>
      <c r="M626" s="22" t="n">
        <f>36</f>
        <v>36.0</v>
      </c>
      <c r="N626" s="5" t="s">
        <v>82</v>
      </c>
      <c r="O626" s="23" t="str">
        <f>"－"</f>
        <v>－</v>
      </c>
      <c r="P626" s="3" t="s">
        <v>1335</v>
      </c>
      <c r="Q626" s="21"/>
      <c r="R626" s="3" t="s">
        <v>247</v>
      </c>
      <c r="S626" s="21" t="n">
        <f>264148197</f>
        <v>2.64148197E8</v>
      </c>
      <c r="T626" s="21" t="str">
        <f>"－"</f>
        <v>－</v>
      </c>
      <c r="U626" s="5" t="s">
        <v>234</v>
      </c>
      <c r="V626" s="23" t="n">
        <f>5511000000</f>
        <v>5.511E9</v>
      </c>
      <c r="W626" s="5" t="s">
        <v>82</v>
      </c>
      <c r="X626" s="23" t="str">
        <f>"－"</f>
        <v>－</v>
      </c>
      <c r="Y626" s="23"/>
      <c r="Z626" s="21" t="n">
        <f>4</f>
        <v>4.0</v>
      </c>
      <c r="AA626" s="21" t="n">
        <f>23</f>
        <v>23.0</v>
      </c>
      <c r="AB626" s="4" t="s">
        <v>396</v>
      </c>
      <c r="AC626" s="22" t="n">
        <f>41</f>
        <v>41.0</v>
      </c>
      <c r="AD626" s="5" t="s">
        <v>582</v>
      </c>
      <c r="AE626" s="23" t="n">
        <f>2</f>
        <v>2.0</v>
      </c>
    </row>
    <row r="627">
      <c r="A627" s="24" t="s">
        <v>1299</v>
      </c>
      <c r="B627" s="25" t="s">
        <v>1300</v>
      </c>
      <c r="C627" s="26"/>
      <c r="D627" s="27"/>
      <c r="E627" s="28" t="s">
        <v>83</v>
      </c>
      <c r="F627" s="20" t="n">
        <f>124</f>
        <v>124.0</v>
      </c>
      <c r="G627" s="21" t="n">
        <f>154</f>
        <v>154.0</v>
      </c>
      <c r="H627" s="21"/>
      <c r="I627" s="21" t="str">
        <f>"－"</f>
        <v>－</v>
      </c>
      <c r="J627" s="21" t="n">
        <f>1</f>
        <v>1.0</v>
      </c>
      <c r="K627" s="21" t="str">
        <f>"－"</f>
        <v>－</v>
      </c>
      <c r="L627" s="4" t="s">
        <v>143</v>
      </c>
      <c r="M627" s="22" t="n">
        <f>16</f>
        <v>16.0</v>
      </c>
      <c r="N627" s="5" t="s">
        <v>666</v>
      </c>
      <c r="O627" s="23" t="str">
        <f>"－"</f>
        <v>－</v>
      </c>
      <c r="P627" s="3" t="s">
        <v>1336</v>
      </c>
      <c r="Q627" s="21"/>
      <c r="R627" s="3" t="s">
        <v>247</v>
      </c>
      <c r="S627" s="21" t="n">
        <f>192250242</f>
        <v>1.92250242E8</v>
      </c>
      <c r="T627" s="21" t="str">
        <f>"－"</f>
        <v>－</v>
      </c>
      <c r="U627" s="5" t="s">
        <v>143</v>
      </c>
      <c r="V627" s="23" t="n">
        <f>2484480000</f>
        <v>2.48448E9</v>
      </c>
      <c r="W627" s="5" t="s">
        <v>666</v>
      </c>
      <c r="X627" s="23" t="str">
        <f>"－"</f>
        <v>－</v>
      </c>
      <c r="Y627" s="23"/>
      <c r="Z627" s="21" t="n">
        <f>4</f>
        <v>4.0</v>
      </c>
      <c r="AA627" s="21" t="n">
        <f>1</f>
        <v>1.0</v>
      </c>
      <c r="AB627" s="4" t="s">
        <v>784</v>
      </c>
      <c r="AC627" s="22" t="n">
        <f>24</f>
        <v>24.0</v>
      </c>
      <c r="AD627" s="5" t="s">
        <v>909</v>
      </c>
      <c r="AE627" s="23" t="n">
        <f>1</f>
        <v>1.0</v>
      </c>
    </row>
    <row r="628">
      <c r="A628" s="24" t="s">
        <v>1299</v>
      </c>
      <c r="B628" s="25" t="s">
        <v>1300</v>
      </c>
      <c r="C628" s="26"/>
      <c r="D628" s="27"/>
      <c r="E628" s="28" t="s">
        <v>89</v>
      </c>
      <c r="F628" s="20" t="n">
        <f>121</f>
        <v>121.0</v>
      </c>
      <c r="G628" s="21" t="n">
        <f>68</f>
        <v>68.0</v>
      </c>
      <c r="H628" s="21"/>
      <c r="I628" s="21" t="str">
        <f>"－"</f>
        <v>－</v>
      </c>
      <c r="J628" s="21" t="n">
        <f>1</f>
        <v>1.0</v>
      </c>
      <c r="K628" s="21" t="str">
        <f>"－"</f>
        <v>－</v>
      </c>
      <c r="L628" s="4" t="s">
        <v>1018</v>
      </c>
      <c r="M628" s="22" t="n">
        <f>6</f>
        <v>6.0</v>
      </c>
      <c r="N628" s="5" t="s">
        <v>268</v>
      </c>
      <c r="O628" s="23" t="str">
        <f>"－"</f>
        <v>－</v>
      </c>
      <c r="P628" s="3" t="s">
        <v>1337</v>
      </c>
      <c r="Q628" s="21"/>
      <c r="R628" s="3" t="s">
        <v>247</v>
      </c>
      <c r="S628" s="21" t="n">
        <f>86948264</f>
        <v>8.6948264E7</v>
      </c>
      <c r="T628" s="21" t="str">
        <f>"－"</f>
        <v>－</v>
      </c>
      <c r="U628" s="5" t="s">
        <v>270</v>
      </c>
      <c r="V628" s="23" t="n">
        <f>938820000</f>
        <v>9.3882E8</v>
      </c>
      <c r="W628" s="5" t="s">
        <v>268</v>
      </c>
      <c r="X628" s="23" t="str">
        <f>"－"</f>
        <v>－</v>
      </c>
      <c r="Y628" s="23"/>
      <c r="Z628" s="21" t="n">
        <f>3</f>
        <v>3.0</v>
      </c>
      <c r="AA628" s="21" t="n">
        <f>1</f>
        <v>1.0</v>
      </c>
      <c r="AB628" s="4" t="s">
        <v>865</v>
      </c>
      <c r="AC628" s="22" t="n">
        <f>9</f>
        <v>9.0</v>
      </c>
      <c r="AD628" s="5" t="s">
        <v>268</v>
      </c>
      <c r="AE628" s="23" t="n">
        <f>1</f>
        <v>1.0</v>
      </c>
    </row>
    <row r="629">
      <c r="A629" s="24" t="s">
        <v>1299</v>
      </c>
      <c r="B629" s="25" t="s">
        <v>1300</v>
      </c>
      <c r="C629" s="26"/>
      <c r="D629" s="27"/>
      <c r="E629" s="28" t="s">
        <v>95</v>
      </c>
      <c r="F629" s="20" t="n">
        <f>124</f>
        <v>124.0</v>
      </c>
      <c r="G629" s="21" t="n">
        <f>95</f>
        <v>95.0</v>
      </c>
      <c r="H629" s="21"/>
      <c r="I629" s="21" t="str">
        <f>"－"</f>
        <v>－</v>
      </c>
      <c r="J629" s="21" t="n">
        <f>1</f>
        <v>1.0</v>
      </c>
      <c r="K629" s="21" t="str">
        <f>"－"</f>
        <v>－</v>
      </c>
      <c r="L629" s="4" t="s">
        <v>107</v>
      </c>
      <c r="M629" s="22" t="n">
        <f>13</f>
        <v>13.0</v>
      </c>
      <c r="N629" s="5" t="s">
        <v>263</v>
      </c>
      <c r="O629" s="23" t="str">
        <f>"－"</f>
        <v>－</v>
      </c>
      <c r="P629" s="3" t="s">
        <v>1338</v>
      </c>
      <c r="Q629" s="21"/>
      <c r="R629" s="3" t="s">
        <v>247</v>
      </c>
      <c r="S629" s="21" t="n">
        <f>119263145</f>
        <v>1.19263145E8</v>
      </c>
      <c r="T629" s="21" t="str">
        <f>"－"</f>
        <v>－</v>
      </c>
      <c r="U629" s="5" t="s">
        <v>107</v>
      </c>
      <c r="V629" s="23" t="n">
        <f>2032190000</f>
        <v>2.03219E9</v>
      </c>
      <c r="W629" s="5" t="s">
        <v>263</v>
      </c>
      <c r="X629" s="23" t="str">
        <f>"－"</f>
        <v>－</v>
      </c>
      <c r="Y629" s="23"/>
      <c r="Z629" s="21" t="str">
        <f>"－"</f>
        <v>－</v>
      </c>
      <c r="AA629" s="21" t="n">
        <f>6</f>
        <v>6.0</v>
      </c>
      <c r="AB629" s="4" t="s">
        <v>281</v>
      </c>
      <c r="AC629" s="22" t="n">
        <f>11</f>
        <v>11.0</v>
      </c>
      <c r="AD629" s="5" t="s">
        <v>834</v>
      </c>
      <c r="AE629" s="23" t="str">
        <f>"－"</f>
        <v>－</v>
      </c>
    </row>
    <row r="630">
      <c r="A630" s="24" t="s">
        <v>1299</v>
      </c>
      <c r="B630" s="25" t="s">
        <v>1300</v>
      </c>
      <c r="C630" s="26"/>
      <c r="D630" s="27"/>
      <c r="E630" s="28" t="s">
        <v>101</v>
      </c>
      <c r="F630" s="20" t="n">
        <f>120</f>
        <v>120.0</v>
      </c>
      <c r="G630" s="21" t="n">
        <f>43</f>
        <v>43.0</v>
      </c>
      <c r="H630" s="21"/>
      <c r="I630" s="21" t="str">
        <f>"－"</f>
        <v>－</v>
      </c>
      <c r="J630" s="21" t="n">
        <f>0</f>
        <v>0.0</v>
      </c>
      <c r="K630" s="21" t="str">
        <f>"－"</f>
        <v>－</v>
      </c>
      <c r="L630" s="4" t="s">
        <v>1339</v>
      </c>
      <c r="M630" s="22" t="n">
        <f>6</f>
        <v>6.0</v>
      </c>
      <c r="N630" s="5" t="s">
        <v>279</v>
      </c>
      <c r="O630" s="23" t="str">
        <f>"－"</f>
        <v>－</v>
      </c>
      <c r="P630" s="3" t="s">
        <v>1340</v>
      </c>
      <c r="Q630" s="21"/>
      <c r="R630" s="3" t="s">
        <v>247</v>
      </c>
      <c r="S630" s="21" t="n">
        <f>56155833</f>
        <v>5.6155833E7</v>
      </c>
      <c r="T630" s="21" t="str">
        <f>"－"</f>
        <v>－</v>
      </c>
      <c r="U630" s="5" t="s">
        <v>116</v>
      </c>
      <c r="V630" s="23" t="n">
        <f>954300000</f>
        <v>9.543E8</v>
      </c>
      <c r="W630" s="5" t="s">
        <v>279</v>
      </c>
      <c r="X630" s="23" t="str">
        <f>"－"</f>
        <v>－</v>
      </c>
      <c r="Y630" s="23"/>
      <c r="Z630" s="21" t="str">
        <f>"－"</f>
        <v>－</v>
      </c>
      <c r="AA630" s="21" t="n">
        <f>3</f>
        <v>3.0</v>
      </c>
      <c r="AB630" s="4" t="s">
        <v>241</v>
      </c>
      <c r="AC630" s="22" t="n">
        <f>7</f>
        <v>7.0</v>
      </c>
      <c r="AD630" s="5" t="s">
        <v>843</v>
      </c>
      <c r="AE630" s="23" t="str">
        <f>"－"</f>
        <v>－</v>
      </c>
    </row>
    <row r="631">
      <c r="A631" s="24" t="s">
        <v>1299</v>
      </c>
      <c r="B631" s="25" t="s">
        <v>1300</v>
      </c>
      <c r="C631" s="26"/>
      <c r="D631" s="27"/>
      <c r="E631" s="28" t="s">
        <v>106</v>
      </c>
      <c r="F631" s="20" t="n">
        <f>121</f>
        <v>121.0</v>
      </c>
      <c r="G631" s="21" t="n">
        <f>19</f>
        <v>19.0</v>
      </c>
      <c r="H631" s="21"/>
      <c r="I631" s="21" t="str">
        <f>"－"</f>
        <v>－</v>
      </c>
      <c r="J631" s="21" t="n">
        <f>0</f>
        <v>0.0</v>
      </c>
      <c r="K631" s="21" t="str">
        <f>"－"</f>
        <v>－</v>
      </c>
      <c r="L631" s="4" t="s">
        <v>737</v>
      </c>
      <c r="M631" s="22" t="n">
        <f>6</f>
        <v>6.0</v>
      </c>
      <c r="N631" s="5" t="s">
        <v>335</v>
      </c>
      <c r="O631" s="23" t="str">
        <f>"－"</f>
        <v>－</v>
      </c>
      <c r="P631" s="3" t="s">
        <v>1341</v>
      </c>
      <c r="Q631" s="21"/>
      <c r="R631" s="3" t="s">
        <v>247</v>
      </c>
      <c r="S631" s="21" t="n">
        <f>25185785</f>
        <v>2.5185785E7</v>
      </c>
      <c r="T631" s="21" t="str">
        <f>"－"</f>
        <v>－</v>
      </c>
      <c r="U631" s="5" t="s">
        <v>737</v>
      </c>
      <c r="V631" s="23" t="n">
        <f>956820000</f>
        <v>9.5682E8</v>
      </c>
      <c r="W631" s="5" t="s">
        <v>335</v>
      </c>
      <c r="X631" s="23" t="str">
        <f>"－"</f>
        <v>－</v>
      </c>
      <c r="Y631" s="23"/>
      <c r="Z631" s="21" t="str">
        <f>"－"</f>
        <v>－</v>
      </c>
      <c r="AA631" s="21" t="str">
        <f>"－"</f>
        <v>－</v>
      </c>
      <c r="AB631" s="4" t="s">
        <v>1259</v>
      </c>
      <c r="AC631" s="22" t="n">
        <f>6</f>
        <v>6.0</v>
      </c>
      <c r="AD631" s="5" t="s">
        <v>272</v>
      </c>
      <c r="AE631" s="23" t="str">
        <f>"－"</f>
        <v>－</v>
      </c>
    </row>
    <row r="632">
      <c r="A632" s="24" t="s">
        <v>1299</v>
      </c>
      <c r="B632" s="25" t="s">
        <v>1300</v>
      </c>
      <c r="C632" s="26"/>
      <c r="D632" s="27"/>
      <c r="E632" s="28" t="s">
        <v>112</v>
      </c>
      <c r="F632" s="20" t="n">
        <f>120</f>
        <v>120.0</v>
      </c>
      <c r="G632" s="21" t="str">
        <f>"－"</f>
        <v>－</v>
      </c>
      <c r="H632" s="21"/>
      <c r="I632" s="21" t="str">
        <f>"－"</f>
        <v>－</v>
      </c>
      <c r="J632" s="21" t="str">
        <f>"－"</f>
        <v>－</v>
      </c>
      <c r="K632" s="21" t="str">
        <f>"－"</f>
        <v>－</v>
      </c>
      <c r="L632" s="4" t="s">
        <v>279</v>
      </c>
      <c r="M632" s="22" t="str">
        <f>"－"</f>
        <v>－</v>
      </c>
      <c r="N632" s="5" t="s">
        <v>279</v>
      </c>
      <c r="O632" s="23" t="str">
        <f>"－"</f>
        <v>－</v>
      </c>
      <c r="P632" s="3" t="s">
        <v>247</v>
      </c>
      <c r="Q632" s="21"/>
      <c r="R632" s="3" t="s">
        <v>247</v>
      </c>
      <c r="S632" s="21" t="str">
        <f>"－"</f>
        <v>－</v>
      </c>
      <c r="T632" s="21" t="str">
        <f>"－"</f>
        <v>－</v>
      </c>
      <c r="U632" s="5" t="s">
        <v>279</v>
      </c>
      <c r="V632" s="23" t="str">
        <f>"－"</f>
        <v>－</v>
      </c>
      <c r="W632" s="5" t="s">
        <v>279</v>
      </c>
      <c r="X632" s="23" t="str">
        <f>"－"</f>
        <v>－</v>
      </c>
      <c r="Y632" s="23"/>
      <c r="Z632" s="21" t="str">
        <f>"－"</f>
        <v>－</v>
      </c>
      <c r="AA632" s="21" t="str">
        <f>"－"</f>
        <v>－</v>
      </c>
      <c r="AB632" s="4" t="s">
        <v>279</v>
      </c>
      <c r="AC632" s="22" t="str">
        <f>"－"</f>
        <v>－</v>
      </c>
      <c r="AD632" s="5" t="s">
        <v>279</v>
      </c>
      <c r="AE632" s="23" t="str">
        <f>"－"</f>
        <v>－</v>
      </c>
    </row>
    <row r="633">
      <c r="A633" s="24" t="s">
        <v>1299</v>
      </c>
      <c r="B633" s="25" t="s">
        <v>1300</v>
      </c>
      <c r="C633" s="26"/>
      <c r="D633" s="27"/>
      <c r="E633" s="28" t="s">
        <v>118</v>
      </c>
      <c r="F633" s="20" t="n">
        <f>122</f>
        <v>122.0</v>
      </c>
      <c r="G633" s="21" t="str">
        <f>"－"</f>
        <v>－</v>
      </c>
      <c r="H633" s="21"/>
      <c r="I633" s="21" t="str">
        <f>"－"</f>
        <v>－</v>
      </c>
      <c r="J633" s="21" t="str">
        <f>"－"</f>
        <v>－</v>
      </c>
      <c r="K633" s="21" t="str">
        <f>"－"</f>
        <v>－</v>
      </c>
      <c r="L633" s="4" t="s">
        <v>335</v>
      </c>
      <c r="M633" s="22" t="str">
        <f>"－"</f>
        <v>－</v>
      </c>
      <c r="N633" s="5" t="s">
        <v>335</v>
      </c>
      <c r="O633" s="23" t="str">
        <f>"－"</f>
        <v>－</v>
      </c>
      <c r="P633" s="3" t="s">
        <v>247</v>
      </c>
      <c r="Q633" s="21"/>
      <c r="R633" s="3" t="s">
        <v>247</v>
      </c>
      <c r="S633" s="21" t="str">
        <f>"－"</f>
        <v>－</v>
      </c>
      <c r="T633" s="21" t="str">
        <f>"－"</f>
        <v>－</v>
      </c>
      <c r="U633" s="5" t="s">
        <v>335</v>
      </c>
      <c r="V633" s="23" t="str">
        <f>"－"</f>
        <v>－</v>
      </c>
      <c r="W633" s="5" t="s">
        <v>335</v>
      </c>
      <c r="X633" s="23" t="str">
        <f>"－"</f>
        <v>－</v>
      </c>
      <c r="Y633" s="23"/>
      <c r="Z633" s="21" t="str">
        <f>"－"</f>
        <v>－</v>
      </c>
      <c r="AA633" s="21" t="str">
        <f>"－"</f>
        <v>－</v>
      </c>
      <c r="AB633" s="4" t="s">
        <v>335</v>
      </c>
      <c r="AC633" s="22" t="str">
        <f>"－"</f>
        <v>－</v>
      </c>
      <c r="AD633" s="5" t="s">
        <v>335</v>
      </c>
      <c r="AE633" s="23" t="str">
        <f>"－"</f>
        <v>－</v>
      </c>
    </row>
    <row r="634">
      <c r="A634" s="24" t="s">
        <v>1299</v>
      </c>
      <c r="B634" s="25" t="s">
        <v>1300</v>
      </c>
      <c r="C634" s="26"/>
      <c r="D634" s="27"/>
      <c r="E634" s="28" t="s">
        <v>124</v>
      </c>
      <c r="F634" s="20" t="n">
        <f>123</f>
        <v>123.0</v>
      </c>
      <c r="G634" s="21" t="str">
        <f>"－"</f>
        <v>－</v>
      </c>
      <c r="H634" s="21"/>
      <c r="I634" s="21" t="str">
        <f>"－"</f>
        <v>－</v>
      </c>
      <c r="J634" s="21" t="str">
        <f>"－"</f>
        <v>－</v>
      </c>
      <c r="K634" s="21" t="str">
        <f>"－"</f>
        <v>－</v>
      </c>
      <c r="L634" s="4" t="s">
        <v>279</v>
      </c>
      <c r="M634" s="22" t="str">
        <f>"－"</f>
        <v>－</v>
      </c>
      <c r="N634" s="5" t="s">
        <v>279</v>
      </c>
      <c r="O634" s="23" t="str">
        <f>"－"</f>
        <v>－</v>
      </c>
      <c r="P634" s="3" t="s">
        <v>247</v>
      </c>
      <c r="Q634" s="21"/>
      <c r="R634" s="3" t="s">
        <v>247</v>
      </c>
      <c r="S634" s="21" t="str">
        <f>"－"</f>
        <v>－</v>
      </c>
      <c r="T634" s="21" t="str">
        <f>"－"</f>
        <v>－</v>
      </c>
      <c r="U634" s="5" t="s">
        <v>279</v>
      </c>
      <c r="V634" s="23" t="str">
        <f>"－"</f>
        <v>－</v>
      </c>
      <c r="W634" s="5" t="s">
        <v>279</v>
      </c>
      <c r="X634" s="23" t="str">
        <f>"－"</f>
        <v>－</v>
      </c>
      <c r="Y634" s="23"/>
      <c r="Z634" s="21" t="str">
        <f>"－"</f>
        <v>－</v>
      </c>
      <c r="AA634" s="21" t="str">
        <f>"－"</f>
        <v>－</v>
      </c>
      <c r="AB634" s="4" t="s">
        <v>279</v>
      </c>
      <c r="AC634" s="22" t="str">
        <f>"－"</f>
        <v>－</v>
      </c>
      <c r="AD634" s="5" t="s">
        <v>279</v>
      </c>
      <c r="AE634" s="23" t="str">
        <f>"－"</f>
        <v>－</v>
      </c>
    </row>
    <row r="635">
      <c r="A635" s="24" t="s">
        <v>1299</v>
      </c>
      <c r="B635" s="25" t="s">
        <v>1300</v>
      </c>
      <c r="C635" s="26"/>
      <c r="D635" s="27"/>
      <c r="E635" s="28" t="s">
        <v>127</v>
      </c>
      <c r="F635" s="20" t="n">
        <f>122</f>
        <v>122.0</v>
      </c>
      <c r="G635" s="21" t="str">
        <f>"－"</f>
        <v>－</v>
      </c>
      <c r="H635" s="21"/>
      <c r="I635" s="21" t="str">
        <f>"－"</f>
        <v>－</v>
      </c>
      <c r="J635" s="21" t="str">
        <f>"－"</f>
        <v>－</v>
      </c>
      <c r="K635" s="21" t="str">
        <f>"－"</f>
        <v>－</v>
      </c>
      <c r="L635" s="4" t="s">
        <v>335</v>
      </c>
      <c r="M635" s="22" t="str">
        <f>"－"</f>
        <v>－</v>
      </c>
      <c r="N635" s="5" t="s">
        <v>335</v>
      </c>
      <c r="O635" s="23" t="str">
        <f>"－"</f>
        <v>－</v>
      </c>
      <c r="P635" s="3" t="s">
        <v>247</v>
      </c>
      <c r="Q635" s="21"/>
      <c r="R635" s="3" t="s">
        <v>247</v>
      </c>
      <c r="S635" s="21" t="str">
        <f>"－"</f>
        <v>－</v>
      </c>
      <c r="T635" s="21" t="str">
        <f>"－"</f>
        <v>－</v>
      </c>
      <c r="U635" s="5" t="s">
        <v>335</v>
      </c>
      <c r="V635" s="23" t="str">
        <f>"－"</f>
        <v>－</v>
      </c>
      <c r="W635" s="5" t="s">
        <v>335</v>
      </c>
      <c r="X635" s="23" t="str">
        <f>"－"</f>
        <v>－</v>
      </c>
      <c r="Y635" s="23"/>
      <c r="Z635" s="21" t="str">
        <f>"－"</f>
        <v>－</v>
      </c>
      <c r="AA635" s="21" t="str">
        <f>"－"</f>
        <v>－</v>
      </c>
      <c r="AB635" s="4" t="s">
        <v>335</v>
      </c>
      <c r="AC635" s="22" t="str">
        <f>"－"</f>
        <v>－</v>
      </c>
      <c r="AD635" s="5" t="s">
        <v>335</v>
      </c>
      <c r="AE635" s="23" t="str">
        <f>"－"</f>
        <v>－</v>
      </c>
    </row>
    <row r="636">
      <c r="A636" s="24" t="s">
        <v>1299</v>
      </c>
      <c r="B636" s="25" t="s">
        <v>1300</v>
      </c>
      <c r="C636" s="26"/>
      <c r="D636" s="27"/>
      <c r="E636" s="28" t="s">
        <v>133</v>
      </c>
      <c r="F636" s="20" t="n">
        <f>122</f>
        <v>122.0</v>
      </c>
      <c r="G636" s="21" t="str">
        <f>"－"</f>
        <v>－</v>
      </c>
      <c r="H636" s="21"/>
      <c r="I636" s="21" t="str">
        <f>"－"</f>
        <v>－</v>
      </c>
      <c r="J636" s="21" t="str">
        <f>"－"</f>
        <v>－</v>
      </c>
      <c r="K636" s="21" t="str">
        <f>"－"</f>
        <v>－</v>
      </c>
      <c r="L636" s="4" t="s">
        <v>279</v>
      </c>
      <c r="M636" s="22" t="str">
        <f>"－"</f>
        <v>－</v>
      </c>
      <c r="N636" s="5" t="s">
        <v>279</v>
      </c>
      <c r="O636" s="23" t="str">
        <f>"－"</f>
        <v>－</v>
      </c>
      <c r="P636" s="3" t="s">
        <v>247</v>
      </c>
      <c r="Q636" s="21"/>
      <c r="R636" s="3" t="s">
        <v>247</v>
      </c>
      <c r="S636" s="21" t="str">
        <f>"－"</f>
        <v>－</v>
      </c>
      <c r="T636" s="21" t="str">
        <f>"－"</f>
        <v>－</v>
      </c>
      <c r="U636" s="5" t="s">
        <v>279</v>
      </c>
      <c r="V636" s="23" t="str">
        <f>"－"</f>
        <v>－</v>
      </c>
      <c r="W636" s="5" t="s">
        <v>279</v>
      </c>
      <c r="X636" s="23" t="str">
        <f>"－"</f>
        <v>－</v>
      </c>
      <c r="Y636" s="23"/>
      <c r="Z636" s="21" t="str">
        <f>"－"</f>
        <v>－</v>
      </c>
      <c r="AA636" s="21" t="str">
        <f>"－"</f>
        <v>－</v>
      </c>
      <c r="AB636" s="4" t="s">
        <v>279</v>
      </c>
      <c r="AC636" s="22" t="str">
        <f>"－"</f>
        <v>－</v>
      </c>
      <c r="AD636" s="5" t="s">
        <v>279</v>
      </c>
      <c r="AE636" s="23" t="str">
        <f>"－"</f>
        <v>－</v>
      </c>
    </row>
    <row r="637">
      <c r="A637" s="24" t="s">
        <v>1299</v>
      </c>
      <c r="B637" s="25" t="s">
        <v>1300</v>
      </c>
      <c r="C637" s="26"/>
      <c r="D637" s="27"/>
      <c r="E637" s="28" t="s">
        <v>139</v>
      </c>
      <c r="F637" s="20" t="n">
        <f>123</f>
        <v>123.0</v>
      </c>
      <c r="G637" s="21" t="n">
        <f>72</f>
        <v>72.0</v>
      </c>
      <c r="H637" s="21"/>
      <c r="I637" s="21" t="n">
        <f>3</f>
        <v>3.0</v>
      </c>
      <c r="J637" s="21" t="n">
        <f>1</f>
        <v>1.0</v>
      </c>
      <c r="K637" s="21" t="n">
        <f>0</f>
        <v>0.0</v>
      </c>
      <c r="L637" s="4" t="s">
        <v>784</v>
      </c>
      <c r="M637" s="22" t="n">
        <f>13</f>
        <v>13.0</v>
      </c>
      <c r="N637" s="5" t="s">
        <v>335</v>
      </c>
      <c r="O637" s="23" t="str">
        <f>"－"</f>
        <v>－</v>
      </c>
      <c r="P637" s="3" t="s">
        <v>1342</v>
      </c>
      <c r="Q637" s="21"/>
      <c r="R637" s="3" t="s">
        <v>1343</v>
      </c>
      <c r="S637" s="21" t="n">
        <f>8799772</f>
        <v>8799772.0</v>
      </c>
      <c r="T637" s="21" t="n">
        <f>364878</f>
        <v>364878.0</v>
      </c>
      <c r="U637" s="5" t="s">
        <v>784</v>
      </c>
      <c r="V637" s="23" t="n">
        <f>195128000</f>
        <v>1.95128E8</v>
      </c>
      <c r="W637" s="5" t="s">
        <v>335</v>
      </c>
      <c r="X637" s="23" t="str">
        <f>"－"</f>
        <v>－</v>
      </c>
      <c r="Y637" s="23"/>
      <c r="Z637" s="21" t="n">
        <f>6</f>
        <v>6.0</v>
      </c>
      <c r="AA637" s="21" t="str">
        <f>"－"</f>
        <v>－</v>
      </c>
      <c r="AB637" s="4" t="s">
        <v>881</v>
      </c>
      <c r="AC637" s="22" t="n">
        <f>15</f>
        <v>15.0</v>
      </c>
      <c r="AD637" s="5" t="s">
        <v>335</v>
      </c>
      <c r="AE637" s="23" t="str">
        <f>"－"</f>
        <v>－</v>
      </c>
    </row>
    <row r="638">
      <c r="A638" s="24" t="s">
        <v>1299</v>
      </c>
      <c r="B638" s="25" t="s">
        <v>1300</v>
      </c>
      <c r="C638" s="26"/>
      <c r="D638" s="27"/>
      <c r="E638" s="28" t="s">
        <v>145</v>
      </c>
      <c r="F638" s="20" t="n">
        <f>122</f>
        <v>122.0</v>
      </c>
      <c r="G638" s="21" t="str">
        <f>"－"</f>
        <v>－</v>
      </c>
      <c r="H638" s="21"/>
      <c r="I638" s="21" t="str">
        <f>"－"</f>
        <v>－</v>
      </c>
      <c r="J638" s="21" t="str">
        <f>"－"</f>
        <v>－</v>
      </c>
      <c r="K638" s="21" t="str">
        <f>"－"</f>
        <v>－</v>
      </c>
      <c r="L638" s="4" t="s">
        <v>82</v>
      </c>
      <c r="M638" s="22" t="str">
        <f>"－"</f>
        <v>－</v>
      </c>
      <c r="N638" s="5" t="s">
        <v>82</v>
      </c>
      <c r="O638" s="23" t="str">
        <f>"－"</f>
        <v>－</v>
      </c>
      <c r="P638" s="3" t="s">
        <v>247</v>
      </c>
      <c r="Q638" s="21"/>
      <c r="R638" s="3" t="s">
        <v>247</v>
      </c>
      <c r="S638" s="21" t="str">
        <f>"－"</f>
        <v>－</v>
      </c>
      <c r="T638" s="21" t="str">
        <f>"－"</f>
        <v>－</v>
      </c>
      <c r="U638" s="5" t="s">
        <v>82</v>
      </c>
      <c r="V638" s="23" t="str">
        <f>"－"</f>
        <v>－</v>
      </c>
      <c r="W638" s="5" t="s">
        <v>82</v>
      </c>
      <c r="X638" s="23" t="str">
        <f>"－"</f>
        <v>－</v>
      </c>
      <c r="Y638" s="23"/>
      <c r="Z638" s="21" t="str">
        <f>"－"</f>
        <v>－</v>
      </c>
      <c r="AA638" s="21" t="str">
        <f>"－"</f>
        <v>－</v>
      </c>
      <c r="AB638" s="4" t="s">
        <v>82</v>
      </c>
      <c r="AC638" s="22" t="str">
        <f>"－"</f>
        <v>－</v>
      </c>
      <c r="AD638" s="5" t="s">
        <v>82</v>
      </c>
      <c r="AE638" s="23" t="str">
        <f>"－"</f>
        <v>－</v>
      </c>
    </row>
    <row r="639">
      <c r="A639" s="24" t="s">
        <v>1299</v>
      </c>
      <c r="B639" s="25" t="s">
        <v>1300</v>
      </c>
      <c r="C639" s="26"/>
      <c r="D639" s="27"/>
      <c r="E639" s="28" t="s">
        <v>150</v>
      </c>
      <c r="F639" s="20" t="n">
        <f>124</f>
        <v>124.0</v>
      </c>
      <c r="G639" s="21" t="str">
        <f>"－"</f>
        <v>－</v>
      </c>
      <c r="H639" s="21"/>
      <c r="I639" s="21" t="str">
        <f>"－"</f>
        <v>－</v>
      </c>
      <c r="J639" s="21" t="str">
        <f>"－"</f>
        <v>－</v>
      </c>
      <c r="K639" s="21" t="str">
        <f>"－"</f>
        <v>－</v>
      </c>
      <c r="L639" s="4" t="s">
        <v>666</v>
      </c>
      <c r="M639" s="22" t="str">
        <f>"－"</f>
        <v>－</v>
      </c>
      <c r="N639" s="5" t="s">
        <v>666</v>
      </c>
      <c r="O639" s="23" t="str">
        <f>"－"</f>
        <v>－</v>
      </c>
      <c r="P639" s="3" t="s">
        <v>247</v>
      </c>
      <c r="Q639" s="21"/>
      <c r="R639" s="3" t="s">
        <v>247</v>
      </c>
      <c r="S639" s="21" t="str">
        <f>"－"</f>
        <v>－</v>
      </c>
      <c r="T639" s="21" t="str">
        <f>"－"</f>
        <v>－</v>
      </c>
      <c r="U639" s="5" t="s">
        <v>666</v>
      </c>
      <c r="V639" s="23" t="str">
        <f>"－"</f>
        <v>－</v>
      </c>
      <c r="W639" s="5" t="s">
        <v>666</v>
      </c>
      <c r="X639" s="23" t="str">
        <f>"－"</f>
        <v>－</v>
      </c>
      <c r="Y639" s="23"/>
      <c r="Z639" s="21" t="str">
        <f>"－"</f>
        <v>－</v>
      </c>
      <c r="AA639" s="21" t="str">
        <f>"－"</f>
        <v>－</v>
      </c>
      <c r="AB639" s="4" t="s">
        <v>666</v>
      </c>
      <c r="AC639" s="22" t="str">
        <f>"－"</f>
        <v>－</v>
      </c>
      <c r="AD639" s="5" t="s">
        <v>666</v>
      </c>
      <c r="AE639" s="23" t="str">
        <f>"－"</f>
        <v>－</v>
      </c>
    </row>
    <row r="640">
      <c r="A640" s="24" t="s">
        <v>1299</v>
      </c>
      <c r="B640" s="25" t="s">
        <v>1300</v>
      </c>
      <c r="C640" s="26"/>
      <c r="D640" s="27"/>
      <c r="E640" s="28" t="s">
        <v>154</v>
      </c>
      <c r="F640" s="20" t="n">
        <f>120</f>
        <v>120.0</v>
      </c>
      <c r="G640" s="21" t="str">
        <f>"－"</f>
        <v>－</v>
      </c>
      <c r="H640" s="21"/>
      <c r="I640" s="21" t="str">
        <f>"－"</f>
        <v>－</v>
      </c>
      <c r="J640" s="21" t="str">
        <f>"－"</f>
        <v>－</v>
      </c>
      <c r="K640" s="21" t="str">
        <f>"－"</f>
        <v>－</v>
      </c>
      <c r="L640" s="4" t="s">
        <v>268</v>
      </c>
      <c r="M640" s="22" t="str">
        <f>"－"</f>
        <v>－</v>
      </c>
      <c r="N640" s="5" t="s">
        <v>268</v>
      </c>
      <c r="O640" s="23" t="str">
        <f>"－"</f>
        <v>－</v>
      </c>
      <c r="P640" s="3" t="s">
        <v>247</v>
      </c>
      <c r="Q640" s="21"/>
      <c r="R640" s="3" t="s">
        <v>247</v>
      </c>
      <c r="S640" s="21" t="str">
        <f>"－"</f>
        <v>－</v>
      </c>
      <c r="T640" s="21" t="str">
        <f>"－"</f>
        <v>－</v>
      </c>
      <c r="U640" s="5" t="s">
        <v>268</v>
      </c>
      <c r="V640" s="23" t="str">
        <f>"－"</f>
        <v>－</v>
      </c>
      <c r="W640" s="5" t="s">
        <v>268</v>
      </c>
      <c r="X640" s="23" t="str">
        <f>"－"</f>
        <v>－</v>
      </c>
      <c r="Y640" s="23"/>
      <c r="Z640" s="21" t="str">
        <f>"－"</f>
        <v>－</v>
      </c>
      <c r="AA640" s="21" t="str">
        <f>"－"</f>
        <v>－</v>
      </c>
      <c r="AB640" s="4" t="s">
        <v>268</v>
      </c>
      <c r="AC640" s="22" t="str">
        <f>"－"</f>
        <v>－</v>
      </c>
      <c r="AD640" s="5" t="s">
        <v>268</v>
      </c>
      <c r="AE640" s="23" t="str">
        <f>"－"</f>
        <v>－</v>
      </c>
    </row>
    <row r="641">
      <c r="A641" s="24" t="s">
        <v>1344</v>
      </c>
      <c r="B641" s="25" t="s">
        <v>1345</v>
      </c>
      <c r="C641" s="26"/>
      <c r="D641" s="27"/>
      <c r="E641" s="28" t="s">
        <v>150</v>
      </c>
      <c r="F641" s="20" t="n">
        <f>87</f>
        <v>87.0</v>
      </c>
      <c r="G641" s="21" t="n">
        <f>158769</f>
        <v>158769.0</v>
      </c>
      <c r="H641" s="21"/>
      <c r="I641" s="21" t="n">
        <f>4</f>
        <v>4.0</v>
      </c>
      <c r="J641" s="21" t="n">
        <f>1825</f>
        <v>1825.0</v>
      </c>
      <c r="K641" s="21" t="n">
        <f>0</f>
        <v>0.0</v>
      </c>
      <c r="L641" s="4" t="s">
        <v>76</v>
      </c>
      <c r="M641" s="22" t="n">
        <f>7558</f>
        <v>7558.0</v>
      </c>
      <c r="N641" s="5" t="s">
        <v>631</v>
      </c>
      <c r="O641" s="23" t="n">
        <f>4</f>
        <v>4.0</v>
      </c>
      <c r="P641" s="3" t="s">
        <v>1346</v>
      </c>
      <c r="Q641" s="21"/>
      <c r="R641" s="3" t="s">
        <v>1347</v>
      </c>
      <c r="S641" s="21" t="n">
        <f>45620314919</f>
        <v>4.5620314919E10</v>
      </c>
      <c r="T641" s="21" t="n">
        <f>1149523</f>
        <v>1149523.0</v>
      </c>
      <c r="U641" s="5" t="s">
        <v>76</v>
      </c>
      <c r="V641" s="23" t="n">
        <f>188928931250</f>
        <v>1.8892893125E11</v>
      </c>
      <c r="W641" s="5" t="s">
        <v>631</v>
      </c>
      <c r="X641" s="23" t="n">
        <f>99898750</f>
        <v>9.989875E7</v>
      </c>
      <c r="Y641" s="23"/>
      <c r="Z641" s="21" t="n">
        <f>13883</f>
        <v>13883.0</v>
      </c>
      <c r="AA641" s="21" t="n">
        <f>16642</f>
        <v>16642.0</v>
      </c>
      <c r="AB641" s="4" t="s">
        <v>750</v>
      </c>
      <c r="AC641" s="22" t="n">
        <f>20414</f>
        <v>20414.0</v>
      </c>
      <c r="AD641" s="5" t="s">
        <v>238</v>
      </c>
      <c r="AE641" s="23" t="n">
        <f>2694</f>
        <v>2694.0</v>
      </c>
    </row>
    <row r="642">
      <c r="A642" s="24" t="s">
        <v>1344</v>
      </c>
      <c r="B642" s="25" t="s">
        <v>1345</v>
      </c>
      <c r="C642" s="26"/>
      <c r="D642" s="27"/>
      <c r="E642" s="28" t="s">
        <v>154</v>
      </c>
      <c r="F642" s="20" t="n">
        <f>120</f>
        <v>120.0</v>
      </c>
      <c r="G642" s="21" t="n">
        <f>492355</f>
        <v>492355.0</v>
      </c>
      <c r="H642" s="21"/>
      <c r="I642" s="21" t="n">
        <f>2258</f>
        <v>2258.0</v>
      </c>
      <c r="J642" s="21" t="n">
        <f>4103</f>
        <v>4103.0</v>
      </c>
      <c r="K642" s="21" t="n">
        <f>19</f>
        <v>19.0</v>
      </c>
      <c r="L642" s="4" t="s">
        <v>90</v>
      </c>
      <c r="M642" s="22" t="n">
        <f>18461</f>
        <v>18461.0</v>
      </c>
      <c r="N642" s="5" t="s">
        <v>113</v>
      </c>
      <c r="O642" s="23" t="str">
        <f>"－"</f>
        <v>－</v>
      </c>
      <c r="P642" s="3" t="s">
        <v>1348</v>
      </c>
      <c r="Q642" s="21"/>
      <c r="R642" s="3" t="s">
        <v>1349</v>
      </c>
      <c r="S642" s="21" t="n">
        <f>102433459740</f>
        <v>1.0243345974E11</v>
      </c>
      <c r="T642" s="21" t="n">
        <f>469829349</f>
        <v>4.69829349E8</v>
      </c>
      <c r="U642" s="5" t="s">
        <v>90</v>
      </c>
      <c r="V642" s="23" t="n">
        <f>460767715350</f>
        <v>4.6076771535E11</v>
      </c>
      <c r="W642" s="5" t="s">
        <v>113</v>
      </c>
      <c r="X642" s="23" t="str">
        <f>"－"</f>
        <v>－</v>
      </c>
      <c r="Y642" s="23"/>
      <c r="Z642" s="21" t="n">
        <f>10498</f>
        <v>10498.0</v>
      </c>
      <c r="AA642" s="21" t="n">
        <f>18500</f>
        <v>18500.0</v>
      </c>
      <c r="AB642" s="4" t="s">
        <v>586</v>
      </c>
      <c r="AC642" s="22" t="n">
        <f>26382</f>
        <v>26382.0</v>
      </c>
      <c r="AD642" s="5" t="s">
        <v>65</v>
      </c>
      <c r="AE642" s="23" t="n">
        <f>15167</f>
        <v>15167.0</v>
      </c>
    </row>
    <row r="643">
      <c r="A643" s="24" t="s">
        <v>1350</v>
      </c>
      <c r="B643" s="25" t="s">
        <v>1351</v>
      </c>
      <c r="C643" s="26"/>
      <c r="D643" s="27"/>
      <c r="E643" s="28" t="s">
        <v>118</v>
      </c>
      <c r="F643" s="20" t="n">
        <f>45</f>
        <v>45.0</v>
      </c>
      <c r="G643" s="21" t="n">
        <f>1771228</f>
        <v>1771228.0</v>
      </c>
      <c r="H643" s="21"/>
      <c r="I643" s="21" t="n">
        <f>2382</f>
        <v>2382.0</v>
      </c>
      <c r="J643" s="21" t="n">
        <f>39361</f>
        <v>39361.0</v>
      </c>
      <c r="K643" s="21" t="n">
        <f>53</f>
        <v>53.0</v>
      </c>
      <c r="L643" s="4" t="s">
        <v>312</v>
      </c>
      <c r="M643" s="22" t="n">
        <f>134115</f>
        <v>134115.0</v>
      </c>
      <c r="N643" s="5" t="s">
        <v>183</v>
      </c>
      <c r="O643" s="23" t="n">
        <f>15558</f>
        <v>15558.0</v>
      </c>
      <c r="P643" s="3" t="s">
        <v>1352</v>
      </c>
      <c r="Q643" s="21"/>
      <c r="R643" s="3" t="s">
        <v>1353</v>
      </c>
      <c r="S643" s="21" t="n">
        <f>261556479800</f>
        <v>2.615564798E11</v>
      </c>
      <c r="T643" s="21" t="n">
        <f>338467667</f>
        <v>3.38467667E8</v>
      </c>
      <c r="U643" s="5" t="s">
        <v>312</v>
      </c>
      <c r="V643" s="23" t="n">
        <f>887417994000</f>
        <v>8.87417994E11</v>
      </c>
      <c r="W643" s="5" t="s">
        <v>183</v>
      </c>
      <c r="X643" s="23" t="n">
        <f>102634118000</f>
        <v>1.02634118E11</v>
      </c>
      <c r="Y643" s="23"/>
      <c r="Z643" s="21" t="str">
        <f>"－"</f>
        <v>－</v>
      </c>
      <c r="AA643" s="21" t="n">
        <f>53987</f>
        <v>53987.0</v>
      </c>
      <c r="AB643" s="4" t="s">
        <v>1354</v>
      </c>
      <c r="AC643" s="22" t="n">
        <f>55385</f>
        <v>55385.0</v>
      </c>
      <c r="AD643" s="5" t="s">
        <v>282</v>
      </c>
      <c r="AE643" s="23" t="n">
        <f>43437</f>
        <v>43437.0</v>
      </c>
    </row>
    <row r="644">
      <c r="A644" s="24" t="s">
        <v>1350</v>
      </c>
      <c r="B644" s="25" t="s">
        <v>1351</v>
      </c>
      <c r="C644" s="26"/>
      <c r="D644" s="27"/>
      <c r="E644" s="28" t="s">
        <v>124</v>
      </c>
      <c r="F644" s="20" t="n">
        <f>123</f>
        <v>123.0</v>
      </c>
      <c r="G644" s="21" t="n">
        <f>3518039</f>
        <v>3518039.0</v>
      </c>
      <c r="H644" s="21"/>
      <c r="I644" s="21" t="n">
        <f>580</f>
        <v>580.0</v>
      </c>
      <c r="J644" s="21" t="n">
        <f>28602</f>
        <v>28602.0</v>
      </c>
      <c r="K644" s="21" t="n">
        <f>5</f>
        <v>5.0</v>
      </c>
      <c r="L644" s="4" t="s">
        <v>208</v>
      </c>
      <c r="M644" s="22" t="n">
        <f>110572</f>
        <v>110572.0</v>
      </c>
      <c r="N644" s="5" t="s">
        <v>113</v>
      </c>
      <c r="O644" s="23" t="n">
        <f>9162</f>
        <v>9162.0</v>
      </c>
      <c r="P644" s="3" t="s">
        <v>1355</v>
      </c>
      <c r="Q644" s="21"/>
      <c r="R644" s="3" t="s">
        <v>1356</v>
      </c>
      <c r="S644" s="21" t="n">
        <f>178121046081</f>
        <v>1.78121046081E11</v>
      </c>
      <c r="T644" s="21" t="n">
        <f>29551033</f>
        <v>2.9551033E7</v>
      </c>
      <c r="U644" s="5" t="s">
        <v>208</v>
      </c>
      <c r="V644" s="23" t="n">
        <f>707778570000</f>
        <v>7.0777857E11</v>
      </c>
      <c r="W644" s="5" t="s">
        <v>113</v>
      </c>
      <c r="X644" s="23" t="n">
        <f>57443408000</f>
        <v>5.7443408E10</v>
      </c>
      <c r="Y644" s="23"/>
      <c r="Z644" s="21" t="n">
        <f>1173</f>
        <v>1173.0</v>
      </c>
      <c r="AA644" s="21" t="n">
        <f>49457</f>
        <v>49457.0</v>
      </c>
      <c r="AB644" s="4" t="s">
        <v>352</v>
      </c>
      <c r="AC644" s="22" t="n">
        <f>59942</f>
        <v>59942.0</v>
      </c>
      <c r="AD644" s="5" t="s">
        <v>300</v>
      </c>
      <c r="AE644" s="23" t="n">
        <f>46266</f>
        <v>46266.0</v>
      </c>
    </row>
    <row r="645">
      <c r="A645" s="24" t="s">
        <v>1350</v>
      </c>
      <c r="B645" s="25" t="s">
        <v>1351</v>
      </c>
      <c r="C645" s="26"/>
      <c r="D645" s="27"/>
      <c r="E645" s="28" t="s">
        <v>127</v>
      </c>
      <c r="F645" s="20" t="n">
        <f>122</f>
        <v>122.0</v>
      </c>
      <c r="G645" s="21" t="n">
        <f>2757264</f>
        <v>2757264.0</v>
      </c>
      <c r="H645" s="21"/>
      <c r="I645" s="21" t="n">
        <f>210</f>
        <v>210.0</v>
      </c>
      <c r="J645" s="21" t="n">
        <f>22601</f>
        <v>22601.0</v>
      </c>
      <c r="K645" s="21" t="n">
        <f>2</f>
        <v>2.0</v>
      </c>
      <c r="L645" s="4" t="s">
        <v>1162</v>
      </c>
      <c r="M645" s="22" t="n">
        <f>58118</f>
        <v>58118.0</v>
      </c>
      <c r="N645" s="5" t="s">
        <v>254</v>
      </c>
      <c r="O645" s="23" t="n">
        <f>5466</f>
        <v>5466.0</v>
      </c>
      <c r="P645" s="3" t="s">
        <v>1357</v>
      </c>
      <c r="Q645" s="21"/>
      <c r="R645" s="3" t="s">
        <v>1358</v>
      </c>
      <c r="S645" s="21" t="n">
        <f>143945274107</f>
        <v>1.43945274107E11</v>
      </c>
      <c r="T645" s="21" t="n">
        <f>10914574</f>
        <v>1.0914574E7</v>
      </c>
      <c r="U645" s="5" t="s">
        <v>1162</v>
      </c>
      <c r="V645" s="23" t="n">
        <f>368567105000</f>
        <v>3.68567105E11</v>
      </c>
      <c r="W645" s="5" t="s">
        <v>254</v>
      </c>
      <c r="X645" s="23" t="n">
        <f>33931210000</f>
        <v>3.393121E10</v>
      </c>
      <c r="Y645" s="23"/>
      <c r="Z645" s="21" t="n">
        <f>808</f>
        <v>808.0</v>
      </c>
      <c r="AA645" s="21" t="n">
        <f>45318</f>
        <v>45318.0</v>
      </c>
      <c r="AB645" s="4" t="s">
        <v>111</v>
      </c>
      <c r="AC645" s="22" t="n">
        <f>52077</f>
        <v>52077.0</v>
      </c>
      <c r="AD645" s="5" t="s">
        <v>163</v>
      </c>
      <c r="AE645" s="23" t="n">
        <f>42520</f>
        <v>42520.0</v>
      </c>
    </row>
    <row r="646">
      <c r="A646" s="24" t="s">
        <v>1350</v>
      </c>
      <c r="B646" s="25" t="s">
        <v>1351</v>
      </c>
      <c r="C646" s="26"/>
      <c r="D646" s="27"/>
      <c r="E646" s="28" t="s">
        <v>133</v>
      </c>
      <c r="F646" s="20" t="n">
        <f>122</f>
        <v>122.0</v>
      </c>
      <c r="G646" s="21" t="n">
        <f>3914975</f>
        <v>3914975.0</v>
      </c>
      <c r="H646" s="21"/>
      <c r="I646" s="21" t="n">
        <f>594</f>
        <v>594.0</v>
      </c>
      <c r="J646" s="21" t="n">
        <f>32090</f>
        <v>32090.0</v>
      </c>
      <c r="K646" s="21" t="n">
        <f>5</f>
        <v>5.0</v>
      </c>
      <c r="L646" s="4" t="s">
        <v>68</v>
      </c>
      <c r="M646" s="22" t="n">
        <f>132967</f>
        <v>132967.0</v>
      </c>
      <c r="N646" s="5" t="s">
        <v>134</v>
      </c>
      <c r="O646" s="23" t="n">
        <f>9627</f>
        <v>9627.0</v>
      </c>
      <c r="P646" s="3" t="s">
        <v>1359</v>
      </c>
      <c r="Q646" s="21"/>
      <c r="R646" s="3" t="s">
        <v>1360</v>
      </c>
      <c r="S646" s="21" t="n">
        <f>221210215918</f>
        <v>2.21210215918E11</v>
      </c>
      <c r="T646" s="21" t="n">
        <f>32692549</f>
        <v>3.2692549E7</v>
      </c>
      <c r="U646" s="5" t="s">
        <v>68</v>
      </c>
      <c r="V646" s="23" t="n">
        <f>1004823275000</f>
        <v>1.004823275E12</v>
      </c>
      <c r="W646" s="5" t="s">
        <v>134</v>
      </c>
      <c r="X646" s="23" t="n">
        <f>63941267000</f>
        <v>6.3941267E10</v>
      </c>
      <c r="Y646" s="23"/>
      <c r="Z646" s="21" t="n">
        <f>596</f>
        <v>596.0</v>
      </c>
      <c r="AA646" s="21" t="n">
        <f>38461</f>
        <v>38461.0</v>
      </c>
      <c r="AB646" s="4" t="s">
        <v>221</v>
      </c>
      <c r="AC646" s="22" t="n">
        <f>53454</f>
        <v>53454.0</v>
      </c>
      <c r="AD646" s="5" t="s">
        <v>55</v>
      </c>
      <c r="AE646" s="23" t="n">
        <f>37680</f>
        <v>37680.0</v>
      </c>
    </row>
    <row r="647">
      <c r="A647" s="24" t="s">
        <v>1350</v>
      </c>
      <c r="B647" s="25" t="s">
        <v>1351</v>
      </c>
      <c r="C647" s="26"/>
      <c r="D647" s="27"/>
      <c r="E647" s="28" t="s">
        <v>139</v>
      </c>
      <c r="F647" s="20" t="n">
        <f>123</f>
        <v>123.0</v>
      </c>
      <c r="G647" s="21" t="n">
        <f>3469350</f>
        <v>3469350.0</v>
      </c>
      <c r="H647" s="21"/>
      <c r="I647" s="21" t="n">
        <f>219</f>
        <v>219.0</v>
      </c>
      <c r="J647" s="21" t="n">
        <f>28206</f>
        <v>28206.0</v>
      </c>
      <c r="K647" s="21" t="n">
        <f>2</f>
        <v>2.0</v>
      </c>
      <c r="L647" s="4" t="s">
        <v>631</v>
      </c>
      <c r="M647" s="22" t="n">
        <f>84913</f>
        <v>84913.0</v>
      </c>
      <c r="N647" s="5" t="s">
        <v>254</v>
      </c>
      <c r="O647" s="23" t="n">
        <f>12924</f>
        <v>12924.0</v>
      </c>
      <c r="P647" s="3" t="s">
        <v>1361</v>
      </c>
      <c r="Q647" s="21"/>
      <c r="R647" s="3" t="s">
        <v>1362</v>
      </c>
      <c r="S647" s="21" t="n">
        <f>217940893301</f>
        <v>2.17940893301E11</v>
      </c>
      <c r="T647" s="21" t="n">
        <f>13701098</f>
        <v>1.3701098E7</v>
      </c>
      <c r="U647" s="5" t="s">
        <v>631</v>
      </c>
      <c r="V647" s="23" t="n">
        <f>645373108000</f>
        <v>6.45373108E11</v>
      </c>
      <c r="W647" s="5" t="s">
        <v>254</v>
      </c>
      <c r="X647" s="23" t="n">
        <f>99112005000</f>
        <v>9.9112005E10</v>
      </c>
      <c r="Y647" s="23"/>
      <c r="Z647" s="21" t="n">
        <f>4</f>
        <v>4.0</v>
      </c>
      <c r="AA647" s="21" t="n">
        <f>41032</f>
        <v>41032.0</v>
      </c>
      <c r="AB647" s="4" t="s">
        <v>1123</v>
      </c>
      <c r="AC647" s="22" t="n">
        <f>45314</f>
        <v>45314.0</v>
      </c>
      <c r="AD647" s="5" t="s">
        <v>183</v>
      </c>
      <c r="AE647" s="23" t="n">
        <f>35487</f>
        <v>35487.0</v>
      </c>
    </row>
    <row r="648">
      <c r="A648" s="24" t="s">
        <v>1350</v>
      </c>
      <c r="B648" s="25" t="s">
        <v>1351</v>
      </c>
      <c r="C648" s="26"/>
      <c r="D648" s="27"/>
      <c r="E648" s="28" t="s">
        <v>145</v>
      </c>
      <c r="F648" s="20" t="n">
        <f>122</f>
        <v>122.0</v>
      </c>
      <c r="G648" s="21" t="n">
        <f>3539280</f>
        <v>3539280.0</v>
      </c>
      <c r="H648" s="21"/>
      <c r="I648" s="21" t="n">
        <f>662</f>
        <v>662.0</v>
      </c>
      <c r="J648" s="21" t="n">
        <f>29010</f>
        <v>29010.0</v>
      </c>
      <c r="K648" s="21" t="n">
        <f>5</f>
        <v>5.0</v>
      </c>
      <c r="L648" s="4" t="s">
        <v>382</v>
      </c>
      <c r="M648" s="22" t="n">
        <f>86372</f>
        <v>86372.0</v>
      </c>
      <c r="N648" s="5" t="s">
        <v>134</v>
      </c>
      <c r="O648" s="23" t="n">
        <f>10209</f>
        <v>10209.0</v>
      </c>
      <c r="P648" s="3" t="s">
        <v>1363</v>
      </c>
      <c r="Q648" s="21"/>
      <c r="R648" s="3" t="s">
        <v>1364</v>
      </c>
      <c r="S648" s="21" t="n">
        <f>230331584656</f>
        <v>2.30331584656E11</v>
      </c>
      <c r="T648" s="21" t="n">
        <f>42791320</f>
        <v>4.279132E7</v>
      </c>
      <c r="U648" s="5" t="s">
        <v>382</v>
      </c>
      <c r="V648" s="23" t="n">
        <f>678364997000</f>
        <v>6.78364997E11</v>
      </c>
      <c r="W648" s="5" t="s">
        <v>134</v>
      </c>
      <c r="X648" s="23" t="n">
        <f>78623270000</f>
        <v>7.862327E10</v>
      </c>
      <c r="Y648" s="23"/>
      <c r="Z648" s="21" t="str">
        <f>"－"</f>
        <v>－</v>
      </c>
      <c r="AA648" s="21" t="n">
        <f>36050</f>
        <v>36050.0</v>
      </c>
      <c r="AB648" s="4" t="s">
        <v>149</v>
      </c>
      <c r="AC648" s="22" t="n">
        <f>57426</f>
        <v>57426.0</v>
      </c>
      <c r="AD648" s="5" t="s">
        <v>603</v>
      </c>
      <c r="AE648" s="23" t="n">
        <f>34142</f>
        <v>34142.0</v>
      </c>
    </row>
    <row r="649">
      <c r="A649" s="24" t="s">
        <v>1350</v>
      </c>
      <c r="B649" s="25" t="s">
        <v>1351</v>
      </c>
      <c r="C649" s="26"/>
      <c r="D649" s="27"/>
      <c r="E649" s="28" t="s">
        <v>150</v>
      </c>
      <c r="F649" s="20" t="n">
        <f>124</f>
        <v>124.0</v>
      </c>
      <c r="G649" s="21" t="n">
        <f>3659804</f>
        <v>3659804.0</v>
      </c>
      <c r="H649" s="21"/>
      <c r="I649" s="21" t="n">
        <f>359</f>
        <v>359.0</v>
      </c>
      <c r="J649" s="21" t="n">
        <f>29515</f>
        <v>29515.0</v>
      </c>
      <c r="K649" s="21" t="n">
        <f>3</f>
        <v>3.0</v>
      </c>
      <c r="L649" s="4" t="s">
        <v>227</v>
      </c>
      <c r="M649" s="22" t="n">
        <f>101641</f>
        <v>101641.0</v>
      </c>
      <c r="N649" s="5" t="s">
        <v>151</v>
      </c>
      <c r="O649" s="23" t="n">
        <f>10317</f>
        <v>10317.0</v>
      </c>
      <c r="P649" s="3" t="s">
        <v>1365</v>
      </c>
      <c r="Q649" s="21"/>
      <c r="R649" s="3" t="s">
        <v>1366</v>
      </c>
      <c r="S649" s="21" t="n">
        <f>260128057226</f>
        <v>2.60128057226E11</v>
      </c>
      <c r="T649" s="21" t="n">
        <f>25441879</f>
        <v>2.5441879E7</v>
      </c>
      <c r="U649" s="5" t="s">
        <v>227</v>
      </c>
      <c r="V649" s="23" t="n">
        <f>892654798000</f>
        <v>8.92654798E11</v>
      </c>
      <c r="W649" s="5" t="s">
        <v>151</v>
      </c>
      <c r="X649" s="23" t="n">
        <f>87647988000</f>
        <v>8.7647988E10</v>
      </c>
      <c r="Y649" s="23"/>
      <c r="Z649" s="21" t="n">
        <f>11250</f>
        <v>11250.0</v>
      </c>
      <c r="AA649" s="21" t="n">
        <f>55159</f>
        <v>55159.0</v>
      </c>
      <c r="AB649" s="4" t="s">
        <v>927</v>
      </c>
      <c r="AC649" s="22" t="n">
        <f>55159</f>
        <v>55159.0</v>
      </c>
      <c r="AD649" s="5" t="s">
        <v>751</v>
      </c>
      <c r="AE649" s="23" t="n">
        <f>36044</f>
        <v>36044.0</v>
      </c>
    </row>
    <row r="650">
      <c r="A650" s="24" t="s">
        <v>1350</v>
      </c>
      <c r="B650" s="25" t="s">
        <v>1351</v>
      </c>
      <c r="C650" s="26"/>
      <c r="D650" s="27"/>
      <c r="E650" s="28" t="s">
        <v>154</v>
      </c>
      <c r="F650" s="20" t="n">
        <f>120</f>
        <v>120.0</v>
      </c>
      <c r="G650" s="21" t="n">
        <f>4455776</f>
        <v>4455776.0</v>
      </c>
      <c r="H650" s="21"/>
      <c r="I650" s="21" t="n">
        <f>921</f>
        <v>921.0</v>
      </c>
      <c r="J650" s="21" t="n">
        <f>37131</f>
        <v>37131.0</v>
      </c>
      <c r="K650" s="21" t="n">
        <f>8</f>
        <v>8.0</v>
      </c>
      <c r="L650" s="4" t="s">
        <v>234</v>
      </c>
      <c r="M650" s="22" t="n">
        <f>100327</f>
        <v>100327.0</v>
      </c>
      <c r="N650" s="5" t="s">
        <v>50</v>
      </c>
      <c r="O650" s="23" t="n">
        <f>12910</f>
        <v>12910.0</v>
      </c>
      <c r="P650" s="3" t="s">
        <v>1367</v>
      </c>
      <c r="Q650" s="21"/>
      <c r="R650" s="3" t="s">
        <v>1368</v>
      </c>
      <c r="S650" s="21" t="n">
        <f>359653391733</f>
        <v>3.59653391733E11</v>
      </c>
      <c r="T650" s="21" t="n">
        <f>74375658</f>
        <v>7.4375658E7</v>
      </c>
      <c r="U650" s="5" t="s">
        <v>234</v>
      </c>
      <c r="V650" s="23" t="n">
        <f>1060235220000</f>
        <v>1.06023522E12</v>
      </c>
      <c r="W650" s="5" t="s">
        <v>50</v>
      </c>
      <c r="X650" s="23" t="n">
        <f>121619967000</f>
        <v>1.21619967E11</v>
      </c>
      <c r="Y650" s="23"/>
      <c r="Z650" s="21" t="n">
        <f>4287</f>
        <v>4287.0</v>
      </c>
      <c r="AA650" s="21" t="n">
        <f>38529</f>
        <v>38529.0</v>
      </c>
      <c r="AB650" s="4" t="s">
        <v>268</v>
      </c>
      <c r="AC650" s="22" t="n">
        <f>57396</f>
        <v>57396.0</v>
      </c>
      <c r="AD650" s="5" t="s">
        <v>767</v>
      </c>
      <c r="AE650" s="23" t="n">
        <f>35217</f>
        <v>35217.0</v>
      </c>
    </row>
    <row r="651">
      <c r="A651" s="24" t="s">
        <v>1369</v>
      </c>
      <c r="B651" s="25" t="s">
        <v>1370</v>
      </c>
      <c r="C651" s="26"/>
      <c r="D651" s="27"/>
      <c r="E651" s="28" t="s">
        <v>118</v>
      </c>
      <c r="F651" s="20" t="n">
        <f>45</f>
        <v>45.0</v>
      </c>
      <c r="G651" s="21" t="n">
        <f>373136</f>
        <v>373136.0</v>
      </c>
      <c r="H651" s="21"/>
      <c r="I651" s="21" t="n">
        <f>8535</f>
        <v>8535.0</v>
      </c>
      <c r="J651" s="21" t="n">
        <f>8292</f>
        <v>8292.0</v>
      </c>
      <c r="K651" s="21" t="n">
        <f>190</f>
        <v>190.0</v>
      </c>
      <c r="L651" s="4" t="s">
        <v>312</v>
      </c>
      <c r="M651" s="22" t="n">
        <f>24239</f>
        <v>24239.0</v>
      </c>
      <c r="N651" s="5" t="s">
        <v>85</v>
      </c>
      <c r="O651" s="23" t="n">
        <f>3874</f>
        <v>3874.0</v>
      </c>
      <c r="P651" s="3" t="s">
        <v>1371</v>
      </c>
      <c r="Q651" s="21"/>
      <c r="R651" s="3" t="s">
        <v>1372</v>
      </c>
      <c r="S651" s="21" t="n">
        <f>5509878138</f>
        <v>5.509878138E9</v>
      </c>
      <c r="T651" s="21" t="n">
        <f>121059198</f>
        <v>1.21059198E8</v>
      </c>
      <c r="U651" s="5" t="s">
        <v>312</v>
      </c>
      <c r="V651" s="23" t="n">
        <f>16098579900</f>
        <v>1.60985799E10</v>
      </c>
      <c r="W651" s="5" t="s">
        <v>85</v>
      </c>
      <c r="X651" s="23" t="n">
        <f>2605545700</f>
        <v>2.6055457E9</v>
      </c>
      <c r="Y651" s="23"/>
      <c r="Z651" s="21" t="str">
        <f>"－"</f>
        <v>－</v>
      </c>
      <c r="AA651" s="21" t="n">
        <f>15107</f>
        <v>15107.0</v>
      </c>
      <c r="AB651" s="4" t="s">
        <v>57</v>
      </c>
      <c r="AC651" s="22" t="n">
        <f>17585</f>
        <v>17585.0</v>
      </c>
      <c r="AD651" s="5" t="s">
        <v>245</v>
      </c>
      <c r="AE651" s="23" t="n">
        <f>13121</f>
        <v>13121.0</v>
      </c>
    </row>
    <row r="652">
      <c r="A652" s="24" t="s">
        <v>1369</v>
      </c>
      <c r="B652" s="25" t="s">
        <v>1370</v>
      </c>
      <c r="C652" s="26"/>
      <c r="D652" s="27"/>
      <c r="E652" s="28" t="s">
        <v>124</v>
      </c>
      <c r="F652" s="20" t="n">
        <f>123</f>
        <v>123.0</v>
      </c>
      <c r="G652" s="21" t="n">
        <f>1100800</f>
        <v>1100800.0</v>
      </c>
      <c r="H652" s="21"/>
      <c r="I652" s="21" t="n">
        <f>4</f>
        <v>4.0</v>
      </c>
      <c r="J652" s="21" t="n">
        <f>8950</f>
        <v>8950.0</v>
      </c>
      <c r="K652" s="21" t="n">
        <f>0</f>
        <v>0.0</v>
      </c>
      <c r="L652" s="4" t="s">
        <v>208</v>
      </c>
      <c r="M652" s="22" t="n">
        <f>42869</f>
        <v>42869.0</v>
      </c>
      <c r="N652" s="5" t="s">
        <v>113</v>
      </c>
      <c r="O652" s="23" t="n">
        <f>2748</f>
        <v>2748.0</v>
      </c>
      <c r="P652" s="3" t="s">
        <v>1373</v>
      </c>
      <c r="Q652" s="21"/>
      <c r="R652" s="3" t="s">
        <v>1374</v>
      </c>
      <c r="S652" s="21" t="n">
        <f>5574575072</f>
        <v>5.574575072E9</v>
      </c>
      <c r="T652" s="21" t="n">
        <f>20403</f>
        <v>20403.0</v>
      </c>
      <c r="U652" s="5" t="s">
        <v>208</v>
      </c>
      <c r="V652" s="23" t="n">
        <f>27508796700</f>
        <v>2.75087967E10</v>
      </c>
      <c r="W652" s="5" t="s">
        <v>113</v>
      </c>
      <c r="X652" s="23" t="n">
        <f>1722844200</f>
        <v>1.7228442E9</v>
      </c>
      <c r="Y652" s="23"/>
      <c r="Z652" s="21" t="str">
        <f>"－"</f>
        <v>－</v>
      </c>
      <c r="AA652" s="21" t="n">
        <f>13861</f>
        <v>13861.0</v>
      </c>
      <c r="AB652" s="4" t="s">
        <v>519</v>
      </c>
      <c r="AC652" s="22" t="n">
        <f>15505</f>
        <v>15505.0</v>
      </c>
      <c r="AD652" s="5" t="s">
        <v>285</v>
      </c>
      <c r="AE652" s="23" t="n">
        <f>11095</f>
        <v>11095.0</v>
      </c>
    </row>
    <row r="653">
      <c r="A653" s="24" t="s">
        <v>1369</v>
      </c>
      <c r="B653" s="25" t="s">
        <v>1370</v>
      </c>
      <c r="C653" s="26"/>
      <c r="D653" s="27"/>
      <c r="E653" s="28" t="s">
        <v>127</v>
      </c>
      <c r="F653" s="20" t="n">
        <f>122</f>
        <v>122.0</v>
      </c>
      <c r="G653" s="21" t="n">
        <f>817211</f>
        <v>817211.0</v>
      </c>
      <c r="H653" s="21"/>
      <c r="I653" s="21" t="n">
        <f>3</f>
        <v>3.0</v>
      </c>
      <c r="J653" s="21" t="n">
        <f>6698</f>
        <v>6698.0</v>
      </c>
      <c r="K653" s="21" t="n">
        <f>0</f>
        <v>0.0</v>
      </c>
      <c r="L653" s="4" t="s">
        <v>1162</v>
      </c>
      <c r="M653" s="22" t="n">
        <f>17367</f>
        <v>17367.0</v>
      </c>
      <c r="N653" s="5" t="s">
        <v>254</v>
      </c>
      <c r="O653" s="23" t="n">
        <f>1310</f>
        <v>1310.0</v>
      </c>
      <c r="P653" s="3" t="s">
        <v>1375</v>
      </c>
      <c r="Q653" s="21"/>
      <c r="R653" s="3" t="s">
        <v>1376</v>
      </c>
      <c r="S653" s="21" t="n">
        <f>4260683517</f>
        <v>4.260683517E9</v>
      </c>
      <c r="T653" s="21" t="n">
        <f>15197</f>
        <v>15197.0</v>
      </c>
      <c r="U653" s="5" t="s">
        <v>1162</v>
      </c>
      <c r="V653" s="23" t="n">
        <f>11015676000</f>
        <v>1.1015676E10</v>
      </c>
      <c r="W653" s="5" t="s">
        <v>254</v>
      </c>
      <c r="X653" s="23" t="n">
        <f>813318700</f>
        <v>8.133187E8</v>
      </c>
      <c r="Y653" s="23"/>
      <c r="Z653" s="21" t="str">
        <f>"－"</f>
        <v>－</v>
      </c>
      <c r="AA653" s="21" t="n">
        <f>14347</f>
        <v>14347.0</v>
      </c>
      <c r="AB653" s="4" t="s">
        <v>1377</v>
      </c>
      <c r="AC653" s="22" t="n">
        <f>16445</f>
        <v>16445.0</v>
      </c>
      <c r="AD653" s="5" t="s">
        <v>398</v>
      </c>
      <c r="AE653" s="23" t="n">
        <f>13244</f>
        <v>13244.0</v>
      </c>
    </row>
    <row r="654">
      <c r="A654" s="24" t="s">
        <v>1369</v>
      </c>
      <c r="B654" s="25" t="s">
        <v>1370</v>
      </c>
      <c r="C654" s="26"/>
      <c r="D654" s="27"/>
      <c r="E654" s="28" t="s">
        <v>133</v>
      </c>
      <c r="F654" s="20" t="n">
        <f>122</f>
        <v>122.0</v>
      </c>
      <c r="G654" s="21" t="n">
        <f>1103916</f>
        <v>1103916.0</v>
      </c>
      <c r="H654" s="21"/>
      <c r="I654" s="21" t="n">
        <f>7</f>
        <v>7.0</v>
      </c>
      <c r="J654" s="21" t="n">
        <f>9048</f>
        <v>9048.0</v>
      </c>
      <c r="K654" s="21" t="n">
        <f>0</f>
        <v>0.0</v>
      </c>
      <c r="L654" s="4" t="s">
        <v>68</v>
      </c>
      <c r="M654" s="22" t="n">
        <f>44650</f>
        <v>44650.0</v>
      </c>
      <c r="N654" s="5" t="s">
        <v>134</v>
      </c>
      <c r="O654" s="23" t="n">
        <f>2479</f>
        <v>2479.0</v>
      </c>
      <c r="P654" s="3" t="s">
        <v>1378</v>
      </c>
      <c r="Q654" s="21"/>
      <c r="R654" s="3" t="s">
        <v>1379</v>
      </c>
      <c r="S654" s="21" t="n">
        <f>6279209047</f>
        <v>6.279209047E9</v>
      </c>
      <c r="T654" s="21" t="n">
        <f>38682</f>
        <v>38682.0</v>
      </c>
      <c r="U654" s="5" t="s">
        <v>68</v>
      </c>
      <c r="V654" s="23" t="n">
        <f>33722915200</f>
        <v>3.37229152E10</v>
      </c>
      <c r="W654" s="5" t="s">
        <v>134</v>
      </c>
      <c r="X654" s="23" t="n">
        <f>1646775700</f>
        <v>1.6467757E9</v>
      </c>
      <c r="Y654" s="23"/>
      <c r="Z654" s="21" t="str">
        <f>"－"</f>
        <v>－</v>
      </c>
      <c r="AA654" s="21" t="n">
        <f>10833</f>
        <v>10833.0</v>
      </c>
      <c r="AB654" s="4" t="s">
        <v>221</v>
      </c>
      <c r="AC654" s="22" t="n">
        <f>16017</f>
        <v>16017.0</v>
      </c>
      <c r="AD654" s="5" t="s">
        <v>171</v>
      </c>
      <c r="AE654" s="23" t="n">
        <f>10229</f>
        <v>10229.0</v>
      </c>
    </row>
    <row r="655">
      <c r="A655" s="24" t="s">
        <v>1369</v>
      </c>
      <c r="B655" s="25" t="s">
        <v>1370</v>
      </c>
      <c r="C655" s="26"/>
      <c r="D655" s="27"/>
      <c r="E655" s="28" t="s">
        <v>139</v>
      </c>
      <c r="F655" s="20" t="n">
        <f>123</f>
        <v>123.0</v>
      </c>
      <c r="G655" s="21" t="n">
        <f>892380</f>
        <v>892380.0</v>
      </c>
      <c r="H655" s="21"/>
      <c r="I655" s="21" t="n">
        <f>8</f>
        <v>8.0</v>
      </c>
      <c r="J655" s="21" t="n">
        <f>7255</f>
        <v>7255.0</v>
      </c>
      <c r="K655" s="21" t="n">
        <f>0</f>
        <v>0.0</v>
      </c>
      <c r="L655" s="4" t="s">
        <v>631</v>
      </c>
      <c r="M655" s="22" t="n">
        <f>18509</f>
        <v>18509.0</v>
      </c>
      <c r="N655" s="5" t="s">
        <v>254</v>
      </c>
      <c r="O655" s="23" t="n">
        <f>2906</f>
        <v>2906.0</v>
      </c>
      <c r="P655" s="3" t="s">
        <v>1380</v>
      </c>
      <c r="Q655" s="21"/>
      <c r="R655" s="3" t="s">
        <v>1381</v>
      </c>
      <c r="S655" s="21" t="n">
        <f>5613211243</f>
        <v>5.613211243E9</v>
      </c>
      <c r="T655" s="21" t="n">
        <f>50533</f>
        <v>50533.0</v>
      </c>
      <c r="U655" s="5" t="s">
        <v>631</v>
      </c>
      <c r="V655" s="23" t="n">
        <f>14075012100</f>
        <v>1.40750121E10</v>
      </c>
      <c r="W655" s="5" t="s">
        <v>254</v>
      </c>
      <c r="X655" s="23" t="n">
        <f>2228584050</f>
        <v>2.22858405E9</v>
      </c>
      <c r="Y655" s="23"/>
      <c r="Z655" s="21" t="str">
        <f>"－"</f>
        <v>－</v>
      </c>
      <c r="AA655" s="21" t="n">
        <f>9826</f>
        <v>9826.0</v>
      </c>
      <c r="AB655" s="4" t="s">
        <v>1072</v>
      </c>
      <c r="AC655" s="22" t="n">
        <f>12110</f>
        <v>12110.0</v>
      </c>
      <c r="AD655" s="5" t="s">
        <v>289</v>
      </c>
      <c r="AE655" s="23" t="n">
        <f>9169</f>
        <v>9169.0</v>
      </c>
    </row>
    <row r="656">
      <c r="A656" s="24" t="s">
        <v>1369</v>
      </c>
      <c r="B656" s="25" t="s">
        <v>1370</v>
      </c>
      <c r="C656" s="26"/>
      <c r="D656" s="27"/>
      <c r="E656" s="28" t="s">
        <v>145</v>
      </c>
      <c r="F656" s="20" t="n">
        <f>122</f>
        <v>122.0</v>
      </c>
      <c r="G656" s="21" t="n">
        <f>647180</f>
        <v>647180.0</v>
      </c>
      <c r="H656" s="21"/>
      <c r="I656" s="21" t="n">
        <f>59</f>
        <v>59.0</v>
      </c>
      <c r="J656" s="21" t="n">
        <f>5305</f>
        <v>5305.0</v>
      </c>
      <c r="K656" s="21" t="n">
        <f>0</f>
        <v>0.0</v>
      </c>
      <c r="L656" s="4" t="s">
        <v>382</v>
      </c>
      <c r="M656" s="22" t="n">
        <f>17063</f>
        <v>17063.0</v>
      </c>
      <c r="N656" s="5" t="s">
        <v>516</v>
      </c>
      <c r="O656" s="23" t="n">
        <f>2214</f>
        <v>2214.0</v>
      </c>
      <c r="P656" s="3" t="s">
        <v>1382</v>
      </c>
      <c r="Q656" s="21"/>
      <c r="R656" s="3" t="s">
        <v>1383</v>
      </c>
      <c r="S656" s="21" t="n">
        <f>4202300819</f>
        <v>4.202300819E9</v>
      </c>
      <c r="T656" s="21" t="n">
        <f>386916</f>
        <v>386916.0</v>
      </c>
      <c r="U656" s="5" t="s">
        <v>382</v>
      </c>
      <c r="V656" s="23" t="n">
        <f>13410066200</f>
        <v>1.34100662E10</v>
      </c>
      <c r="W656" s="5" t="s">
        <v>516</v>
      </c>
      <c r="X656" s="23" t="n">
        <f>1755543850</f>
        <v>1.75554385E9</v>
      </c>
      <c r="Y656" s="23"/>
      <c r="Z656" s="21" t="str">
        <f>"－"</f>
        <v>－</v>
      </c>
      <c r="AA656" s="21" t="n">
        <f>9881</f>
        <v>9881.0</v>
      </c>
      <c r="AB656" s="4" t="s">
        <v>65</v>
      </c>
      <c r="AC656" s="22" t="n">
        <f>12499</f>
        <v>12499.0</v>
      </c>
      <c r="AD656" s="5" t="s">
        <v>68</v>
      </c>
      <c r="AE656" s="23" t="n">
        <f>8886</f>
        <v>8886.0</v>
      </c>
    </row>
    <row r="657">
      <c r="A657" s="24" t="s">
        <v>1369</v>
      </c>
      <c r="B657" s="25" t="s">
        <v>1370</v>
      </c>
      <c r="C657" s="26"/>
      <c r="D657" s="27"/>
      <c r="E657" s="28" t="s">
        <v>150</v>
      </c>
      <c r="F657" s="20" t="n">
        <f>124</f>
        <v>124.0</v>
      </c>
      <c r="G657" s="21" t="n">
        <f>584303</f>
        <v>584303.0</v>
      </c>
      <c r="H657" s="21"/>
      <c r="I657" s="21" t="n">
        <f>21</f>
        <v>21.0</v>
      </c>
      <c r="J657" s="21" t="n">
        <f>4712</f>
        <v>4712.0</v>
      </c>
      <c r="K657" s="21" t="n">
        <f>0</f>
        <v>0.0</v>
      </c>
      <c r="L657" s="4" t="s">
        <v>227</v>
      </c>
      <c r="M657" s="22" t="n">
        <f>19426</f>
        <v>19426.0</v>
      </c>
      <c r="N657" s="5" t="s">
        <v>332</v>
      </c>
      <c r="O657" s="23" t="n">
        <f>1961</f>
        <v>1961.0</v>
      </c>
      <c r="P657" s="3" t="s">
        <v>1384</v>
      </c>
      <c r="Q657" s="21"/>
      <c r="R657" s="3" t="s">
        <v>1385</v>
      </c>
      <c r="S657" s="21" t="n">
        <f>4150763132</f>
        <v>4.150763132E9</v>
      </c>
      <c r="T657" s="21" t="n">
        <f>148065</f>
        <v>148065.0</v>
      </c>
      <c r="U657" s="5" t="s">
        <v>227</v>
      </c>
      <c r="V657" s="23" t="n">
        <f>17061788300</f>
        <v>1.70617883E10</v>
      </c>
      <c r="W657" s="5" t="s">
        <v>332</v>
      </c>
      <c r="X657" s="23" t="n">
        <f>1745439850</f>
        <v>1.74543985E9</v>
      </c>
      <c r="Y657" s="23"/>
      <c r="Z657" s="21" t="n">
        <f>308</f>
        <v>308.0</v>
      </c>
      <c r="AA657" s="21" t="n">
        <f>11146</f>
        <v>11146.0</v>
      </c>
      <c r="AB657" s="4" t="s">
        <v>859</v>
      </c>
      <c r="AC657" s="22" t="n">
        <f>11379</f>
        <v>11379.0</v>
      </c>
      <c r="AD657" s="5" t="s">
        <v>289</v>
      </c>
      <c r="AE657" s="23" t="n">
        <f>9229</f>
        <v>9229.0</v>
      </c>
    </row>
    <row r="658">
      <c r="A658" s="24" t="s">
        <v>1369</v>
      </c>
      <c r="B658" s="25" t="s">
        <v>1370</v>
      </c>
      <c r="C658" s="26"/>
      <c r="D658" s="27"/>
      <c r="E658" s="28" t="s">
        <v>154</v>
      </c>
      <c r="F658" s="20" t="n">
        <f>120</f>
        <v>120.0</v>
      </c>
      <c r="G658" s="21" t="n">
        <f>716691</f>
        <v>716691.0</v>
      </c>
      <c r="H658" s="21"/>
      <c r="I658" s="21" t="n">
        <f>43</f>
        <v>43.0</v>
      </c>
      <c r="J658" s="21" t="n">
        <f>5972</f>
        <v>5972.0</v>
      </c>
      <c r="K658" s="21" t="n">
        <f>0</f>
        <v>0.0</v>
      </c>
      <c r="L658" s="4" t="s">
        <v>234</v>
      </c>
      <c r="M658" s="22" t="n">
        <f>16140</f>
        <v>16140.0</v>
      </c>
      <c r="N658" s="5" t="s">
        <v>50</v>
      </c>
      <c r="O658" s="23" t="n">
        <f>1937</f>
        <v>1937.0</v>
      </c>
      <c r="P658" s="3" t="s">
        <v>1386</v>
      </c>
      <c r="Q658" s="21"/>
      <c r="R658" s="3" t="s">
        <v>1387</v>
      </c>
      <c r="S658" s="21" t="n">
        <f>5773930742</f>
        <v>5.773930742E9</v>
      </c>
      <c r="T658" s="21" t="n">
        <f>343828</f>
        <v>343828.0</v>
      </c>
      <c r="U658" s="5" t="s">
        <v>568</v>
      </c>
      <c r="V658" s="23" t="n">
        <f>17045471300</f>
        <v>1.70454713E10</v>
      </c>
      <c r="W658" s="5" t="s">
        <v>50</v>
      </c>
      <c r="X658" s="23" t="n">
        <f>1823946350</f>
        <v>1.82394635E9</v>
      </c>
      <c r="Y658" s="23"/>
      <c r="Z658" s="21" t="n">
        <f>116</f>
        <v>116.0</v>
      </c>
      <c r="AA658" s="21" t="n">
        <f>10040</f>
        <v>10040.0</v>
      </c>
      <c r="AB658" s="4" t="s">
        <v>339</v>
      </c>
      <c r="AC658" s="22" t="n">
        <f>12219</f>
        <v>12219.0</v>
      </c>
      <c r="AD658" s="5" t="s">
        <v>276</v>
      </c>
      <c r="AE658" s="23" t="n">
        <f>8617</f>
        <v>8617.0</v>
      </c>
    </row>
    <row r="659">
      <c r="A659" s="24" t="s">
        <v>1388</v>
      </c>
      <c r="B659" s="25" t="s">
        <v>1389</v>
      </c>
      <c r="C659" s="26"/>
      <c r="D659" s="27"/>
      <c r="E659" s="28" t="s">
        <v>118</v>
      </c>
      <c r="F659" s="20" t="n">
        <f>45</f>
        <v>45.0</v>
      </c>
      <c r="G659" s="21" t="n">
        <f>342426</f>
        <v>342426.0</v>
      </c>
      <c r="H659" s="21"/>
      <c r="I659" s="21" t="n">
        <f>6333</f>
        <v>6333.0</v>
      </c>
      <c r="J659" s="21" t="n">
        <f>7609</f>
        <v>7609.0</v>
      </c>
      <c r="K659" s="21" t="n">
        <f>141</f>
        <v>141.0</v>
      </c>
      <c r="L659" s="4" t="s">
        <v>312</v>
      </c>
      <c r="M659" s="22" t="n">
        <f>31061</f>
        <v>31061.0</v>
      </c>
      <c r="N659" s="5" t="s">
        <v>192</v>
      </c>
      <c r="O659" s="23" t="n">
        <f>2276</f>
        <v>2276.0</v>
      </c>
      <c r="P659" s="3" t="s">
        <v>1390</v>
      </c>
      <c r="Q659" s="21"/>
      <c r="R659" s="3" t="s">
        <v>1391</v>
      </c>
      <c r="S659" s="21" t="n">
        <f>5094510202</f>
        <v>5.094510202E9</v>
      </c>
      <c r="T659" s="21" t="n">
        <f>95105171</f>
        <v>9.5105171E7</v>
      </c>
      <c r="U659" s="5" t="s">
        <v>312</v>
      </c>
      <c r="V659" s="23" t="n">
        <f>20658649200</f>
        <v>2.06586492E10</v>
      </c>
      <c r="W659" s="5" t="s">
        <v>192</v>
      </c>
      <c r="X659" s="23" t="n">
        <f>1523622200</f>
        <v>1.5236222E9</v>
      </c>
      <c r="Y659" s="23"/>
      <c r="Z659" s="21" t="str">
        <f>"－"</f>
        <v>－</v>
      </c>
      <c r="AA659" s="21" t="n">
        <f>55434</f>
        <v>55434.0</v>
      </c>
      <c r="AB659" s="4" t="s">
        <v>1354</v>
      </c>
      <c r="AC659" s="22" t="n">
        <f>56459</f>
        <v>56459.0</v>
      </c>
      <c r="AD659" s="5" t="s">
        <v>853</v>
      </c>
      <c r="AE659" s="23" t="n">
        <f>48849</f>
        <v>48849.0</v>
      </c>
    </row>
    <row r="660">
      <c r="A660" s="24" t="s">
        <v>1388</v>
      </c>
      <c r="B660" s="25" t="s">
        <v>1389</v>
      </c>
      <c r="C660" s="26"/>
      <c r="D660" s="27"/>
      <c r="E660" s="28" t="s">
        <v>124</v>
      </c>
      <c r="F660" s="20" t="n">
        <f>123</f>
        <v>123.0</v>
      </c>
      <c r="G660" s="21" t="n">
        <f>413045</f>
        <v>413045.0</v>
      </c>
      <c r="H660" s="21"/>
      <c r="I660" s="21" t="n">
        <f>2400</f>
        <v>2400.0</v>
      </c>
      <c r="J660" s="21" t="n">
        <f>3358</f>
        <v>3358.0</v>
      </c>
      <c r="K660" s="21" t="n">
        <f>20</f>
        <v>20.0</v>
      </c>
      <c r="L660" s="4" t="s">
        <v>1144</v>
      </c>
      <c r="M660" s="22" t="n">
        <f>13243</f>
        <v>13243.0</v>
      </c>
      <c r="N660" s="5" t="s">
        <v>1056</v>
      </c>
      <c r="O660" s="23" t="n">
        <f>995</f>
        <v>995.0</v>
      </c>
      <c r="P660" s="3" t="s">
        <v>1392</v>
      </c>
      <c r="Q660" s="21"/>
      <c r="R660" s="3" t="s">
        <v>1393</v>
      </c>
      <c r="S660" s="21" t="n">
        <f>2121498531</f>
        <v>2.121498531E9</v>
      </c>
      <c r="T660" s="21" t="n">
        <f>12368780</f>
        <v>1.236878E7</v>
      </c>
      <c r="U660" s="5" t="s">
        <v>1144</v>
      </c>
      <c r="V660" s="23" t="n">
        <f>8286110200</f>
        <v>8.2861102E9</v>
      </c>
      <c r="W660" s="5" t="s">
        <v>1056</v>
      </c>
      <c r="X660" s="23" t="n">
        <f>625736600</f>
        <v>6.257366E8</v>
      </c>
      <c r="Y660" s="23"/>
      <c r="Z660" s="21" t="str">
        <f>"－"</f>
        <v>－</v>
      </c>
      <c r="AA660" s="21" t="n">
        <f>53702</f>
        <v>53702.0</v>
      </c>
      <c r="AB660" s="4" t="s">
        <v>862</v>
      </c>
      <c r="AC660" s="22" t="n">
        <f>57609</f>
        <v>57609.0</v>
      </c>
      <c r="AD660" s="5" t="s">
        <v>541</v>
      </c>
      <c r="AE660" s="23" t="n">
        <f>50534</f>
        <v>50534.0</v>
      </c>
    </row>
    <row r="661">
      <c r="A661" s="24" t="s">
        <v>1388</v>
      </c>
      <c r="B661" s="25" t="s">
        <v>1389</v>
      </c>
      <c r="C661" s="26"/>
      <c r="D661" s="27"/>
      <c r="E661" s="28" t="s">
        <v>127</v>
      </c>
      <c r="F661" s="20" t="n">
        <f>122</f>
        <v>122.0</v>
      </c>
      <c r="G661" s="21" t="n">
        <f>313088</f>
        <v>313088.0</v>
      </c>
      <c r="H661" s="21"/>
      <c r="I661" s="21" t="n">
        <f>48</f>
        <v>48.0</v>
      </c>
      <c r="J661" s="21" t="n">
        <f>2566</f>
        <v>2566.0</v>
      </c>
      <c r="K661" s="21" t="n">
        <f>0</f>
        <v>0.0</v>
      </c>
      <c r="L661" s="4" t="s">
        <v>1162</v>
      </c>
      <c r="M661" s="22" t="n">
        <f>10778</f>
        <v>10778.0</v>
      </c>
      <c r="N661" s="5" t="s">
        <v>192</v>
      </c>
      <c r="O661" s="23" t="n">
        <f>663</f>
        <v>663.0</v>
      </c>
      <c r="P661" s="3" t="s">
        <v>1394</v>
      </c>
      <c r="Q661" s="21"/>
      <c r="R661" s="3" t="s">
        <v>1395</v>
      </c>
      <c r="S661" s="21" t="n">
        <f>1654970878</f>
        <v>1.654970878E9</v>
      </c>
      <c r="T661" s="21" t="n">
        <f>251543</f>
        <v>251543.0</v>
      </c>
      <c r="U661" s="5" t="s">
        <v>1162</v>
      </c>
      <c r="V661" s="23" t="n">
        <f>6893348000</f>
        <v>6.893348E9</v>
      </c>
      <c r="W661" s="5" t="s">
        <v>192</v>
      </c>
      <c r="X661" s="23" t="n">
        <f>423496800</f>
        <v>4.234968E8</v>
      </c>
      <c r="Y661" s="23"/>
      <c r="Z661" s="21" t="str">
        <f>"－"</f>
        <v>－</v>
      </c>
      <c r="AA661" s="21" t="n">
        <f>51054</f>
        <v>51054.0</v>
      </c>
      <c r="AB661" s="4" t="s">
        <v>1396</v>
      </c>
      <c r="AC661" s="22" t="n">
        <f>54042</f>
        <v>54042.0</v>
      </c>
      <c r="AD661" s="5" t="s">
        <v>754</v>
      </c>
      <c r="AE661" s="23" t="n">
        <f>50697</f>
        <v>50697.0</v>
      </c>
    </row>
    <row r="662">
      <c r="A662" s="24" t="s">
        <v>1388</v>
      </c>
      <c r="B662" s="25" t="s">
        <v>1389</v>
      </c>
      <c r="C662" s="26"/>
      <c r="D662" s="27"/>
      <c r="E662" s="28" t="s">
        <v>133</v>
      </c>
      <c r="F662" s="20" t="n">
        <f>122</f>
        <v>122.0</v>
      </c>
      <c r="G662" s="21" t="n">
        <f>482178</f>
        <v>482178.0</v>
      </c>
      <c r="H662" s="21"/>
      <c r="I662" s="21" t="n">
        <f>811</f>
        <v>811.0</v>
      </c>
      <c r="J662" s="21" t="n">
        <f>3952</f>
        <v>3952.0</v>
      </c>
      <c r="K662" s="21" t="n">
        <f>7</f>
        <v>7.0</v>
      </c>
      <c r="L662" s="4" t="s">
        <v>53</v>
      </c>
      <c r="M662" s="22" t="n">
        <f>18540</f>
        <v>18540.0</v>
      </c>
      <c r="N662" s="5" t="s">
        <v>137</v>
      </c>
      <c r="O662" s="23" t="n">
        <f>807</f>
        <v>807.0</v>
      </c>
      <c r="P662" s="3" t="s">
        <v>1397</v>
      </c>
      <c r="Q662" s="21"/>
      <c r="R662" s="3" t="s">
        <v>1398</v>
      </c>
      <c r="S662" s="21" t="n">
        <f>2756270393</f>
        <v>2.756270393E9</v>
      </c>
      <c r="T662" s="21" t="n">
        <f>4470430</f>
        <v>4470430.0</v>
      </c>
      <c r="U662" s="5" t="s">
        <v>53</v>
      </c>
      <c r="V662" s="23" t="n">
        <f>13867816100</f>
        <v>1.38678161E10</v>
      </c>
      <c r="W662" s="5" t="s">
        <v>137</v>
      </c>
      <c r="X662" s="23" t="n">
        <f>526480700</f>
        <v>5.264807E8</v>
      </c>
      <c r="Y662" s="23"/>
      <c r="Z662" s="21" t="str">
        <f>"－"</f>
        <v>－</v>
      </c>
      <c r="AA662" s="21" t="n">
        <f>52669</f>
        <v>52669.0</v>
      </c>
      <c r="AB662" s="4" t="s">
        <v>658</v>
      </c>
      <c r="AC662" s="22" t="n">
        <f>53576</f>
        <v>53576.0</v>
      </c>
      <c r="AD662" s="5" t="s">
        <v>968</v>
      </c>
      <c r="AE662" s="23" t="n">
        <f>49056</f>
        <v>49056.0</v>
      </c>
    </row>
    <row r="663">
      <c r="A663" s="24" t="s">
        <v>1388</v>
      </c>
      <c r="B663" s="25" t="s">
        <v>1389</v>
      </c>
      <c r="C663" s="26"/>
      <c r="D663" s="27"/>
      <c r="E663" s="28" t="s">
        <v>139</v>
      </c>
      <c r="F663" s="20" t="n">
        <f>123</f>
        <v>123.0</v>
      </c>
      <c r="G663" s="21" t="n">
        <f>491994</f>
        <v>491994.0</v>
      </c>
      <c r="H663" s="21"/>
      <c r="I663" s="21" t="n">
        <f>157</f>
        <v>157.0</v>
      </c>
      <c r="J663" s="21" t="n">
        <f>4000</f>
        <v>4000.0</v>
      </c>
      <c r="K663" s="21" t="n">
        <f>1</f>
        <v>1.0</v>
      </c>
      <c r="L663" s="4" t="s">
        <v>764</v>
      </c>
      <c r="M663" s="22" t="n">
        <f>10545</f>
        <v>10545.0</v>
      </c>
      <c r="N663" s="5" t="s">
        <v>1003</v>
      </c>
      <c r="O663" s="23" t="n">
        <f>1430</f>
        <v>1430.0</v>
      </c>
      <c r="P663" s="3" t="s">
        <v>1399</v>
      </c>
      <c r="Q663" s="21"/>
      <c r="R663" s="3" t="s">
        <v>1400</v>
      </c>
      <c r="S663" s="21" t="n">
        <f>3110001518</f>
        <v>3.110001518E9</v>
      </c>
      <c r="T663" s="21" t="n">
        <f>985523</f>
        <v>985523.0</v>
      </c>
      <c r="U663" s="5" t="s">
        <v>764</v>
      </c>
      <c r="V663" s="23" t="n">
        <f>8544688000</f>
        <v>8.544688E9</v>
      </c>
      <c r="W663" s="5" t="s">
        <v>1003</v>
      </c>
      <c r="X663" s="23" t="n">
        <f>1097551600</f>
        <v>1.0975516E9</v>
      </c>
      <c r="Y663" s="23"/>
      <c r="Z663" s="21" t="str">
        <f>"－"</f>
        <v>－</v>
      </c>
      <c r="AA663" s="21" t="n">
        <f>60356</f>
        <v>60356.0</v>
      </c>
      <c r="AB663" s="4" t="s">
        <v>520</v>
      </c>
      <c r="AC663" s="22" t="n">
        <f>60617</f>
        <v>60617.0</v>
      </c>
      <c r="AD663" s="5" t="s">
        <v>672</v>
      </c>
      <c r="AE663" s="23" t="n">
        <f>52252</f>
        <v>52252.0</v>
      </c>
    </row>
    <row r="664">
      <c r="A664" s="24" t="s">
        <v>1388</v>
      </c>
      <c r="B664" s="25" t="s">
        <v>1389</v>
      </c>
      <c r="C664" s="26"/>
      <c r="D664" s="27"/>
      <c r="E664" s="28" t="s">
        <v>145</v>
      </c>
      <c r="F664" s="20" t="n">
        <f>122</f>
        <v>122.0</v>
      </c>
      <c r="G664" s="21" t="n">
        <f>855575</f>
        <v>855575.0</v>
      </c>
      <c r="H664" s="21"/>
      <c r="I664" s="21" t="n">
        <f>9</f>
        <v>9.0</v>
      </c>
      <c r="J664" s="21" t="n">
        <f>7013</f>
        <v>7013.0</v>
      </c>
      <c r="K664" s="21" t="n">
        <f>0</f>
        <v>0.0</v>
      </c>
      <c r="L664" s="4" t="s">
        <v>1112</v>
      </c>
      <c r="M664" s="22" t="n">
        <f>28847</f>
        <v>28847.0</v>
      </c>
      <c r="N664" s="5" t="s">
        <v>994</v>
      </c>
      <c r="O664" s="23" t="n">
        <f>1583</f>
        <v>1583.0</v>
      </c>
      <c r="P664" s="3" t="s">
        <v>1401</v>
      </c>
      <c r="Q664" s="21"/>
      <c r="R664" s="3" t="s">
        <v>1402</v>
      </c>
      <c r="S664" s="21" t="n">
        <f>5601759878</f>
        <v>5.601759878E9</v>
      </c>
      <c r="T664" s="21" t="n">
        <f>56131</f>
        <v>56131.0</v>
      </c>
      <c r="U664" s="5" t="s">
        <v>1112</v>
      </c>
      <c r="V664" s="23" t="n">
        <f>24111598100</f>
        <v>2.41115981E10</v>
      </c>
      <c r="W664" s="5" t="s">
        <v>994</v>
      </c>
      <c r="X664" s="23" t="n">
        <f>1252194000</f>
        <v>1.252194E9</v>
      </c>
      <c r="Y664" s="23"/>
      <c r="Z664" s="21" t="str">
        <f>"－"</f>
        <v>－</v>
      </c>
      <c r="AA664" s="21" t="n">
        <f>69855</f>
        <v>69855.0</v>
      </c>
      <c r="AB664" s="4" t="s">
        <v>149</v>
      </c>
      <c r="AC664" s="22" t="n">
        <f>76108</f>
        <v>76108.0</v>
      </c>
      <c r="AD664" s="5" t="s">
        <v>865</v>
      </c>
      <c r="AE664" s="23" t="n">
        <f>56844</f>
        <v>56844.0</v>
      </c>
    </row>
    <row r="665">
      <c r="A665" s="24" t="s">
        <v>1388</v>
      </c>
      <c r="B665" s="25" t="s">
        <v>1389</v>
      </c>
      <c r="C665" s="26"/>
      <c r="D665" s="27"/>
      <c r="E665" s="28" t="s">
        <v>150</v>
      </c>
      <c r="F665" s="20" t="n">
        <f>124</f>
        <v>124.0</v>
      </c>
      <c r="G665" s="21" t="n">
        <f>1060305</f>
        <v>1060305.0</v>
      </c>
      <c r="H665" s="21"/>
      <c r="I665" s="21" t="n">
        <f>171</f>
        <v>171.0</v>
      </c>
      <c r="J665" s="21" t="n">
        <f>8551</f>
        <v>8551.0</v>
      </c>
      <c r="K665" s="21" t="n">
        <f>1</f>
        <v>1.0</v>
      </c>
      <c r="L665" s="4" t="s">
        <v>972</v>
      </c>
      <c r="M665" s="22" t="n">
        <f>33454</f>
        <v>33454.0</v>
      </c>
      <c r="N665" s="5" t="s">
        <v>151</v>
      </c>
      <c r="O665" s="23" t="n">
        <f>3646</f>
        <v>3646.0</v>
      </c>
      <c r="P665" s="3" t="s">
        <v>1403</v>
      </c>
      <c r="Q665" s="21"/>
      <c r="R665" s="3" t="s">
        <v>1404</v>
      </c>
      <c r="S665" s="21" t="n">
        <f>7566479730</f>
        <v>7.56647973E9</v>
      </c>
      <c r="T665" s="21" t="n">
        <f>1237286</f>
        <v>1237286.0</v>
      </c>
      <c r="U665" s="5" t="s">
        <v>972</v>
      </c>
      <c r="V665" s="23" t="n">
        <f>29433361800</f>
        <v>2.94333618E10</v>
      </c>
      <c r="W665" s="5" t="s">
        <v>151</v>
      </c>
      <c r="X665" s="23" t="n">
        <f>3103261000</f>
        <v>3.103261E9</v>
      </c>
      <c r="Y665" s="23"/>
      <c r="Z665" s="21" t="str">
        <f>"－"</f>
        <v>－</v>
      </c>
      <c r="AA665" s="21" t="n">
        <f>98685</f>
        <v>98685.0</v>
      </c>
      <c r="AB665" s="4" t="s">
        <v>927</v>
      </c>
      <c r="AC665" s="22" t="n">
        <f>98685</f>
        <v>98685.0</v>
      </c>
      <c r="AD665" s="5" t="s">
        <v>350</v>
      </c>
      <c r="AE665" s="23" t="n">
        <f>67530</f>
        <v>67530.0</v>
      </c>
    </row>
    <row r="666">
      <c r="A666" s="24" t="s">
        <v>1388</v>
      </c>
      <c r="B666" s="25" t="s">
        <v>1389</v>
      </c>
      <c r="C666" s="26"/>
      <c r="D666" s="27"/>
      <c r="E666" s="28" t="s">
        <v>154</v>
      </c>
      <c r="F666" s="20" t="n">
        <f>120</f>
        <v>120.0</v>
      </c>
      <c r="G666" s="21" t="n">
        <f>1122189</f>
        <v>1122189.0</v>
      </c>
      <c r="H666" s="21"/>
      <c r="I666" s="21" t="n">
        <f>464</f>
        <v>464.0</v>
      </c>
      <c r="J666" s="21" t="n">
        <f>9352</f>
        <v>9352.0</v>
      </c>
      <c r="K666" s="21" t="n">
        <f>4</f>
        <v>4.0</v>
      </c>
      <c r="L666" s="4" t="s">
        <v>528</v>
      </c>
      <c r="M666" s="22" t="n">
        <f>32056</f>
        <v>32056.0</v>
      </c>
      <c r="N666" s="5" t="s">
        <v>404</v>
      </c>
      <c r="O666" s="23" t="n">
        <f>2971</f>
        <v>2971.0</v>
      </c>
      <c r="P666" s="3" t="s">
        <v>1405</v>
      </c>
      <c r="Q666" s="21"/>
      <c r="R666" s="3" t="s">
        <v>1406</v>
      </c>
      <c r="S666" s="21" t="n">
        <f>9094540812</f>
        <v>9.094540812E9</v>
      </c>
      <c r="T666" s="21" t="n">
        <f>3740418</f>
        <v>3740418.0</v>
      </c>
      <c r="U666" s="5" t="s">
        <v>234</v>
      </c>
      <c r="V666" s="23" t="n">
        <f>30734583900</f>
        <v>3.07345839E10</v>
      </c>
      <c r="W666" s="5" t="s">
        <v>404</v>
      </c>
      <c r="X666" s="23" t="n">
        <f>2789378400</f>
        <v>2.7893784E9</v>
      </c>
      <c r="Y666" s="23"/>
      <c r="Z666" s="21" t="str">
        <f>"－"</f>
        <v>－</v>
      </c>
      <c r="AA666" s="21" t="n">
        <f>85464</f>
        <v>85464.0</v>
      </c>
      <c r="AB666" s="4" t="s">
        <v>404</v>
      </c>
      <c r="AC666" s="22" t="n">
        <f>106062</f>
        <v>106062.0</v>
      </c>
      <c r="AD666" s="5" t="s">
        <v>90</v>
      </c>
      <c r="AE666" s="23" t="n">
        <f>72478</f>
        <v>72478.0</v>
      </c>
    </row>
    <row r="667">
      <c r="A667" s="24" t="s">
        <v>1407</v>
      </c>
      <c r="B667" s="25" t="s">
        <v>1408</v>
      </c>
      <c r="C667" s="26"/>
      <c r="D667" s="27"/>
      <c r="E667" s="28" t="s">
        <v>118</v>
      </c>
      <c r="F667" s="20" t="n">
        <f>45</f>
        <v>45.0</v>
      </c>
      <c r="G667" s="21" t="n">
        <f>17347</f>
        <v>17347.0</v>
      </c>
      <c r="H667" s="21"/>
      <c r="I667" s="21" t="n">
        <f>360</f>
        <v>360.0</v>
      </c>
      <c r="J667" s="21" t="n">
        <f>385</f>
        <v>385.0</v>
      </c>
      <c r="K667" s="21" t="n">
        <f>8</f>
        <v>8.0</v>
      </c>
      <c r="L667" s="4" t="s">
        <v>312</v>
      </c>
      <c r="M667" s="22" t="n">
        <f>1151</f>
        <v>1151.0</v>
      </c>
      <c r="N667" s="5" t="s">
        <v>183</v>
      </c>
      <c r="O667" s="23" t="n">
        <f>61</f>
        <v>61.0</v>
      </c>
      <c r="P667" s="3" t="s">
        <v>1409</v>
      </c>
      <c r="Q667" s="21"/>
      <c r="R667" s="3" t="s">
        <v>1410</v>
      </c>
      <c r="S667" s="21" t="n">
        <f>338931689</f>
        <v>3.38931689E8</v>
      </c>
      <c r="T667" s="21" t="n">
        <f>6171378</f>
        <v>6171378.0</v>
      </c>
      <c r="U667" s="5" t="s">
        <v>312</v>
      </c>
      <c r="V667" s="23" t="n">
        <f>1020350000</f>
        <v>1.02035E9</v>
      </c>
      <c r="W667" s="5" t="s">
        <v>183</v>
      </c>
      <c r="X667" s="23" t="n">
        <f>55863000</f>
        <v>5.5863E7</v>
      </c>
      <c r="Y667" s="23"/>
      <c r="Z667" s="21" t="str">
        <f>"－"</f>
        <v>－</v>
      </c>
      <c r="AA667" s="21" t="n">
        <f>1006</f>
        <v>1006.0</v>
      </c>
      <c r="AB667" s="4" t="s">
        <v>481</v>
      </c>
      <c r="AC667" s="22" t="n">
        <f>1281</f>
        <v>1281.0</v>
      </c>
      <c r="AD667" s="5" t="s">
        <v>312</v>
      </c>
      <c r="AE667" s="23" t="n">
        <f>981</f>
        <v>981.0</v>
      </c>
    </row>
    <row r="668">
      <c r="A668" s="24" t="s">
        <v>1407</v>
      </c>
      <c r="B668" s="25" t="s">
        <v>1408</v>
      </c>
      <c r="C668" s="26"/>
      <c r="D668" s="27"/>
      <c r="E668" s="28" t="s">
        <v>124</v>
      </c>
      <c r="F668" s="20" t="n">
        <f>123</f>
        <v>123.0</v>
      </c>
      <c r="G668" s="21" t="n">
        <f>29911</f>
        <v>29911.0</v>
      </c>
      <c r="H668" s="21"/>
      <c r="I668" s="21" t="str">
        <f>"－"</f>
        <v>－</v>
      </c>
      <c r="J668" s="21" t="n">
        <f>243</f>
        <v>243.0</v>
      </c>
      <c r="K668" s="21" t="str">
        <f>"－"</f>
        <v>－</v>
      </c>
      <c r="L668" s="4" t="s">
        <v>1015</v>
      </c>
      <c r="M668" s="22" t="n">
        <f>1062</f>
        <v>1062.0</v>
      </c>
      <c r="N668" s="5" t="s">
        <v>987</v>
      </c>
      <c r="O668" s="23" t="n">
        <f>29</f>
        <v>29.0</v>
      </c>
      <c r="P668" s="3" t="s">
        <v>1411</v>
      </c>
      <c r="Q668" s="21"/>
      <c r="R668" s="3" t="s">
        <v>247</v>
      </c>
      <c r="S668" s="21" t="n">
        <f>212598715</f>
        <v>2.12598715E8</v>
      </c>
      <c r="T668" s="21" t="str">
        <f>"－"</f>
        <v>－</v>
      </c>
      <c r="U668" s="5" t="s">
        <v>1015</v>
      </c>
      <c r="V668" s="23" t="n">
        <f>1046840000</f>
        <v>1.04684E9</v>
      </c>
      <c r="W668" s="5" t="s">
        <v>987</v>
      </c>
      <c r="X668" s="23" t="n">
        <f>24575000</f>
        <v>2.4575E7</v>
      </c>
      <c r="Y668" s="23"/>
      <c r="Z668" s="21" t="str">
        <f>"－"</f>
        <v>－</v>
      </c>
      <c r="AA668" s="21" t="n">
        <f>2043</f>
        <v>2043.0</v>
      </c>
      <c r="AB668" s="4" t="s">
        <v>330</v>
      </c>
      <c r="AC668" s="22" t="n">
        <f>2043</f>
        <v>2043.0</v>
      </c>
      <c r="AD668" s="5" t="s">
        <v>447</v>
      </c>
      <c r="AE668" s="23" t="n">
        <f>977</f>
        <v>977.0</v>
      </c>
    </row>
    <row r="669">
      <c r="A669" s="24" t="s">
        <v>1407</v>
      </c>
      <c r="B669" s="25" t="s">
        <v>1408</v>
      </c>
      <c r="C669" s="26"/>
      <c r="D669" s="27"/>
      <c r="E669" s="28" t="s">
        <v>127</v>
      </c>
      <c r="F669" s="20" t="n">
        <f>122</f>
        <v>122.0</v>
      </c>
      <c r="G669" s="21" t="n">
        <f>17312</f>
        <v>17312.0</v>
      </c>
      <c r="H669" s="21"/>
      <c r="I669" s="21" t="n">
        <f>12</f>
        <v>12.0</v>
      </c>
      <c r="J669" s="21" t="n">
        <f>142</f>
        <v>142.0</v>
      </c>
      <c r="K669" s="21" t="n">
        <f>0</f>
        <v>0.0</v>
      </c>
      <c r="L669" s="4" t="s">
        <v>1162</v>
      </c>
      <c r="M669" s="22" t="n">
        <f>952</f>
        <v>952.0</v>
      </c>
      <c r="N669" s="5" t="s">
        <v>289</v>
      </c>
      <c r="O669" s="23" t="n">
        <f>8</f>
        <v>8.0</v>
      </c>
      <c r="P669" s="3" t="s">
        <v>1412</v>
      </c>
      <c r="Q669" s="21"/>
      <c r="R669" s="3" t="s">
        <v>1413</v>
      </c>
      <c r="S669" s="21" t="n">
        <f>129960680</f>
        <v>1.2996068E8</v>
      </c>
      <c r="T669" s="21" t="n">
        <f>107115</f>
        <v>107115.0</v>
      </c>
      <c r="U669" s="5" t="s">
        <v>1162</v>
      </c>
      <c r="V669" s="23" t="n">
        <f>883583000</f>
        <v>8.83583E8</v>
      </c>
      <c r="W669" s="5" t="s">
        <v>289</v>
      </c>
      <c r="X669" s="23" t="n">
        <f>6844000</f>
        <v>6844000.0</v>
      </c>
      <c r="Y669" s="23"/>
      <c r="Z669" s="21" t="str">
        <f>"－"</f>
        <v>－</v>
      </c>
      <c r="AA669" s="21" t="n">
        <f>1675</f>
        <v>1675.0</v>
      </c>
      <c r="AB669" s="4" t="s">
        <v>58</v>
      </c>
      <c r="AC669" s="22" t="n">
        <f>2065</f>
        <v>2065.0</v>
      </c>
      <c r="AD669" s="5" t="s">
        <v>478</v>
      </c>
      <c r="AE669" s="23" t="n">
        <f>1383</f>
        <v>1383.0</v>
      </c>
    </row>
    <row r="670">
      <c r="A670" s="24" t="s">
        <v>1407</v>
      </c>
      <c r="B670" s="25" t="s">
        <v>1408</v>
      </c>
      <c r="C670" s="26"/>
      <c r="D670" s="27"/>
      <c r="E670" s="28" t="s">
        <v>133</v>
      </c>
      <c r="F670" s="20" t="n">
        <f>122</f>
        <v>122.0</v>
      </c>
      <c r="G670" s="21" t="n">
        <f>21829</f>
        <v>21829.0</v>
      </c>
      <c r="H670" s="21"/>
      <c r="I670" s="21" t="n">
        <f>7</f>
        <v>7.0</v>
      </c>
      <c r="J670" s="21" t="n">
        <f>179</f>
        <v>179.0</v>
      </c>
      <c r="K670" s="21" t="n">
        <f>0</f>
        <v>0.0</v>
      </c>
      <c r="L670" s="4" t="s">
        <v>976</v>
      </c>
      <c r="M670" s="22" t="n">
        <f>636</f>
        <v>636.0</v>
      </c>
      <c r="N670" s="5" t="s">
        <v>843</v>
      </c>
      <c r="O670" s="23" t="n">
        <f>25</f>
        <v>25.0</v>
      </c>
      <c r="P670" s="3" t="s">
        <v>1414</v>
      </c>
      <c r="Q670" s="21"/>
      <c r="R670" s="3" t="s">
        <v>1415</v>
      </c>
      <c r="S670" s="21" t="n">
        <f>158281787</f>
        <v>1.58281787E8</v>
      </c>
      <c r="T670" s="21" t="n">
        <f>49320</f>
        <v>49320.0</v>
      </c>
      <c r="U670" s="5" t="s">
        <v>976</v>
      </c>
      <c r="V670" s="23" t="n">
        <f>557672000</f>
        <v>5.57672E8</v>
      </c>
      <c r="W670" s="5" t="s">
        <v>843</v>
      </c>
      <c r="X670" s="23" t="n">
        <f>20517000</f>
        <v>2.0517E7</v>
      </c>
      <c r="Y670" s="23"/>
      <c r="Z670" s="21" t="str">
        <f>"－"</f>
        <v>－</v>
      </c>
      <c r="AA670" s="21" t="n">
        <f>1796</f>
        <v>1796.0</v>
      </c>
      <c r="AB670" s="4" t="s">
        <v>285</v>
      </c>
      <c r="AC670" s="22" t="n">
        <f>1888</f>
        <v>1888.0</v>
      </c>
      <c r="AD670" s="5" t="s">
        <v>1082</v>
      </c>
      <c r="AE670" s="23" t="n">
        <f>1384</f>
        <v>1384.0</v>
      </c>
    </row>
    <row r="671">
      <c r="A671" s="24" t="s">
        <v>1407</v>
      </c>
      <c r="B671" s="25" t="s">
        <v>1408</v>
      </c>
      <c r="C671" s="26"/>
      <c r="D671" s="27"/>
      <c r="E671" s="28" t="s">
        <v>139</v>
      </c>
      <c r="F671" s="20" t="n">
        <f>123</f>
        <v>123.0</v>
      </c>
      <c r="G671" s="21" t="n">
        <f>17791</f>
        <v>17791.0</v>
      </c>
      <c r="H671" s="21"/>
      <c r="I671" s="21" t="n">
        <f>15</f>
        <v>15.0</v>
      </c>
      <c r="J671" s="21" t="n">
        <f>145</f>
        <v>145.0</v>
      </c>
      <c r="K671" s="21" t="n">
        <f>0</f>
        <v>0.0</v>
      </c>
      <c r="L671" s="4" t="s">
        <v>1416</v>
      </c>
      <c r="M671" s="22" t="n">
        <f>798</f>
        <v>798.0</v>
      </c>
      <c r="N671" s="5" t="s">
        <v>129</v>
      </c>
      <c r="O671" s="23" t="n">
        <f>6</f>
        <v>6.0</v>
      </c>
      <c r="P671" s="3" t="s">
        <v>1417</v>
      </c>
      <c r="Q671" s="21"/>
      <c r="R671" s="3" t="s">
        <v>1418</v>
      </c>
      <c r="S671" s="21" t="n">
        <f>130638033</f>
        <v>1.30638033E8</v>
      </c>
      <c r="T671" s="21" t="n">
        <f>110602</f>
        <v>110602.0</v>
      </c>
      <c r="U671" s="5" t="s">
        <v>1416</v>
      </c>
      <c r="V671" s="23" t="n">
        <f>634877000</f>
        <v>6.34877E8</v>
      </c>
      <c r="W671" s="5" t="s">
        <v>129</v>
      </c>
      <c r="X671" s="23" t="n">
        <f>4962000</f>
        <v>4962000.0</v>
      </c>
      <c r="Y671" s="23"/>
      <c r="Z671" s="21" t="str">
        <f>"－"</f>
        <v>－</v>
      </c>
      <c r="AA671" s="21" t="n">
        <f>1934</f>
        <v>1934.0</v>
      </c>
      <c r="AB671" s="4" t="s">
        <v>1148</v>
      </c>
      <c r="AC671" s="22" t="n">
        <f>2395</f>
        <v>2395.0</v>
      </c>
      <c r="AD671" s="5" t="s">
        <v>510</v>
      </c>
      <c r="AE671" s="23" t="n">
        <f>1737</f>
        <v>1737.0</v>
      </c>
    </row>
    <row r="672">
      <c r="A672" s="24" t="s">
        <v>1407</v>
      </c>
      <c r="B672" s="25" t="s">
        <v>1408</v>
      </c>
      <c r="C672" s="26"/>
      <c r="D672" s="27"/>
      <c r="E672" s="28" t="s">
        <v>145</v>
      </c>
      <c r="F672" s="20" t="n">
        <f>122</f>
        <v>122.0</v>
      </c>
      <c r="G672" s="21" t="n">
        <f>10523</f>
        <v>10523.0</v>
      </c>
      <c r="H672" s="21"/>
      <c r="I672" s="21" t="n">
        <f>8</f>
        <v>8.0</v>
      </c>
      <c r="J672" s="21" t="n">
        <f>86</f>
        <v>86.0</v>
      </c>
      <c r="K672" s="21" t="n">
        <f>0</f>
        <v>0.0</v>
      </c>
      <c r="L672" s="4" t="s">
        <v>330</v>
      </c>
      <c r="M672" s="22" t="n">
        <f>530</f>
        <v>530.0</v>
      </c>
      <c r="N672" s="5" t="s">
        <v>218</v>
      </c>
      <c r="O672" s="23" t="n">
        <f>10</f>
        <v>10.0</v>
      </c>
      <c r="P672" s="3" t="s">
        <v>1419</v>
      </c>
      <c r="Q672" s="21"/>
      <c r="R672" s="3" t="s">
        <v>1420</v>
      </c>
      <c r="S672" s="21" t="n">
        <f>80381459</f>
        <v>8.0381459E7</v>
      </c>
      <c r="T672" s="21" t="n">
        <f>60811</f>
        <v>60811.0</v>
      </c>
      <c r="U672" s="5" t="s">
        <v>330</v>
      </c>
      <c r="V672" s="23" t="n">
        <f>526100000</f>
        <v>5.261E8</v>
      </c>
      <c r="W672" s="5" t="s">
        <v>726</v>
      </c>
      <c r="X672" s="23" t="n">
        <f>9241000</f>
        <v>9241000.0</v>
      </c>
      <c r="Y672" s="23"/>
      <c r="Z672" s="21" t="str">
        <f>"－"</f>
        <v>－</v>
      </c>
      <c r="AA672" s="21" t="n">
        <f>779</f>
        <v>779.0</v>
      </c>
      <c r="AB672" s="4" t="s">
        <v>82</v>
      </c>
      <c r="AC672" s="22" t="n">
        <f>1930</f>
        <v>1930.0</v>
      </c>
      <c r="AD672" s="5" t="s">
        <v>330</v>
      </c>
      <c r="AE672" s="23" t="n">
        <f>779</f>
        <v>779.0</v>
      </c>
    </row>
    <row r="673">
      <c r="A673" s="24" t="s">
        <v>1407</v>
      </c>
      <c r="B673" s="25" t="s">
        <v>1408</v>
      </c>
      <c r="C673" s="26"/>
      <c r="D673" s="27"/>
      <c r="E673" s="28" t="s">
        <v>150</v>
      </c>
      <c r="F673" s="20" t="n">
        <f>124</f>
        <v>124.0</v>
      </c>
      <c r="G673" s="21" t="n">
        <f>4360</f>
        <v>4360.0</v>
      </c>
      <c r="H673" s="21"/>
      <c r="I673" s="21" t="n">
        <f>12</f>
        <v>12.0</v>
      </c>
      <c r="J673" s="21" t="n">
        <f>35</f>
        <v>35.0</v>
      </c>
      <c r="K673" s="21" t="n">
        <f>0</f>
        <v>0.0</v>
      </c>
      <c r="L673" s="4" t="s">
        <v>216</v>
      </c>
      <c r="M673" s="22" t="n">
        <f>231</f>
        <v>231.0</v>
      </c>
      <c r="N673" s="5" t="s">
        <v>909</v>
      </c>
      <c r="O673" s="23" t="str">
        <f>"－"</f>
        <v>－</v>
      </c>
      <c r="P673" s="3" t="s">
        <v>1421</v>
      </c>
      <c r="Q673" s="21"/>
      <c r="R673" s="3" t="s">
        <v>1422</v>
      </c>
      <c r="S673" s="21" t="n">
        <f>47367492</f>
        <v>4.7367492E7</v>
      </c>
      <c r="T673" s="21" t="n">
        <f>100403</f>
        <v>100403.0</v>
      </c>
      <c r="U673" s="5" t="s">
        <v>216</v>
      </c>
      <c r="V673" s="23" t="n">
        <f>243160000</f>
        <v>2.4316E8</v>
      </c>
      <c r="W673" s="5" t="s">
        <v>909</v>
      </c>
      <c r="X673" s="23" t="str">
        <f>"－"</f>
        <v>－</v>
      </c>
      <c r="Y673" s="23"/>
      <c r="Z673" s="21" t="str">
        <f>"－"</f>
        <v>－</v>
      </c>
      <c r="AA673" s="21" t="n">
        <f>494</f>
        <v>494.0</v>
      </c>
      <c r="AB673" s="4" t="s">
        <v>731</v>
      </c>
      <c r="AC673" s="22" t="n">
        <f>847</f>
        <v>847.0</v>
      </c>
      <c r="AD673" s="5" t="s">
        <v>458</v>
      </c>
      <c r="AE673" s="23" t="n">
        <f>441</f>
        <v>441.0</v>
      </c>
    </row>
    <row r="674">
      <c r="A674" s="24" t="s">
        <v>1407</v>
      </c>
      <c r="B674" s="25" t="s">
        <v>1408</v>
      </c>
      <c r="C674" s="26"/>
      <c r="D674" s="27"/>
      <c r="E674" s="28" t="s">
        <v>154</v>
      </c>
      <c r="F674" s="20" t="n">
        <f>120</f>
        <v>120.0</v>
      </c>
      <c r="G674" s="21" t="n">
        <f>1132</f>
        <v>1132.0</v>
      </c>
      <c r="H674" s="21"/>
      <c r="I674" s="21" t="n">
        <f>10</f>
        <v>10.0</v>
      </c>
      <c r="J674" s="21" t="n">
        <f>9</f>
        <v>9.0</v>
      </c>
      <c r="K674" s="21" t="n">
        <f>0</f>
        <v>0.0</v>
      </c>
      <c r="L674" s="4" t="s">
        <v>82</v>
      </c>
      <c r="M674" s="22" t="n">
        <f>87</f>
        <v>87.0</v>
      </c>
      <c r="N674" s="5" t="s">
        <v>767</v>
      </c>
      <c r="O674" s="23" t="str">
        <f>"－"</f>
        <v>－</v>
      </c>
      <c r="P674" s="3" t="s">
        <v>1423</v>
      </c>
      <c r="Q674" s="21"/>
      <c r="R674" s="3" t="s">
        <v>1424</v>
      </c>
      <c r="S674" s="21" t="n">
        <f>20901633</f>
        <v>2.0901633E7</v>
      </c>
      <c r="T674" s="21" t="n">
        <f>91917</f>
        <v>91917.0</v>
      </c>
      <c r="U674" s="5" t="s">
        <v>82</v>
      </c>
      <c r="V674" s="23" t="n">
        <f>173037000</f>
        <v>1.73037E8</v>
      </c>
      <c r="W674" s="5" t="s">
        <v>767</v>
      </c>
      <c r="X674" s="23" t="str">
        <f>"－"</f>
        <v>－</v>
      </c>
      <c r="Y674" s="23"/>
      <c r="Z674" s="21" t="str">
        <f>"－"</f>
        <v>－</v>
      </c>
      <c r="AA674" s="21" t="n">
        <f>224</f>
        <v>224.0</v>
      </c>
      <c r="AB674" s="4" t="s">
        <v>82</v>
      </c>
      <c r="AC674" s="22" t="n">
        <f>492</f>
        <v>492.0</v>
      </c>
      <c r="AD674" s="5" t="s">
        <v>270</v>
      </c>
      <c r="AE674" s="23" t="n">
        <f>223</f>
        <v>223.0</v>
      </c>
    </row>
    <row r="675">
      <c r="A675" s="24" t="s">
        <v>1425</v>
      </c>
      <c r="B675" s="25" t="s">
        <v>1426</v>
      </c>
      <c r="C675" s="26"/>
      <c r="D675" s="27"/>
      <c r="E675" s="28" t="s">
        <v>118</v>
      </c>
      <c r="F675" s="20" t="n">
        <f>45</f>
        <v>45.0</v>
      </c>
      <c r="G675" s="21" t="n">
        <f>292840</f>
        <v>292840.0</v>
      </c>
      <c r="H675" s="21"/>
      <c r="I675" s="21" t="n">
        <f>462</f>
        <v>462.0</v>
      </c>
      <c r="J675" s="21" t="n">
        <f>6508</f>
        <v>6508.0</v>
      </c>
      <c r="K675" s="21" t="n">
        <f>10</f>
        <v>10.0</v>
      </c>
      <c r="L675" s="4" t="s">
        <v>1354</v>
      </c>
      <c r="M675" s="22" t="n">
        <f>12961</f>
        <v>12961.0</v>
      </c>
      <c r="N675" s="5" t="s">
        <v>183</v>
      </c>
      <c r="O675" s="23" t="n">
        <f>3431</f>
        <v>3431.0</v>
      </c>
      <c r="P675" s="3" t="s">
        <v>1427</v>
      </c>
      <c r="Q675" s="21"/>
      <c r="R675" s="3" t="s">
        <v>1428</v>
      </c>
      <c r="S675" s="21" t="n">
        <f>10227327922</f>
        <v>1.0227327922E10</v>
      </c>
      <c r="T675" s="21" t="n">
        <f>15511333</f>
        <v>1.5511333E7</v>
      </c>
      <c r="U675" s="5" t="s">
        <v>1132</v>
      </c>
      <c r="V675" s="23" t="n">
        <f>21314192500</f>
        <v>2.13141925E10</v>
      </c>
      <c r="W675" s="5" t="s">
        <v>183</v>
      </c>
      <c r="X675" s="23" t="n">
        <f>5335284000</f>
        <v>5.335284E9</v>
      </c>
      <c r="Y675" s="23"/>
      <c r="Z675" s="21" t="n">
        <f>118</f>
        <v>118.0</v>
      </c>
      <c r="AA675" s="21" t="n">
        <f>24717</f>
        <v>24717.0</v>
      </c>
      <c r="AB675" s="4" t="s">
        <v>1354</v>
      </c>
      <c r="AC675" s="22" t="n">
        <f>25744</f>
        <v>25744.0</v>
      </c>
      <c r="AD675" s="5" t="s">
        <v>481</v>
      </c>
      <c r="AE675" s="23" t="n">
        <f>22035</f>
        <v>22035.0</v>
      </c>
    </row>
    <row r="676">
      <c r="A676" s="24" t="s">
        <v>1425</v>
      </c>
      <c r="B676" s="25" t="s">
        <v>1426</v>
      </c>
      <c r="C676" s="26"/>
      <c r="D676" s="27"/>
      <c r="E676" s="28" t="s">
        <v>124</v>
      </c>
      <c r="F676" s="20" t="n">
        <f>123</f>
        <v>123.0</v>
      </c>
      <c r="G676" s="21" t="n">
        <f>1210081</f>
        <v>1210081.0</v>
      </c>
      <c r="H676" s="21"/>
      <c r="I676" s="21" t="n">
        <f>411</f>
        <v>411.0</v>
      </c>
      <c r="J676" s="21" t="n">
        <f>9838</f>
        <v>9838.0</v>
      </c>
      <c r="K676" s="21" t="n">
        <f>3</f>
        <v>3.0</v>
      </c>
      <c r="L676" s="4" t="s">
        <v>1097</v>
      </c>
      <c r="M676" s="22" t="n">
        <f>26560</f>
        <v>26560.0</v>
      </c>
      <c r="N676" s="5" t="s">
        <v>277</v>
      </c>
      <c r="O676" s="23" t="n">
        <f>3300</f>
        <v>3300.0</v>
      </c>
      <c r="P676" s="3" t="s">
        <v>1429</v>
      </c>
      <c r="Q676" s="21"/>
      <c r="R676" s="3" t="s">
        <v>1430</v>
      </c>
      <c r="S676" s="21" t="n">
        <f>17972679325</f>
        <v>1.7972679325E10</v>
      </c>
      <c r="T676" s="21" t="n">
        <f>5410272</f>
        <v>5410272.0</v>
      </c>
      <c r="U676" s="5" t="s">
        <v>1097</v>
      </c>
      <c r="V676" s="23" t="n">
        <f>58595744000</f>
        <v>5.8595744E10</v>
      </c>
      <c r="W676" s="5" t="s">
        <v>277</v>
      </c>
      <c r="X676" s="23" t="n">
        <f>4884801000</f>
        <v>4.884801E9</v>
      </c>
      <c r="Y676" s="23"/>
      <c r="Z676" s="21" t="n">
        <f>945</f>
        <v>945.0</v>
      </c>
      <c r="AA676" s="21" t="n">
        <f>28792</f>
        <v>28792.0</v>
      </c>
      <c r="AB676" s="4" t="s">
        <v>330</v>
      </c>
      <c r="AC676" s="22" t="n">
        <f>28792</f>
        <v>28792.0</v>
      </c>
      <c r="AD676" s="5" t="s">
        <v>541</v>
      </c>
      <c r="AE676" s="23" t="n">
        <f>20237</f>
        <v>20237.0</v>
      </c>
    </row>
    <row r="677">
      <c r="A677" s="24" t="s">
        <v>1425</v>
      </c>
      <c r="B677" s="25" t="s">
        <v>1426</v>
      </c>
      <c r="C677" s="26"/>
      <c r="D677" s="27"/>
      <c r="E677" s="28" t="s">
        <v>127</v>
      </c>
      <c r="F677" s="20" t="n">
        <f>122</f>
        <v>122.0</v>
      </c>
      <c r="G677" s="21" t="n">
        <f>1289081</f>
        <v>1289081.0</v>
      </c>
      <c r="H677" s="21"/>
      <c r="I677" s="21" t="n">
        <f>824</f>
        <v>824.0</v>
      </c>
      <c r="J677" s="21" t="n">
        <f>10566</f>
        <v>10566.0</v>
      </c>
      <c r="K677" s="21" t="n">
        <f>7</f>
        <v>7.0</v>
      </c>
      <c r="L677" s="4" t="s">
        <v>1162</v>
      </c>
      <c r="M677" s="22" t="n">
        <f>27160</f>
        <v>27160.0</v>
      </c>
      <c r="N677" s="5" t="s">
        <v>230</v>
      </c>
      <c r="O677" s="23" t="n">
        <f>3060</f>
        <v>3060.0</v>
      </c>
      <c r="P677" s="3" t="s">
        <v>1431</v>
      </c>
      <c r="Q677" s="21"/>
      <c r="R677" s="3" t="s">
        <v>1432</v>
      </c>
      <c r="S677" s="21" t="n">
        <f>20417635016</f>
        <v>2.0417635016E10</v>
      </c>
      <c r="T677" s="21" t="n">
        <f>12960738</f>
        <v>1.2960738E7</v>
      </c>
      <c r="U677" s="5" t="s">
        <v>1162</v>
      </c>
      <c r="V677" s="23" t="n">
        <f>52267613000</f>
        <v>5.2267613E10</v>
      </c>
      <c r="W677" s="5" t="s">
        <v>230</v>
      </c>
      <c r="X677" s="23" t="n">
        <f>6433256500</f>
        <v>6.4332565E9</v>
      </c>
      <c r="Y677" s="23"/>
      <c r="Z677" s="21" t="n">
        <f>84</f>
        <v>84.0</v>
      </c>
      <c r="AA677" s="21" t="n">
        <f>42660</f>
        <v>42660.0</v>
      </c>
      <c r="AB677" s="4" t="s">
        <v>119</v>
      </c>
      <c r="AC677" s="22" t="n">
        <f>42889</f>
        <v>42889.0</v>
      </c>
      <c r="AD677" s="5" t="s">
        <v>510</v>
      </c>
      <c r="AE677" s="23" t="n">
        <f>26734</f>
        <v>26734.0</v>
      </c>
    </row>
    <row r="678">
      <c r="A678" s="24" t="s">
        <v>1425</v>
      </c>
      <c r="B678" s="25" t="s">
        <v>1426</v>
      </c>
      <c r="C678" s="26"/>
      <c r="D678" s="27"/>
      <c r="E678" s="28" t="s">
        <v>133</v>
      </c>
      <c r="F678" s="20" t="n">
        <f>122</f>
        <v>122.0</v>
      </c>
      <c r="G678" s="21" t="n">
        <f>1225667</f>
        <v>1225667.0</v>
      </c>
      <c r="H678" s="21"/>
      <c r="I678" s="21" t="n">
        <f>525</f>
        <v>525.0</v>
      </c>
      <c r="J678" s="21" t="n">
        <f>10046</f>
        <v>10046.0</v>
      </c>
      <c r="K678" s="21" t="n">
        <f>4</f>
        <v>4.0</v>
      </c>
      <c r="L678" s="4" t="s">
        <v>68</v>
      </c>
      <c r="M678" s="22" t="n">
        <f>27241</f>
        <v>27241.0</v>
      </c>
      <c r="N678" s="5" t="s">
        <v>1433</v>
      </c>
      <c r="O678" s="23" t="n">
        <f>4490</f>
        <v>4490.0</v>
      </c>
      <c r="P678" s="3" t="s">
        <v>1434</v>
      </c>
      <c r="Q678" s="21"/>
      <c r="R678" s="3" t="s">
        <v>1435</v>
      </c>
      <c r="S678" s="21" t="n">
        <f>18844469844</f>
        <v>1.8844469844E10</v>
      </c>
      <c r="T678" s="21" t="n">
        <f>8222611</f>
        <v>8222611.0</v>
      </c>
      <c r="U678" s="5" t="s">
        <v>68</v>
      </c>
      <c r="V678" s="23" t="n">
        <f>57900030000</f>
        <v>5.790003E10</v>
      </c>
      <c r="W678" s="5" t="s">
        <v>1433</v>
      </c>
      <c r="X678" s="23" t="n">
        <f>8023979500</f>
        <v>8.0239795E9</v>
      </c>
      <c r="Y678" s="23"/>
      <c r="Z678" s="21" t="n">
        <f>86</f>
        <v>86.0</v>
      </c>
      <c r="AA678" s="21" t="n">
        <f>27972</f>
        <v>27972.0</v>
      </c>
      <c r="AB678" s="4" t="s">
        <v>221</v>
      </c>
      <c r="AC678" s="22" t="n">
        <f>47141</f>
        <v>47141.0</v>
      </c>
      <c r="AD678" s="5" t="s">
        <v>94</v>
      </c>
      <c r="AE678" s="23" t="n">
        <f>27642</f>
        <v>27642.0</v>
      </c>
    </row>
    <row r="679">
      <c r="A679" s="24" t="s">
        <v>1425</v>
      </c>
      <c r="B679" s="25" t="s">
        <v>1426</v>
      </c>
      <c r="C679" s="26"/>
      <c r="D679" s="27"/>
      <c r="E679" s="28" t="s">
        <v>139</v>
      </c>
      <c r="F679" s="20" t="n">
        <f>123</f>
        <v>123.0</v>
      </c>
      <c r="G679" s="21" t="n">
        <f>1274637</f>
        <v>1274637.0</v>
      </c>
      <c r="H679" s="21"/>
      <c r="I679" s="21" t="n">
        <f>236</f>
        <v>236.0</v>
      </c>
      <c r="J679" s="21" t="n">
        <f>10363</f>
        <v>10363.0</v>
      </c>
      <c r="K679" s="21" t="n">
        <f>2</f>
        <v>2.0</v>
      </c>
      <c r="L679" s="4" t="s">
        <v>631</v>
      </c>
      <c r="M679" s="22" t="n">
        <f>25712</f>
        <v>25712.0</v>
      </c>
      <c r="N679" s="5" t="s">
        <v>834</v>
      </c>
      <c r="O679" s="23" t="n">
        <f>4893</f>
        <v>4893.0</v>
      </c>
      <c r="P679" s="3" t="s">
        <v>1436</v>
      </c>
      <c r="Q679" s="21"/>
      <c r="R679" s="3" t="s">
        <v>1437</v>
      </c>
      <c r="S679" s="21" t="n">
        <f>20091068301</f>
        <v>2.0091068301E10</v>
      </c>
      <c r="T679" s="21" t="n">
        <f>3798622</f>
        <v>3798622.0</v>
      </c>
      <c r="U679" s="5" t="s">
        <v>631</v>
      </c>
      <c r="V679" s="23" t="n">
        <f>50259792000</f>
        <v>5.0259792E10</v>
      </c>
      <c r="W679" s="5" t="s">
        <v>672</v>
      </c>
      <c r="X679" s="23" t="n">
        <f>9472070000</f>
        <v>9.47207E9</v>
      </c>
      <c r="Y679" s="23"/>
      <c r="Z679" s="21" t="n">
        <f>67</f>
        <v>67.0</v>
      </c>
      <c r="AA679" s="21" t="n">
        <f>26365</f>
        <v>26365.0</v>
      </c>
      <c r="AB679" s="4" t="s">
        <v>709</v>
      </c>
      <c r="AC679" s="22" t="n">
        <f>35064</f>
        <v>35064.0</v>
      </c>
      <c r="AD679" s="5" t="s">
        <v>132</v>
      </c>
      <c r="AE679" s="23" t="n">
        <f>25277</f>
        <v>25277.0</v>
      </c>
    </row>
    <row r="680">
      <c r="A680" s="24" t="s">
        <v>1425</v>
      </c>
      <c r="B680" s="25" t="s">
        <v>1426</v>
      </c>
      <c r="C680" s="26"/>
      <c r="D680" s="27"/>
      <c r="E680" s="28" t="s">
        <v>145</v>
      </c>
      <c r="F680" s="20" t="n">
        <f>122</f>
        <v>122.0</v>
      </c>
      <c r="G680" s="21" t="n">
        <f>1197023</f>
        <v>1197023.0</v>
      </c>
      <c r="H680" s="21"/>
      <c r="I680" s="21" t="n">
        <f>161</f>
        <v>161.0</v>
      </c>
      <c r="J680" s="21" t="n">
        <f>9812</f>
        <v>9812.0</v>
      </c>
      <c r="K680" s="21" t="n">
        <f>1</f>
        <v>1.0</v>
      </c>
      <c r="L680" s="4" t="s">
        <v>516</v>
      </c>
      <c r="M680" s="22" t="n">
        <f>18400</f>
        <v>18400.0</v>
      </c>
      <c r="N680" s="5" t="s">
        <v>81</v>
      </c>
      <c r="O680" s="23" t="n">
        <f>3882</f>
        <v>3882.0</v>
      </c>
      <c r="P680" s="3" t="s">
        <v>1438</v>
      </c>
      <c r="Q680" s="21"/>
      <c r="R680" s="3" t="s">
        <v>1439</v>
      </c>
      <c r="S680" s="21" t="n">
        <f>20741665619</f>
        <v>2.0741665619E10</v>
      </c>
      <c r="T680" s="21" t="n">
        <f>2795791</f>
        <v>2795791.0</v>
      </c>
      <c r="U680" s="5" t="s">
        <v>285</v>
      </c>
      <c r="V680" s="23" t="n">
        <f>38250875000</f>
        <v>3.8250875E10</v>
      </c>
      <c r="W680" s="5" t="s">
        <v>81</v>
      </c>
      <c r="X680" s="23" t="n">
        <f>8401626000</f>
        <v>8.401626E9</v>
      </c>
      <c r="Y680" s="23"/>
      <c r="Z680" s="21" t="n">
        <f>57</f>
        <v>57.0</v>
      </c>
      <c r="AA680" s="21" t="n">
        <f>35406</f>
        <v>35406.0</v>
      </c>
      <c r="AB680" s="4" t="s">
        <v>149</v>
      </c>
      <c r="AC680" s="22" t="n">
        <f>43869</f>
        <v>43869.0</v>
      </c>
      <c r="AD680" s="5" t="s">
        <v>669</v>
      </c>
      <c r="AE680" s="23" t="n">
        <f>24519</f>
        <v>24519.0</v>
      </c>
    </row>
    <row r="681">
      <c r="A681" s="24" t="s">
        <v>1425</v>
      </c>
      <c r="B681" s="25" t="s">
        <v>1426</v>
      </c>
      <c r="C681" s="26"/>
      <c r="D681" s="27"/>
      <c r="E681" s="28" t="s">
        <v>150</v>
      </c>
      <c r="F681" s="20" t="n">
        <f>124</f>
        <v>124.0</v>
      </c>
      <c r="G681" s="21" t="n">
        <f>1084848</f>
        <v>1084848.0</v>
      </c>
      <c r="H681" s="21"/>
      <c r="I681" s="21" t="n">
        <f>216</f>
        <v>216.0</v>
      </c>
      <c r="J681" s="21" t="n">
        <f>8749</f>
        <v>8749.0</v>
      </c>
      <c r="K681" s="21" t="n">
        <f>2</f>
        <v>2.0</v>
      </c>
      <c r="L681" s="4" t="s">
        <v>227</v>
      </c>
      <c r="M681" s="22" t="n">
        <f>28292</f>
        <v>28292.0</v>
      </c>
      <c r="N681" s="5" t="s">
        <v>151</v>
      </c>
      <c r="O681" s="23" t="n">
        <f>2832</f>
        <v>2832.0</v>
      </c>
      <c r="P681" s="3" t="s">
        <v>1440</v>
      </c>
      <c r="Q681" s="21"/>
      <c r="R681" s="3" t="s">
        <v>1441</v>
      </c>
      <c r="S681" s="21" t="n">
        <f>19177686754</f>
        <v>1.9177686754E10</v>
      </c>
      <c r="T681" s="21" t="n">
        <f>3951577</f>
        <v>3951577.0</v>
      </c>
      <c r="U681" s="5" t="s">
        <v>227</v>
      </c>
      <c r="V681" s="23" t="n">
        <f>63853098000</f>
        <v>6.3853098E10</v>
      </c>
      <c r="W681" s="5" t="s">
        <v>151</v>
      </c>
      <c r="X681" s="23" t="n">
        <f>5977867500</f>
        <v>5.9778675E9</v>
      </c>
      <c r="Y681" s="23"/>
      <c r="Z681" s="21" t="n">
        <f>1722</f>
        <v>1722.0</v>
      </c>
      <c r="AA681" s="21" t="n">
        <f>32973</f>
        <v>32973.0</v>
      </c>
      <c r="AB681" s="4" t="s">
        <v>544</v>
      </c>
      <c r="AC681" s="22" t="n">
        <f>39011</f>
        <v>39011.0</v>
      </c>
      <c r="AD681" s="5" t="s">
        <v>1080</v>
      </c>
      <c r="AE681" s="23" t="n">
        <f>24580</f>
        <v>24580.0</v>
      </c>
    </row>
    <row r="682">
      <c r="A682" s="24" t="s">
        <v>1425</v>
      </c>
      <c r="B682" s="25" t="s">
        <v>1426</v>
      </c>
      <c r="C682" s="26"/>
      <c r="D682" s="27"/>
      <c r="E682" s="28" t="s">
        <v>154</v>
      </c>
      <c r="F682" s="20" t="n">
        <f>120</f>
        <v>120.0</v>
      </c>
      <c r="G682" s="21" t="n">
        <f>1469788</f>
        <v>1469788.0</v>
      </c>
      <c r="H682" s="21"/>
      <c r="I682" s="21" t="n">
        <f>5438</f>
        <v>5438.0</v>
      </c>
      <c r="J682" s="21" t="n">
        <f>12248</f>
        <v>12248.0</v>
      </c>
      <c r="K682" s="21" t="n">
        <f>45</f>
        <v>45.0</v>
      </c>
      <c r="L682" s="4" t="s">
        <v>187</v>
      </c>
      <c r="M682" s="22" t="n">
        <f>25550</f>
        <v>25550.0</v>
      </c>
      <c r="N682" s="5" t="s">
        <v>50</v>
      </c>
      <c r="O682" s="23" t="n">
        <f>3716</f>
        <v>3716.0</v>
      </c>
      <c r="P682" s="3" t="s">
        <v>1442</v>
      </c>
      <c r="Q682" s="21"/>
      <c r="R682" s="3" t="s">
        <v>1443</v>
      </c>
      <c r="S682" s="21" t="n">
        <f>26470603396</f>
        <v>2.6470603396E10</v>
      </c>
      <c r="T682" s="21" t="n">
        <f>97847150</f>
        <v>9.784715E7</v>
      </c>
      <c r="U682" s="5" t="s">
        <v>187</v>
      </c>
      <c r="V682" s="23" t="n">
        <f>55983422500</f>
        <v>5.59834225E10</v>
      </c>
      <c r="W682" s="5" t="s">
        <v>50</v>
      </c>
      <c r="X682" s="23" t="n">
        <f>8163493000</f>
        <v>8.163493E9</v>
      </c>
      <c r="Y682" s="23"/>
      <c r="Z682" s="21" t="n">
        <f>1609</f>
        <v>1609.0</v>
      </c>
      <c r="AA682" s="21" t="n">
        <f>30768</f>
        <v>30768.0</v>
      </c>
      <c r="AB682" s="4" t="s">
        <v>901</v>
      </c>
      <c r="AC682" s="22" t="n">
        <f>51986</f>
        <v>51986.0</v>
      </c>
      <c r="AD682" s="5" t="s">
        <v>352</v>
      </c>
      <c r="AE682" s="23" t="n">
        <f>26984</f>
        <v>26984.0</v>
      </c>
    </row>
    <row r="683">
      <c r="A683" s="24" t="s">
        <v>1444</v>
      </c>
      <c r="B683" s="25" t="s">
        <v>1445</v>
      </c>
      <c r="C683" s="26"/>
      <c r="D683" s="27"/>
      <c r="E683" s="28" t="s">
        <v>118</v>
      </c>
      <c r="F683" s="20" t="n">
        <f>45</f>
        <v>45.0</v>
      </c>
      <c r="G683" s="21" t="n">
        <f>30268</f>
        <v>30268.0</v>
      </c>
      <c r="H683" s="21"/>
      <c r="I683" s="21" t="n">
        <f>376</f>
        <v>376.0</v>
      </c>
      <c r="J683" s="21" t="n">
        <f>673</f>
        <v>673.0</v>
      </c>
      <c r="K683" s="21" t="n">
        <f>8</f>
        <v>8.0</v>
      </c>
      <c r="L683" s="4" t="s">
        <v>312</v>
      </c>
      <c r="M683" s="22" t="n">
        <f>1161</f>
        <v>1161.0</v>
      </c>
      <c r="N683" s="5" t="s">
        <v>1446</v>
      </c>
      <c r="O683" s="23" t="n">
        <f>263</f>
        <v>263.0</v>
      </c>
      <c r="P683" s="3" t="s">
        <v>1447</v>
      </c>
      <c r="Q683" s="21"/>
      <c r="R683" s="3" t="s">
        <v>1448</v>
      </c>
      <c r="S683" s="21" t="n">
        <f>211216538</f>
        <v>2.11216538E8</v>
      </c>
      <c r="T683" s="21" t="n">
        <f>2528793</f>
        <v>2528793.0</v>
      </c>
      <c r="U683" s="5" t="s">
        <v>312</v>
      </c>
      <c r="V683" s="23" t="n">
        <f>372881300</f>
        <v>3.728813E8</v>
      </c>
      <c r="W683" s="5" t="s">
        <v>1446</v>
      </c>
      <c r="X683" s="23" t="n">
        <f>82431600</f>
        <v>8.24316E7</v>
      </c>
      <c r="Y683" s="23"/>
      <c r="Z683" s="21" t="str">
        <f>"－"</f>
        <v>－</v>
      </c>
      <c r="AA683" s="21" t="n">
        <f>2370</f>
        <v>2370.0</v>
      </c>
      <c r="AB683" s="4" t="s">
        <v>248</v>
      </c>
      <c r="AC683" s="22" t="n">
        <f>2370</f>
        <v>2370.0</v>
      </c>
      <c r="AD683" s="5" t="s">
        <v>398</v>
      </c>
      <c r="AE683" s="23" t="n">
        <f>1961</f>
        <v>1961.0</v>
      </c>
    </row>
    <row r="684">
      <c r="A684" s="24" t="s">
        <v>1444</v>
      </c>
      <c r="B684" s="25" t="s">
        <v>1445</v>
      </c>
      <c r="C684" s="26"/>
      <c r="D684" s="27"/>
      <c r="E684" s="28" t="s">
        <v>124</v>
      </c>
      <c r="F684" s="20" t="n">
        <f>123</f>
        <v>123.0</v>
      </c>
      <c r="G684" s="21" t="n">
        <f>166847</f>
        <v>166847.0</v>
      </c>
      <c r="H684" s="21"/>
      <c r="I684" s="21" t="str">
        <f>"－"</f>
        <v>－</v>
      </c>
      <c r="J684" s="21" t="n">
        <f>1356</f>
        <v>1356.0</v>
      </c>
      <c r="K684" s="21" t="str">
        <f>"－"</f>
        <v>－</v>
      </c>
      <c r="L684" s="4" t="s">
        <v>404</v>
      </c>
      <c r="M684" s="22" t="n">
        <f>6027</f>
        <v>6027.0</v>
      </c>
      <c r="N684" s="5" t="s">
        <v>277</v>
      </c>
      <c r="O684" s="23" t="n">
        <f>366</f>
        <v>366.0</v>
      </c>
      <c r="P684" s="3" t="s">
        <v>1449</v>
      </c>
      <c r="Q684" s="21"/>
      <c r="R684" s="3" t="s">
        <v>247</v>
      </c>
      <c r="S684" s="21" t="n">
        <f>490921246</f>
        <v>4.90921246E8</v>
      </c>
      <c r="T684" s="21" t="str">
        <f>"－"</f>
        <v>－</v>
      </c>
      <c r="U684" s="5" t="s">
        <v>404</v>
      </c>
      <c r="V684" s="23" t="n">
        <f>2011479500</f>
        <v>2.0114795E9</v>
      </c>
      <c r="W684" s="5" t="s">
        <v>277</v>
      </c>
      <c r="X684" s="23" t="n">
        <f>108340300</f>
        <v>1.083403E8</v>
      </c>
      <c r="Y684" s="23"/>
      <c r="Z684" s="21" t="str">
        <f>"－"</f>
        <v>－</v>
      </c>
      <c r="AA684" s="21" t="n">
        <f>2247</f>
        <v>2247.0</v>
      </c>
      <c r="AB684" s="4" t="s">
        <v>321</v>
      </c>
      <c r="AC684" s="22" t="n">
        <f>2614</f>
        <v>2614.0</v>
      </c>
      <c r="AD684" s="5" t="s">
        <v>726</v>
      </c>
      <c r="AE684" s="23" t="n">
        <f>1708</f>
        <v>1708.0</v>
      </c>
    </row>
    <row r="685">
      <c r="A685" s="24" t="s">
        <v>1444</v>
      </c>
      <c r="B685" s="25" t="s">
        <v>1445</v>
      </c>
      <c r="C685" s="26"/>
      <c r="D685" s="27"/>
      <c r="E685" s="28" t="s">
        <v>127</v>
      </c>
      <c r="F685" s="20" t="n">
        <f>122</f>
        <v>122.0</v>
      </c>
      <c r="G685" s="21" t="n">
        <f>139436</f>
        <v>139436.0</v>
      </c>
      <c r="H685" s="21"/>
      <c r="I685" s="21" t="n">
        <f>3</f>
        <v>3.0</v>
      </c>
      <c r="J685" s="21" t="n">
        <f>1143</f>
        <v>1143.0</v>
      </c>
      <c r="K685" s="21" t="n">
        <f>0</f>
        <v>0.0</v>
      </c>
      <c r="L685" s="4" t="s">
        <v>895</v>
      </c>
      <c r="M685" s="22" t="n">
        <f>4049</f>
        <v>4049.0</v>
      </c>
      <c r="N685" s="5" t="s">
        <v>230</v>
      </c>
      <c r="O685" s="23" t="n">
        <f>290</f>
        <v>290.0</v>
      </c>
      <c r="P685" s="3" t="s">
        <v>1450</v>
      </c>
      <c r="Q685" s="21"/>
      <c r="R685" s="3" t="s">
        <v>1451</v>
      </c>
      <c r="S685" s="21" t="n">
        <f>437508543</f>
        <v>4.37508543E8</v>
      </c>
      <c r="T685" s="21" t="n">
        <f>8926</f>
        <v>8926.0</v>
      </c>
      <c r="U685" s="5" t="s">
        <v>895</v>
      </c>
      <c r="V685" s="23" t="n">
        <f>1399555200</f>
        <v>1.3995552E9</v>
      </c>
      <c r="W685" s="5" t="s">
        <v>230</v>
      </c>
      <c r="X685" s="23" t="n">
        <f>121966100</f>
        <v>1.219661E8</v>
      </c>
      <c r="Y685" s="23"/>
      <c r="Z685" s="21" t="str">
        <f>"－"</f>
        <v>－</v>
      </c>
      <c r="AA685" s="21" t="n">
        <f>3227</f>
        <v>3227.0</v>
      </c>
      <c r="AB685" s="4" t="s">
        <v>930</v>
      </c>
      <c r="AC685" s="22" t="n">
        <f>3620</f>
        <v>3620.0</v>
      </c>
      <c r="AD685" s="5" t="s">
        <v>848</v>
      </c>
      <c r="AE685" s="23" t="n">
        <f>2172</f>
        <v>2172.0</v>
      </c>
    </row>
    <row r="686">
      <c r="A686" s="24" t="s">
        <v>1444</v>
      </c>
      <c r="B686" s="25" t="s">
        <v>1445</v>
      </c>
      <c r="C686" s="26"/>
      <c r="D686" s="27"/>
      <c r="E686" s="28" t="s">
        <v>133</v>
      </c>
      <c r="F686" s="20" t="n">
        <f>122</f>
        <v>122.0</v>
      </c>
      <c r="G686" s="21" t="n">
        <f>281154</f>
        <v>281154.0</v>
      </c>
      <c r="H686" s="21"/>
      <c r="I686" s="21" t="n">
        <f>51</f>
        <v>51.0</v>
      </c>
      <c r="J686" s="21" t="n">
        <f>2305</f>
        <v>2305.0</v>
      </c>
      <c r="K686" s="21" t="n">
        <f>0</f>
        <v>0.0</v>
      </c>
      <c r="L686" s="4" t="s">
        <v>68</v>
      </c>
      <c r="M686" s="22" t="n">
        <f>6430</f>
        <v>6430.0</v>
      </c>
      <c r="N686" s="5" t="s">
        <v>134</v>
      </c>
      <c r="O686" s="23" t="n">
        <f>622</f>
        <v>622.0</v>
      </c>
      <c r="P686" s="3" t="s">
        <v>1452</v>
      </c>
      <c r="Q686" s="21"/>
      <c r="R686" s="3" t="s">
        <v>1453</v>
      </c>
      <c r="S686" s="21" t="n">
        <f>866900341</f>
        <v>8.66900341E8</v>
      </c>
      <c r="T686" s="21" t="n">
        <f>143900</f>
        <v>143900.0</v>
      </c>
      <c r="U686" s="5" t="s">
        <v>68</v>
      </c>
      <c r="V686" s="23" t="n">
        <f>2716228500</f>
        <v>2.7162285E9</v>
      </c>
      <c r="W686" s="5" t="s">
        <v>134</v>
      </c>
      <c r="X686" s="23" t="n">
        <f>221669000</f>
        <v>2.21669E8</v>
      </c>
      <c r="Y686" s="23"/>
      <c r="Z686" s="21" t="str">
        <f>"－"</f>
        <v>－</v>
      </c>
      <c r="AA686" s="21" t="n">
        <f>3278</f>
        <v>3278.0</v>
      </c>
      <c r="AB686" s="4" t="s">
        <v>221</v>
      </c>
      <c r="AC686" s="22" t="n">
        <f>5589</f>
        <v>5589.0</v>
      </c>
      <c r="AD686" s="5" t="s">
        <v>149</v>
      </c>
      <c r="AE686" s="23" t="n">
        <f>2657</f>
        <v>2657.0</v>
      </c>
    </row>
    <row r="687">
      <c r="A687" s="24" t="s">
        <v>1444</v>
      </c>
      <c r="B687" s="25" t="s">
        <v>1445</v>
      </c>
      <c r="C687" s="26"/>
      <c r="D687" s="27"/>
      <c r="E687" s="28" t="s">
        <v>139</v>
      </c>
      <c r="F687" s="20" t="n">
        <f>123</f>
        <v>123.0</v>
      </c>
      <c r="G687" s="21" t="n">
        <f>236091</f>
        <v>236091.0</v>
      </c>
      <c r="H687" s="21"/>
      <c r="I687" s="21" t="n">
        <f>61</f>
        <v>61.0</v>
      </c>
      <c r="J687" s="21" t="n">
        <f>1919</f>
        <v>1919.0</v>
      </c>
      <c r="K687" s="21" t="n">
        <f>0</f>
        <v>0.0</v>
      </c>
      <c r="L687" s="4" t="s">
        <v>224</v>
      </c>
      <c r="M687" s="22" t="n">
        <f>4335</f>
        <v>4335.0</v>
      </c>
      <c r="N687" s="5" t="s">
        <v>818</v>
      </c>
      <c r="O687" s="23" t="n">
        <f>757</f>
        <v>757.0</v>
      </c>
      <c r="P687" s="3" t="s">
        <v>1454</v>
      </c>
      <c r="Q687" s="21"/>
      <c r="R687" s="3" t="s">
        <v>1455</v>
      </c>
      <c r="S687" s="21" t="n">
        <f>743671963</f>
        <v>7.43671963E8</v>
      </c>
      <c r="T687" s="21" t="n">
        <f>194781</f>
        <v>194781.0</v>
      </c>
      <c r="U687" s="5" t="s">
        <v>224</v>
      </c>
      <c r="V687" s="23" t="n">
        <f>1673499700</f>
        <v>1.6734997E9</v>
      </c>
      <c r="W687" s="5" t="s">
        <v>818</v>
      </c>
      <c r="X687" s="23" t="n">
        <f>295389000</f>
        <v>2.95389E8</v>
      </c>
      <c r="Y687" s="23"/>
      <c r="Z687" s="21" t="str">
        <f>"－"</f>
        <v>－</v>
      </c>
      <c r="AA687" s="21" t="n">
        <f>3120</f>
        <v>3120.0</v>
      </c>
      <c r="AB687" s="4" t="s">
        <v>84</v>
      </c>
      <c r="AC687" s="22" t="n">
        <f>3861</f>
        <v>3861.0</v>
      </c>
      <c r="AD687" s="5" t="s">
        <v>469</v>
      </c>
      <c r="AE687" s="23" t="n">
        <f>2268</f>
        <v>2268.0</v>
      </c>
    </row>
    <row r="688">
      <c r="A688" s="24" t="s">
        <v>1444</v>
      </c>
      <c r="B688" s="25" t="s">
        <v>1445</v>
      </c>
      <c r="C688" s="26"/>
      <c r="D688" s="27"/>
      <c r="E688" s="28" t="s">
        <v>145</v>
      </c>
      <c r="F688" s="20" t="n">
        <f>122</f>
        <v>122.0</v>
      </c>
      <c r="G688" s="21" t="n">
        <f>170353</f>
        <v>170353.0</v>
      </c>
      <c r="H688" s="21"/>
      <c r="I688" s="21" t="n">
        <f>8</f>
        <v>8.0</v>
      </c>
      <c r="J688" s="21" t="n">
        <f>1396</f>
        <v>1396.0</v>
      </c>
      <c r="K688" s="21" t="n">
        <f>0</f>
        <v>0.0</v>
      </c>
      <c r="L688" s="4" t="s">
        <v>382</v>
      </c>
      <c r="M688" s="22" t="n">
        <f>3795</f>
        <v>3795.0</v>
      </c>
      <c r="N688" s="5" t="s">
        <v>568</v>
      </c>
      <c r="O688" s="23" t="n">
        <f>503</f>
        <v>503.0</v>
      </c>
      <c r="P688" s="3" t="s">
        <v>1456</v>
      </c>
      <c r="Q688" s="21"/>
      <c r="R688" s="3" t="s">
        <v>1457</v>
      </c>
      <c r="S688" s="21" t="n">
        <f>591446693</f>
        <v>5.91446693E8</v>
      </c>
      <c r="T688" s="21" t="n">
        <f>27642</f>
        <v>27642.0</v>
      </c>
      <c r="U688" s="5" t="s">
        <v>382</v>
      </c>
      <c r="V688" s="23" t="n">
        <f>1606772550</f>
        <v>1.60677255E9</v>
      </c>
      <c r="W688" s="5" t="s">
        <v>568</v>
      </c>
      <c r="X688" s="23" t="n">
        <f>203209450</f>
        <v>2.0320945E8</v>
      </c>
      <c r="Y688" s="23"/>
      <c r="Z688" s="21" t="str">
        <f>"－"</f>
        <v>－</v>
      </c>
      <c r="AA688" s="21" t="n">
        <f>3060</f>
        <v>3060.0</v>
      </c>
      <c r="AB688" s="4" t="s">
        <v>1282</v>
      </c>
      <c r="AC688" s="22" t="n">
        <f>3978</f>
        <v>3978.0</v>
      </c>
      <c r="AD688" s="5" t="s">
        <v>178</v>
      </c>
      <c r="AE688" s="23" t="n">
        <f>2668</f>
        <v>2668.0</v>
      </c>
    </row>
    <row r="689">
      <c r="A689" s="24" t="s">
        <v>1444</v>
      </c>
      <c r="B689" s="25" t="s">
        <v>1445</v>
      </c>
      <c r="C689" s="26"/>
      <c r="D689" s="27"/>
      <c r="E689" s="28" t="s">
        <v>150</v>
      </c>
      <c r="F689" s="20" t="n">
        <f>124</f>
        <v>124.0</v>
      </c>
      <c r="G689" s="21" t="n">
        <f>108557</f>
        <v>108557.0</v>
      </c>
      <c r="H689" s="21"/>
      <c r="I689" s="21" t="n">
        <f>2</f>
        <v>2.0</v>
      </c>
      <c r="J689" s="21" t="n">
        <f>875</f>
        <v>875.0</v>
      </c>
      <c r="K689" s="21" t="n">
        <f>0</f>
        <v>0.0</v>
      </c>
      <c r="L689" s="4" t="s">
        <v>227</v>
      </c>
      <c r="M689" s="22" t="n">
        <f>2871</f>
        <v>2871.0</v>
      </c>
      <c r="N689" s="5" t="s">
        <v>151</v>
      </c>
      <c r="O689" s="23" t="n">
        <f>301</f>
        <v>301.0</v>
      </c>
      <c r="P689" s="3" t="s">
        <v>1458</v>
      </c>
      <c r="Q689" s="21"/>
      <c r="R689" s="3" t="s">
        <v>1459</v>
      </c>
      <c r="S689" s="21" t="n">
        <f>383872604</f>
        <v>3.83872604E8</v>
      </c>
      <c r="T689" s="21" t="n">
        <f>6720</f>
        <v>6720.0</v>
      </c>
      <c r="U689" s="5" t="s">
        <v>227</v>
      </c>
      <c r="V689" s="23" t="n">
        <f>1296122500</f>
        <v>1.2961225E9</v>
      </c>
      <c r="W689" s="5" t="s">
        <v>151</v>
      </c>
      <c r="X689" s="23" t="n">
        <f>126689850</f>
        <v>1.2668985E8</v>
      </c>
      <c r="Y689" s="23"/>
      <c r="Z689" s="21" t="str">
        <f>"－"</f>
        <v>－</v>
      </c>
      <c r="AA689" s="21" t="n">
        <f>3055</f>
        <v>3055.0</v>
      </c>
      <c r="AB689" s="4" t="s">
        <v>1460</v>
      </c>
      <c r="AC689" s="22" t="n">
        <f>3619</f>
        <v>3619.0</v>
      </c>
      <c r="AD689" s="5" t="s">
        <v>302</v>
      </c>
      <c r="AE689" s="23" t="n">
        <f>2339</f>
        <v>2339.0</v>
      </c>
    </row>
    <row r="690">
      <c r="A690" s="24" t="s">
        <v>1444</v>
      </c>
      <c r="B690" s="25" t="s">
        <v>1445</v>
      </c>
      <c r="C690" s="26"/>
      <c r="D690" s="27"/>
      <c r="E690" s="28" t="s">
        <v>154</v>
      </c>
      <c r="F690" s="20" t="n">
        <f>120</f>
        <v>120.0</v>
      </c>
      <c r="G690" s="21" t="n">
        <f>109818</f>
        <v>109818.0</v>
      </c>
      <c r="H690" s="21"/>
      <c r="I690" s="21" t="n">
        <f>1</f>
        <v>1.0</v>
      </c>
      <c r="J690" s="21" t="n">
        <f>915</f>
        <v>915.0</v>
      </c>
      <c r="K690" s="21" t="n">
        <f>0</f>
        <v>0.0</v>
      </c>
      <c r="L690" s="4" t="s">
        <v>1304</v>
      </c>
      <c r="M690" s="22" t="n">
        <f>1674</f>
        <v>1674.0</v>
      </c>
      <c r="N690" s="5" t="s">
        <v>50</v>
      </c>
      <c r="O690" s="23" t="n">
        <f>300</f>
        <v>300.0</v>
      </c>
      <c r="P690" s="3" t="s">
        <v>1461</v>
      </c>
      <c r="Q690" s="21"/>
      <c r="R690" s="3" t="s">
        <v>1462</v>
      </c>
      <c r="S690" s="21" t="n">
        <f>394856042</f>
        <v>3.94856042E8</v>
      </c>
      <c r="T690" s="21" t="n">
        <f>3465</f>
        <v>3465.0</v>
      </c>
      <c r="U690" s="5" t="s">
        <v>1304</v>
      </c>
      <c r="V690" s="23" t="n">
        <f>720987150</f>
        <v>7.2098715E8</v>
      </c>
      <c r="W690" s="5" t="s">
        <v>50</v>
      </c>
      <c r="X690" s="23" t="n">
        <f>131597550</f>
        <v>1.3159755E8</v>
      </c>
      <c r="Y690" s="23"/>
      <c r="Z690" s="21" t="str">
        <f>"－"</f>
        <v>－</v>
      </c>
      <c r="AA690" s="21" t="n">
        <f>2600</f>
        <v>2600.0</v>
      </c>
      <c r="AB690" s="4" t="s">
        <v>432</v>
      </c>
      <c r="AC690" s="22" t="n">
        <f>3379</f>
        <v>3379.0</v>
      </c>
      <c r="AD690" s="5" t="s">
        <v>257</v>
      </c>
      <c r="AE690" s="23" t="n">
        <f>2128</f>
        <v>2128.0</v>
      </c>
    </row>
    <row r="691">
      <c r="A691" s="24" t="s">
        <v>1463</v>
      </c>
      <c r="B691" s="25" t="s">
        <v>1464</v>
      </c>
      <c r="C691" s="26"/>
      <c r="D691" s="27"/>
      <c r="E691" s="28" t="s">
        <v>118</v>
      </c>
      <c r="F691" s="20" t="n">
        <f>45</f>
        <v>45.0</v>
      </c>
      <c r="G691" s="21" t="n">
        <f>16894</f>
        <v>16894.0</v>
      </c>
      <c r="H691" s="21"/>
      <c r="I691" s="21" t="str">
        <f>"－"</f>
        <v>－</v>
      </c>
      <c r="J691" s="21" t="n">
        <f>375</f>
        <v>375.0</v>
      </c>
      <c r="K691" s="21" t="str">
        <f>"－"</f>
        <v>－</v>
      </c>
      <c r="L691" s="4" t="s">
        <v>198</v>
      </c>
      <c r="M691" s="22" t="n">
        <f>964</f>
        <v>964.0</v>
      </c>
      <c r="N691" s="5" t="s">
        <v>183</v>
      </c>
      <c r="O691" s="23" t="n">
        <f>100</f>
        <v>100.0</v>
      </c>
      <c r="P691" s="3" t="s">
        <v>1465</v>
      </c>
      <c r="Q691" s="21"/>
      <c r="R691" s="3" t="s">
        <v>247</v>
      </c>
      <c r="S691" s="21" t="n">
        <f>118973716</f>
        <v>1.18973716E8</v>
      </c>
      <c r="T691" s="21" t="str">
        <f>"－"</f>
        <v>－</v>
      </c>
      <c r="U691" s="5" t="s">
        <v>198</v>
      </c>
      <c r="V691" s="23" t="n">
        <f>315789900</f>
        <v>3.157899E8</v>
      </c>
      <c r="W691" s="5" t="s">
        <v>183</v>
      </c>
      <c r="X691" s="23" t="n">
        <f>31546800</f>
        <v>3.15468E7</v>
      </c>
      <c r="Y691" s="23"/>
      <c r="Z691" s="21" t="str">
        <f>"－"</f>
        <v>－</v>
      </c>
      <c r="AA691" s="21" t="n">
        <f>11570</f>
        <v>11570.0</v>
      </c>
      <c r="AB691" s="4" t="s">
        <v>1446</v>
      </c>
      <c r="AC691" s="22" t="n">
        <f>12078</f>
        <v>12078.0</v>
      </c>
      <c r="AD691" s="5" t="s">
        <v>120</v>
      </c>
      <c r="AE691" s="23" t="n">
        <f>11371</f>
        <v>11371.0</v>
      </c>
    </row>
    <row r="692">
      <c r="A692" s="24" t="s">
        <v>1463</v>
      </c>
      <c r="B692" s="25" t="s">
        <v>1464</v>
      </c>
      <c r="C692" s="26"/>
      <c r="D692" s="27"/>
      <c r="E692" s="28" t="s">
        <v>124</v>
      </c>
      <c r="F692" s="20" t="n">
        <f>123</f>
        <v>123.0</v>
      </c>
      <c r="G692" s="21" t="n">
        <f>59139</f>
        <v>59139.0</v>
      </c>
      <c r="H692" s="21"/>
      <c r="I692" s="21" t="n">
        <f>1</f>
        <v>1.0</v>
      </c>
      <c r="J692" s="21" t="n">
        <f>481</f>
        <v>481.0</v>
      </c>
      <c r="K692" s="21" t="n">
        <f>0</f>
        <v>0.0</v>
      </c>
      <c r="L692" s="4" t="s">
        <v>1097</v>
      </c>
      <c r="M692" s="22" t="n">
        <f>1612</f>
        <v>1612.0</v>
      </c>
      <c r="N692" s="5" t="s">
        <v>339</v>
      </c>
      <c r="O692" s="23" t="n">
        <f>71</f>
        <v>71.0</v>
      </c>
      <c r="P692" s="3" t="s">
        <v>1466</v>
      </c>
      <c r="Q692" s="21"/>
      <c r="R692" s="3" t="s">
        <v>1467</v>
      </c>
      <c r="S692" s="21" t="n">
        <f>178260458</f>
        <v>1.78260458E8</v>
      </c>
      <c r="T692" s="21" t="n">
        <f>3669</f>
        <v>3669.0</v>
      </c>
      <c r="U692" s="5" t="s">
        <v>1097</v>
      </c>
      <c r="V692" s="23" t="n">
        <f>713770600</f>
        <v>7.137706E8</v>
      </c>
      <c r="W692" s="5" t="s">
        <v>339</v>
      </c>
      <c r="X692" s="23" t="n">
        <f>22014000</f>
        <v>2.2014E7</v>
      </c>
      <c r="Y692" s="23"/>
      <c r="Z692" s="21" t="str">
        <f>"－"</f>
        <v>－</v>
      </c>
      <c r="AA692" s="21" t="n">
        <f>12670</f>
        <v>12670.0</v>
      </c>
      <c r="AB692" s="4" t="s">
        <v>270</v>
      </c>
      <c r="AC692" s="22" t="n">
        <f>12678</f>
        <v>12678.0</v>
      </c>
      <c r="AD692" s="5" t="s">
        <v>541</v>
      </c>
      <c r="AE692" s="23" t="n">
        <f>11171</f>
        <v>11171.0</v>
      </c>
    </row>
    <row r="693">
      <c r="A693" s="24" t="s">
        <v>1463</v>
      </c>
      <c r="B693" s="25" t="s">
        <v>1464</v>
      </c>
      <c r="C693" s="26"/>
      <c r="D693" s="27"/>
      <c r="E693" s="28" t="s">
        <v>127</v>
      </c>
      <c r="F693" s="20" t="n">
        <f>122</f>
        <v>122.0</v>
      </c>
      <c r="G693" s="21" t="n">
        <f>57810</f>
        <v>57810.0</v>
      </c>
      <c r="H693" s="21"/>
      <c r="I693" s="21" t="n">
        <f>907</f>
        <v>907.0</v>
      </c>
      <c r="J693" s="21" t="n">
        <f>474</f>
        <v>474.0</v>
      </c>
      <c r="K693" s="21" t="n">
        <f>7</f>
        <v>7.0</v>
      </c>
      <c r="L693" s="4" t="s">
        <v>398</v>
      </c>
      <c r="M693" s="22" t="n">
        <f>2157</f>
        <v>2157.0</v>
      </c>
      <c r="N693" s="5" t="s">
        <v>230</v>
      </c>
      <c r="O693" s="23" t="n">
        <f>61</f>
        <v>61.0</v>
      </c>
      <c r="P693" s="3" t="s">
        <v>1468</v>
      </c>
      <c r="Q693" s="21"/>
      <c r="R693" s="3" t="s">
        <v>1469</v>
      </c>
      <c r="S693" s="21" t="n">
        <f>187488493</f>
        <v>1.87488493E8</v>
      </c>
      <c r="T693" s="21" t="n">
        <f>3077412</f>
        <v>3077412.0</v>
      </c>
      <c r="U693" s="5" t="s">
        <v>398</v>
      </c>
      <c r="V693" s="23" t="n">
        <f>768293600</f>
        <v>7.682936E8</v>
      </c>
      <c r="W693" s="5" t="s">
        <v>230</v>
      </c>
      <c r="X693" s="23" t="n">
        <f>26080100</f>
        <v>2.60801E7</v>
      </c>
      <c r="Y693" s="23"/>
      <c r="Z693" s="21" t="str">
        <f>"－"</f>
        <v>－</v>
      </c>
      <c r="AA693" s="21" t="n">
        <f>13241</f>
        <v>13241.0</v>
      </c>
      <c r="AB693" s="4" t="s">
        <v>75</v>
      </c>
      <c r="AC693" s="22" t="n">
        <f>14080</f>
        <v>14080.0</v>
      </c>
      <c r="AD693" s="5" t="s">
        <v>848</v>
      </c>
      <c r="AE693" s="23" t="n">
        <f>11967</f>
        <v>11967.0</v>
      </c>
    </row>
    <row r="694">
      <c r="A694" s="24" t="s">
        <v>1463</v>
      </c>
      <c r="B694" s="25" t="s">
        <v>1464</v>
      </c>
      <c r="C694" s="26"/>
      <c r="D694" s="27"/>
      <c r="E694" s="28" t="s">
        <v>133</v>
      </c>
      <c r="F694" s="20" t="n">
        <f>122</f>
        <v>122.0</v>
      </c>
      <c r="G694" s="21" t="n">
        <f>54326</f>
        <v>54326.0</v>
      </c>
      <c r="H694" s="21"/>
      <c r="I694" s="21" t="n">
        <f>82</f>
        <v>82.0</v>
      </c>
      <c r="J694" s="21" t="n">
        <f>445</f>
        <v>445.0</v>
      </c>
      <c r="K694" s="21" t="n">
        <f>1</f>
        <v>1.0</v>
      </c>
      <c r="L694" s="4" t="s">
        <v>68</v>
      </c>
      <c r="M694" s="22" t="n">
        <f>1713</f>
        <v>1713.0</v>
      </c>
      <c r="N694" s="5" t="s">
        <v>208</v>
      </c>
      <c r="O694" s="23" t="n">
        <f>100</f>
        <v>100.0</v>
      </c>
      <c r="P694" s="3" t="s">
        <v>1470</v>
      </c>
      <c r="Q694" s="21"/>
      <c r="R694" s="3" t="s">
        <v>1471</v>
      </c>
      <c r="S694" s="21" t="n">
        <f>170023736</f>
        <v>1.70023736E8</v>
      </c>
      <c r="T694" s="21" t="n">
        <f>259849</f>
        <v>259849.0</v>
      </c>
      <c r="U694" s="5" t="s">
        <v>68</v>
      </c>
      <c r="V694" s="23" t="n">
        <f>732928600</f>
        <v>7.329286E8</v>
      </c>
      <c r="W694" s="5" t="s">
        <v>339</v>
      </c>
      <c r="X694" s="23" t="n">
        <f>36613600</f>
        <v>3.66136E7</v>
      </c>
      <c r="Y694" s="23"/>
      <c r="Z694" s="21" t="str">
        <f>"－"</f>
        <v>－</v>
      </c>
      <c r="AA694" s="21" t="n">
        <f>13344</f>
        <v>13344.0</v>
      </c>
      <c r="AB694" s="4" t="s">
        <v>901</v>
      </c>
      <c r="AC694" s="22" t="n">
        <f>13855</f>
        <v>13855.0</v>
      </c>
      <c r="AD694" s="5" t="s">
        <v>641</v>
      </c>
      <c r="AE694" s="23" t="n">
        <f>12782</f>
        <v>12782.0</v>
      </c>
    </row>
    <row r="695">
      <c r="A695" s="24" t="s">
        <v>1463</v>
      </c>
      <c r="B695" s="25" t="s">
        <v>1464</v>
      </c>
      <c r="C695" s="26"/>
      <c r="D695" s="27"/>
      <c r="E695" s="28" t="s">
        <v>139</v>
      </c>
      <c r="F695" s="20" t="n">
        <f>123</f>
        <v>123.0</v>
      </c>
      <c r="G695" s="21" t="n">
        <f>106589</f>
        <v>106589.0</v>
      </c>
      <c r="H695" s="21"/>
      <c r="I695" s="21" t="str">
        <f>"－"</f>
        <v>－</v>
      </c>
      <c r="J695" s="21" t="n">
        <f>867</f>
        <v>867.0</v>
      </c>
      <c r="K695" s="21" t="str">
        <f>"－"</f>
        <v>－</v>
      </c>
      <c r="L695" s="4" t="s">
        <v>174</v>
      </c>
      <c r="M695" s="22" t="n">
        <f>3256</f>
        <v>3256.0</v>
      </c>
      <c r="N695" s="5" t="s">
        <v>85</v>
      </c>
      <c r="O695" s="23" t="n">
        <f>139</f>
        <v>139.0</v>
      </c>
      <c r="P695" s="3" t="s">
        <v>1472</v>
      </c>
      <c r="Q695" s="21"/>
      <c r="R695" s="3" t="s">
        <v>247</v>
      </c>
      <c r="S695" s="21" t="n">
        <f>343712339</f>
        <v>3.43712339E8</v>
      </c>
      <c r="T695" s="21" t="str">
        <f>"－"</f>
        <v>－</v>
      </c>
      <c r="U695" s="5" t="s">
        <v>174</v>
      </c>
      <c r="V695" s="23" t="n">
        <f>1276830000</f>
        <v>1.27683E9</v>
      </c>
      <c r="W695" s="5" t="s">
        <v>85</v>
      </c>
      <c r="X695" s="23" t="n">
        <f>54023200</f>
        <v>5.40232E7</v>
      </c>
      <c r="Y695" s="23"/>
      <c r="Z695" s="21" t="str">
        <f>"－"</f>
        <v>－</v>
      </c>
      <c r="AA695" s="21" t="n">
        <f>17279</f>
        <v>17279.0</v>
      </c>
      <c r="AB695" s="4" t="s">
        <v>458</v>
      </c>
      <c r="AC695" s="22" t="n">
        <f>17822</f>
        <v>17822.0</v>
      </c>
      <c r="AD695" s="5" t="s">
        <v>751</v>
      </c>
      <c r="AE695" s="23" t="n">
        <f>13322</f>
        <v>13322.0</v>
      </c>
    </row>
    <row r="696">
      <c r="A696" s="24" t="s">
        <v>1463</v>
      </c>
      <c r="B696" s="25" t="s">
        <v>1464</v>
      </c>
      <c r="C696" s="26"/>
      <c r="D696" s="27"/>
      <c r="E696" s="28" t="s">
        <v>145</v>
      </c>
      <c r="F696" s="20" t="n">
        <f>122</f>
        <v>122.0</v>
      </c>
      <c r="G696" s="21" t="n">
        <f>174652</f>
        <v>174652.0</v>
      </c>
      <c r="H696" s="21"/>
      <c r="I696" s="21" t="n">
        <f>6</f>
        <v>6.0</v>
      </c>
      <c r="J696" s="21" t="n">
        <f>1432</f>
        <v>1432.0</v>
      </c>
      <c r="K696" s="21" t="n">
        <f>0</f>
        <v>0.0</v>
      </c>
      <c r="L696" s="4" t="s">
        <v>516</v>
      </c>
      <c r="M696" s="22" t="n">
        <f>4558</f>
        <v>4558.0</v>
      </c>
      <c r="N696" s="5" t="s">
        <v>1473</v>
      </c>
      <c r="O696" s="23" t="n">
        <f>277</f>
        <v>277.0</v>
      </c>
      <c r="P696" s="3" t="s">
        <v>1474</v>
      </c>
      <c r="Q696" s="21"/>
      <c r="R696" s="3" t="s">
        <v>1475</v>
      </c>
      <c r="S696" s="21" t="n">
        <f>612633060</f>
        <v>6.1263306E8</v>
      </c>
      <c r="T696" s="21" t="n">
        <f>21607</f>
        <v>21607.0</v>
      </c>
      <c r="U696" s="5" t="s">
        <v>516</v>
      </c>
      <c r="V696" s="23" t="n">
        <f>1902599800</f>
        <v>1.9025998E9</v>
      </c>
      <c r="W696" s="5" t="s">
        <v>1473</v>
      </c>
      <c r="X696" s="23" t="n">
        <f>113075800</f>
        <v>1.130758E8</v>
      </c>
      <c r="Y696" s="23"/>
      <c r="Z696" s="21" t="str">
        <f>"－"</f>
        <v>－</v>
      </c>
      <c r="AA696" s="21" t="n">
        <f>25179</f>
        <v>25179.0</v>
      </c>
      <c r="AB696" s="4" t="s">
        <v>568</v>
      </c>
      <c r="AC696" s="22" t="n">
        <f>25947</f>
        <v>25947.0</v>
      </c>
      <c r="AD696" s="5" t="s">
        <v>321</v>
      </c>
      <c r="AE696" s="23" t="n">
        <f>15683</f>
        <v>15683.0</v>
      </c>
    </row>
    <row r="697">
      <c r="A697" s="24" t="s">
        <v>1463</v>
      </c>
      <c r="B697" s="25" t="s">
        <v>1464</v>
      </c>
      <c r="C697" s="26"/>
      <c r="D697" s="27"/>
      <c r="E697" s="28" t="s">
        <v>150</v>
      </c>
      <c r="F697" s="20" t="n">
        <f>124</f>
        <v>124.0</v>
      </c>
      <c r="G697" s="21" t="n">
        <f>309792</f>
        <v>309792.0</v>
      </c>
      <c r="H697" s="21"/>
      <c r="I697" s="21" t="str">
        <f>"－"</f>
        <v>－</v>
      </c>
      <c r="J697" s="21" t="n">
        <f>2498</f>
        <v>2498.0</v>
      </c>
      <c r="K697" s="21" t="str">
        <f>"－"</f>
        <v>－</v>
      </c>
      <c r="L697" s="4" t="s">
        <v>1072</v>
      </c>
      <c r="M697" s="22" t="n">
        <f>7196</f>
        <v>7196.0</v>
      </c>
      <c r="N697" s="5" t="s">
        <v>510</v>
      </c>
      <c r="O697" s="23" t="n">
        <f>726</f>
        <v>726.0</v>
      </c>
      <c r="P697" s="3" t="s">
        <v>1476</v>
      </c>
      <c r="Q697" s="21"/>
      <c r="R697" s="3" t="s">
        <v>247</v>
      </c>
      <c r="S697" s="21" t="n">
        <f>1105621993</f>
        <v>1.105621993E9</v>
      </c>
      <c r="T697" s="21" t="str">
        <f>"－"</f>
        <v>－</v>
      </c>
      <c r="U697" s="5" t="s">
        <v>1072</v>
      </c>
      <c r="V697" s="23" t="n">
        <f>3131661600</f>
        <v>3.1316616E9</v>
      </c>
      <c r="W697" s="5" t="s">
        <v>510</v>
      </c>
      <c r="X697" s="23" t="n">
        <f>309978800</f>
        <v>3.099788E8</v>
      </c>
      <c r="Y697" s="23"/>
      <c r="Z697" s="21" t="str">
        <f>"－"</f>
        <v>－</v>
      </c>
      <c r="AA697" s="21" t="n">
        <f>33301</f>
        <v>33301.0</v>
      </c>
      <c r="AB697" s="4" t="s">
        <v>520</v>
      </c>
      <c r="AC697" s="22" t="n">
        <f>33950</f>
        <v>33950.0</v>
      </c>
      <c r="AD697" s="5" t="s">
        <v>350</v>
      </c>
      <c r="AE697" s="23" t="n">
        <f>23044</f>
        <v>23044.0</v>
      </c>
    </row>
    <row r="698">
      <c r="A698" s="24" t="s">
        <v>1463</v>
      </c>
      <c r="B698" s="25" t="s">
        <v>1464</v>
      </c>
      <c r="C698" s="26"/>
      <c r="D698" s="27"/>
      <c r="E698" s="28" t="s">
        <v>154</v>
      </c>
      <c r="F698" s="20" t="n">
        <f>120</f>
        <v>120.0</v>
      </c>
      <c r="G698" s="21" t="n">
        <f>637737</f>
        <v>637737.0</v>
      </c>
      <c r="H698" s="21"/>
      <c r="I698" s="21" t="n">
        <f>60</f>
        <v>60.0</v>
      </c>
      <c r="J698" s="21" t="n">
        <f>5314</f>
        <v>5314.0</v>
      </c>
      <c r="K698" s="21" t="n">
        <f>1</f>
        <v>1.0</v>
      </c>
      <c r="L698" s="4" t="s">
        <v>187</v>
      </c>
      <c r="M698" s="22" t="n">
        <f>17299</f>
        <v>17299.0</v>
      </c>
      <c r="N698" s="5" t="s">
        <v>287</v>
      </c>
      <c r="O698" s="23" t="n">
        <f>1134</f>
        <v>1134.0</v>
      </c>
      <c r="P698" s="3" t="s">
        <v>1477</v>
      </c>
      <c r="Q698" s="21"/>
      <c r="R698" s="3" t="s">
        <v>1478</v>
      </c>
      <c r="S698" s="21" t="n">
        <f>2302146328</f>
        <v>2.302146328E9</v>
      </c>
      <c r="T698" s="21" t="n">
        <f>213900</f>
        <v>213900.0</v>
      </c>
      <c r="U698" s="5" t="s">
        <v>187</v>
      </c>
      <c r="V698" s="23" t="n">
        <f>7595997100</f>
        <v>7.5959971E9</v>
      </c>
      <c r="W698" s="5" t="s">
        <v>287</v>
      </c>
      <c r="X698" s="23" t="n">
        <f>494205300</f>
        <v>4.942053E8</v>
      </c>
      <c r="Y698" s="23"/>
      <c r="Z698" s="21" t="str">
        <f>"－"</f>
        <v>－</v>
      </c>
      <c r="AA698" s="21" t="n">
        <f>44516</f>
        <v>44516.0</v>
      </c>
      <c r="AB698" s="4" t="s">
        <v>1056</v>
      </c>
      <c r="AC698" s="22" t="n">
        <f>65135</f>
        <v>65135.0</v>
      </c>
      <c r="AD698" s="5" t="s">
        <v>308</v>
      </c>
      <c r="AE698" s="23" t="n">
        <f>28150</f>
        <v>28150.0</v>
      </c>
    </row>
    <row r="699">
      <c r="A699" s="24" t="s">
        <v>1479</v>
      </c>
      <c r="B699" s="25" t="s">
        <v>1480</v>
      </c>
      <c r="C699" s="26"/>
      <c r="D699" s="27"/>
      <c r="E699" s="28" t="s">
        <v>118</v>
      </c>
      <c r="F699" s="20" t="n">
        <f>45</f>
        <v>45.0</v>
      </c>
      <c r="G699" s="21" t="n">
        <f>1212</f>
        <v>1212.0</v>
      </c>
      <c r="H699" s="21"/>
      <c r="I699" s="21" t="str">
        <f>"－"</f>
        <v>－</v>
      </c>
      <c r="J699" s="21" t="n">
        <f>27</f>
        <v>27.0</v>
      </c>
      <c r="K699" s="21" t="str">
        <f>"－"</f>
        <v>－</v>
      </c>
      <c r="L699" s="4" t="s">
        <v>248</v>
      </c>
      <c r="M699" s="22" t="n">
        <f>518</f>
        <v>518.0</v>
      </c>
      <c r="N699" s="5" t="s">
        <v>61</v>
      </c>
      <c r="O699" s="23" t="str">
        <f>"－"</f>
        <v>－</v>
      </c>
      <c r="P699" s="3" t="s">
        <v>1481</v>
      </c>
      <c r="Q699" s="21"/>
      <c r="R699" s="3" t="s">
        <v>247</v>
      </c>
      <c r="S699" s="21" t="n">
        <f>103156033</f>
        <v>1.03156033E8</v>
      </c>
      <c r="T699" s="21" t="str">
        <f>"－"</f>
        <v>－</v>
      </c>
      <c r="U699" s="5" t="s">
        <v>248</v>
      </c>
      <c r="V699" s="23" t="n">
        <f>2039149000</f>
        <v>2.039149E9</v>
      </c>
      <c r="W699" s="5" t="s">
        <v>61</v>
      </c>
      <c r="X699" s="23" t="str">
        <f>"－"</f>
        <v>－</v>
      </c>
      <c r="Y699" s="23"/>
      <c r="Z699" s="21" t="str">
        <f>"－"</f>
        <v>－</v>
      </c>
      <c r="AA699" s="21" t="n">
        <f>498</f>
        <v>498.0</v>
      </c>
      <c r="AB699" s="4" t="s">
        <v>853</v>
      </c>
      <c r="AC699" s="22" t="n">
        <f>544</f>
        <v>544.0</v>
      </c>
      <c r="AD699" s="5" t="s">
        <v>248</v>
      </c>
      <c r="AE699" s="23" t="n">
        <f>498</f>
        <v>498.0</v>
      </c>
    </row>
    <row r="700">
      <c r="A700" s="24" t="s">
        <v>1479</v>
      </c>
      <c r="B700" s="25" t="s">
        <v>1480</v>
      </c>
      <c r="C700" s="26"/>
      <c r="D700" s="27"/>
      <c r="E700" s="28" t="s">
        <v>124</v>
      </c>
      <c r="F700" s="20" t="n">
        <f>123</f>
        <v>123.0</v>
      </c>
      <c r="G700" s="21" t="n">
        <f>1755</f>
        <v>1755.0</v>
      </c>
      <c r="H700" s="21"/>
      <c r="I700" s="21" t="n">
        <f>140</f>
        <v>140.0</v>
      </c>
      <c r="J700" s="21" t="n">
        <f>14</f>
        <v>14.0</v>
      </c>
      <c r="K700" s="21" t="n">
        <f>1</f>
        <v>1.0</v>
      </c>
      <c r="L700" s="4" t="s">
        <v>1015</v>
      </c>
      <c r="M700" s="22" t="n">
        <f>160</f>
        <v>160.0</v>
      </c>
      <c r="N700" s="5" t="s">
        <v>828</v>
      </c>
      <c r="O700" s="23" t="str">
        <f>"－"</f>
        <v>－</v>
      </c>
      <c r="P700" s="3" t="s">
        <v>1482</v>
      </c>
      <c r="Q700" s="21"/>
      <c r="R700" s="3" t="s">
        <v>1483</v>
      </c>
      <c r="S700" s="21" t="n">
        <f>56815317</f>
        <v>5.6815317E7</v>
      </c>
      <c r="T700" s="21" t="n">
        <f>4282236</f>
        <v>4282236.0</v>
      </c>
      <c r="U700" s="5" t="s">
        <v>1015</v>
      </c>
      <c r="V700" s="23" t="n">
        <f>601932500</f>
        <v>6.019325E8</v>
      </c>
      <c r="W700" s="5" t="s">
        <v>828</v>
      </c>
      <c r="X700" s="23" t="str">
        <f>"－"</f>
        <v>－</v>
      </c>
      <c r="Y700" s="23"/>
      <c r="Z700" s="21" t="str">
        <f>"－"</f>
        <v>－</v>
      </c>
      <c r="AA700" s="21" t="n">
        <f>465</f>
        <v>465.0</v>
      </c>
      <c r="AB700" s="4" t="s">
        <v>69</v>
      </c>
      <c r="AC700" s="22" t="n">
        <f>510</f>
        <v>510.0</v>
      </c>
      <c r="AD700" s="5" t="s">
        <v>714</v>
      </c>
      <c r="AE700" s="23" t="n">
        <f>318</f>
        <v>318.0</v>
      </c>
    </row>
    <row r="701">
      <c r="A701" s="24" t="s">
        <v>1479</v>
      </c>
      <c r="B701" s="25" t="s">
        <v>1480</v>
      </c>
      <c r="C701" s="26"/>
      <c r="D701" s="27"/>
      <c r="E701" s="28" t="s">
        <v>127</v>
      </c>
      <c r="F701" s="20" t="n">
        <f>122</f>
        <v>122.0</v>
      </c>
      <c r="G701" s="21" t="n">
        <f>730</f>
        <v>730.0</v>
      </c>
      <c r="H701" s="21"/>
      <c r="I701" s="21" t="str">
        <f>"－"</f>
        <v>－</v>
      </c>
      <c r="J701" s="21" t="n">
        <f>6</f>
        <v>6.0</v>
      </c>
      <c r="K701" s="21" t="str">
        <f>"－"</f>
        <v>－</v>
      </c>
      <c r="L701" s="4" t="s">
        <v>1377</v>
      </c>
      <c r="M701" s="22" t="n">
        <f>137</f>
        <v>137.0</v>
      </c>
      <c r="N701" s="5" t="s">
        <v>335</v>
      </c>
      <c r="O701" s="23" t="str">
        <f>"－"</f>
        <v>－</v>
      </c>
      <c r="P701" s="3" t="s">
        <v>1484</v>
      </c>
      <c r="Q701" s="21"/>
      <c r="R701" s="3" t="s">
        <v>247</v>
      </c>
      <c r="S701" s="21" t="n">
        <f>29374020</f>
        <v>2.937402E7</v>
      </c>
      <c r="T701" s="21" t="str">
        <f>"－"</f>
        <v>－</v>
      </c>
      <c r="U701" s="5" t="s">
        <v>1377</v>
      </c>
      <c r="V701" s="23" t="n">
        <f>707027000</f>
        <v>7.07027E8</v>
      </c>
      <c r="W701" s="5" t="s">
        <v>335</v>
      </c>
      <c r="X701" s="23" t="str">
        <f>"－"</f>
        <v>－</v>
      </c>
      <c r="Y701" s="23"/>
      <c r="Z701" s="21" t="str">
        <f>"－"</f>
        <v>－</v>
      </c>
      <c r="AA701" s="21" t="n">
        <f>190</f>
        <v>190.0</v>
      </c>
      <c r="AB701" s="4" t="s">
        <v>335</v>
      </c>
      <c r="AC701" s="22" t="n">
        <f>465</f>
        <v>465.0</v>
      </c>
      <c r="AD701" s="5" t="s">
        <v>120</v>
      </c>
      <c r="AE701" s="23" t="n">
        <f>183</f>
        <v>183.0</v>
      </c>
    </row>
    <row r="702">
      <c r="A702" s="24" t="s">
        <v>1479</v>
      </c>
      <c r="B702" s="25" t="s">
        <v>1480</v>
      </c>
      <c r="C702" s="26"/>
      <c r="D702" s="27"/>
      <c r="E702" s="28" t="s">
        <v>133</v>
      </c>
      <c r="F702" s="20" t="n">
        <f>122</f>
        <v>122.0</v>
      </c>
      <c r="G702" s="21" t="n">
        <f>263</f>
        <v>263.0</v>
      </c>
      <c r="H702" s="21"/>
      <c r="I702" s="21" t="n">
        <f>1</f>
        <v>1.0</v>
      </c>
      <c r="J702" s="21" t="n">
        <f>2</f>
        <v>2.0</v>
      </c>
      <c r="K702" s="21" t="n">
        <f>0</f>
        <v>0.0</v>
      </c>
      <c r="L702" s="4" t="s">
        <v>93</v>
      </c>
      <c r="M702" s="22" t="n">
        <f>14</f>
        <v>14.0</v>
      </c>
      <c r="N702" s="5" t="s">
        <v>260</v>
      </c>
      <c r="O702" s="23" t="str">
        <f>"－"</f>
        <v>－</v>
      </c>
      <c r="P702" s="3" t="s">
        <v>1485</v>
      </c>
      <c r="Q702" s="21"/>
      <c r="R702" s="3" t="s">
        <v>1486</v>
      </c>
      <c r="S702" s="21" t="n">
        <f>8679922</f>
        <v>8679922.0</v>
      </c>
      <c r="T702" s="21" t="n">
        <f>31361</f>
        <v>31361.0</v>
      </c>
      <c r="U702" s="5" t="s">
        <v>93</v>
      </c>
      <c r="V702" s="23" t="n">
        <f>79612500</f>
        <v>7.96125E7</v>
      </c>
      <c r="W702" s="5" t="s">
        <v>260</v>
      </c>
      <c r="X702" s="23" t="str">
        <f>"－"</f>
        <v>－</v>
      </c>
      <c r="Y702" s="23"/>
      <c r="Z702" s="21" t="str">
        <f>"－"</f>
        <v>－</v>
      </c>
      <c r="AA702" s="21" t="n">
        <f>41</f>
        <v>41.0</v>
      </c>
      <c r="AB702" s="4" t="s">
        <v>69</v>
      </c>
      <c r="AC702" s="22" t="n">
        <f>192</f>
        <v>192.0</v>
      </c>
      <c r="AD702" s="5" t="s">
        <v>146</v>
      </c>
      <c r="AE702" s="23" t="n">
        <f>35</f>
        <v>35.0</v>
      </c>
    </row>
    <row r="703">
      <c r="A703" s="24" t="s">
        <v>1479</v>
      </c>
      <c r="B703" s="25" t="s">
        <v>1480</v>
      </c>
      <c r="C703" s="26"/>
      <c r="D703" s="27"/>
      <c r="E703" s="28" t="s">
        <v>139</v>
      </c>
      <c r="F703" s="20" t="n">
        <f>123</f>
        <v>123.0</v>
      </c>
      <c r="G703" s="21" t="n">
        <f>53</f>
        <v>53.0</v>
      </c>
      <c r="H703" s="21"/>
      <c r="I703" s="21" t="str">
        <f>"－"</f>
        <v>－</v>
      </c>
      <c r="J703" s="21" t="n">
        <f>0</f>
        <v>0.0</v>
      </c>
      <c r="K703" s="21" t="str">
        <f>"－"</f>
        <v>－</v>
      </c>
      <c r="L703" s="4" t="s">
        <v>350</v>
      </c>
      <c r="M703" s="22" t="n">
        <f>12</f>
        <v>12.0</v>
      </c>
      <c r="N703" s="5" t="s">
        <v>751</v>
      </c>
      <c r="O703" s="23" t="str">
        <f>"－"</f>
        <v>－</v>
      </c>
      <c r="P703" s="3" t="s">
        <v>1487</v>
      </c>
      <c r="Q703" s="21"/>
      <c r="R703" s="3" t="s">
        <v>247</v>
      </c>
      <c r="S703" s="21" t="n">
        <f>1998146</f>
        <v>1998146.0</v>
      </c>
      <c r="T703" s="21" t="str">
        <f>"－"</f>
        <v>－</v>
      </c>
      <c r="U703" s="5" t="s">
        <v>350</v>
      </c>
      <c r="V703" s="23" t="n">
        <f>59789500</f>
        <v>5.97895E7</v>
      </c>
      <c r="W703" s="5" t="s">
        <v>751</v>
      </c>
      <c r="X703" s="23" t="str">
        <f>"－"</f>
        <v>－</v>
      </c>
      <c r="Y703" s="23"/>
      <c r="Z703" s="21" t="str">
        <f>"－"</f>
        <v>－</v>
      </c>
      <c r="AA703" s="21" t="n">
        <f>26</f>
        <v>26.0</v>
      </c>
      <c r="AB703" s="4" t="s">
        <v>350</v>
      </c>
      <c r="AC703" s="22" t="n">
        <f>42</f>
        <v>42.0</v>
      </c>
      <c r="AD703" s="5" t="s">
        <v>119</v>
      </c>
      <c r="AE703" s="23" t="n">
        <f>25</f>
        <v>25.0</v>
      </c>
    </row>
    <row r="704">
      <c r="A704" s="24" t="s">
        <v>1479</v>
      </c>
      <c r="B704" s="25" t="s">
        <v>1480</v>
      </c>
      <c r="C704" s="26"/>
      <c r="D704" s="27"/>
      <c r="E704" s="28" t="s">
        <v>145</v>
      </c>
      <c r="F704" s="20" t="n">
        <f>122</f>
        <v>122.0</v>
      </c>
      <c r="G704" s="21" t="n">
        <f>35</f>
        <v>35.0</v>
      </c>
      <c r="H704" s="21"/>
      <c r="I704" s="21" t="str">
        <f>"－"</f>
        <v>－</v>
      </c>
      <c r="J704" s="21" t="n">
        <f>0</f>
        <v>0.0</v>
      </c>
      <c r="K704" s="21" t="str">
        <f>"－"</f>
        <v>－</v>
      </c>
      <c r="L704" s="4" t="s">
        <v>404</v>
      </c>
      <c r="M704" s="22" t="n">
        <f>5</f>
        <v>5.0</v>
      </c>
      <c r="N704" s="5" t="s">
        <v>221</v>
      </c>
      <c r="O704" s="23" t="str">
        <f>"－"</f>
        <v>－</v>
      </c>
      <c r="P704" s="3" t="s">
        <v>1488</v>
      </c>
      <c r="Q704" s="21"/>
      <c r="R704" s="3" t="s">
        <v>247</v>
      </c>
      <c r="S704" s="21" t="n">
        <f>1152193</f>
        <v>1152193.0</v>
      </c>
      <c r="T704" s="21" t="str">
        <f>"－"</f>
        <v>－</v>
      </c>
      <c r="U704" s="5" t="s">
        <v>339</v>
      </c>
      <c r="V704" s="23" t="n">
        <f>20400000</f>
        <v>2.04E7</v>
      </c>
      <c r="W704" s="5" t="s">
        <v>221</v>
      </c>
      <c r="X704" s="23" t="str">
        <f>"－"</f>
        <v>－</v>
      </c>
      <c r="Y704" s="23"/>
      <c r="Z704" s="21" t="str">
        <f>"－"</f>
        <v>－</v>
      </c>
      <c r="AA704" s="21" t="n">
        <f>11</f>
        <v>11.0</v>
      </c>
      <c r="AB704" s="4" t="s">
        <v>82</v>
      </c>
      <c r="AC704" s="22" t="n">
        <f>27</f>
        <v>27.0</v>
      </c>
      <c r="AD704" s="5" t="s">
        <v>149</v>
      </c>
      <c r="AE704" s="23" t="n">
        <f>8</f>
        <v>8.0</v>
      </c>
    </row>
    <row r="705">
      <c r="A705" s="24" t="s">
        <v>1479</v>
      </c>
      <c r="B705" s="25" t="s">
        <v>1480</v>
      </c>
      <c r="C705" s="26"/>
      <c r="D705" s="27"/>
      <c r="E705" s="28" t="s">
        <v>150</v>
      </c>
      <c r="F705" s="20" t="n">
        <f>124</f>
        <v>124.0</v>
      </c>
      <c r="G705" s="21" t="n">
        <f>9</f>
        <v>9.0</v>
      </c>
      <c r="H705" s="21"/>
      <c r="I705" s="21" t="str">
        <f>"－"</f>
        <v>－</v>
      </c>
      <c r="J705" s="21" t="n">
        <f>0</f>
        <v>0.0</v>
      </c>
      <c r="K705" s="21" t="str">
        <f>"－"</f>
        <v>－</v>
      </c>
      <c r="L705" s="4" t="s">
        <v>750</v>
      </c>
      <c r="M705" s="22" t="n">
        <f>3</f>
        <v>3.0</v>
      </c>
      <c r="N705" s="5" t="s">
        <v>666</v>
      </c>
      <c r="O705" s="23" t="str">
        <f>"－"</f>
        <v>－</v>
      </c>
      <c r="P705" s="3" t="s">
        <v>1489</v>
      </c>
      <c r="Q705" s="21"/>
      <c r="R705" s="3" t="s">
        <v>247</v>
      </c>
      <c r="S705" s="21" t="n">
        <f>222117</f>
        <v>222117.0</v>
      </c>
      <c r="T705" s="21" t="str">
        <f>"－"</f>
        <v>－</v>
      </c>
      <c r="U705" s="5" t="s">
        <v>750</v>
      </c>
      <c r="V705" s="23" t="n">
        <f>8925000</f>
        <v>8925000.0</v>
      </c>
      <c r="W705" s="5" t="s">
        <v>666</v>
      </c>
      <c r="X705" s="23" t="str">
        <f>"－"</f>
        <v>－</v>
      </c>
      <c r="Y705" s="23"/>
      <c r="Z705" s="21" t="str">
        <f>"－"</f>
        <v>－</v>
      </c>
      <c r="AA705" s="21" t="n">
        <f>4</f>
        <v>4.0</v>
      </c>
      <c r="AB705" s="4" t="s">
        <v>666</v>
      </c>
      <c r="AC705" s="22" t="n">
        <f>11</f>
        <v>11.0</v>
      </c>
      <c r="AD705" s="5" t="s">
        <v>254</v>
      </c>
      <c r="AE705" s="23" t="n">
        <f>4</f>
        <v>4.0</v>
      </c>
    </row>
    <row r="706">
      <c r="A706" s="24" t="s">
        <v>1479</v>
      </c>
      <c r="B706" s="25" t="s">
        <v>1480</v>
      </c>
      <c r="C706" s="26"/>
      <c r="D706" s="27"/>
      <c r="E706" s="28" t="s">
        <v>154</v>
      </c>
      <c r="F706" s="20" t="n">
        <f>120</f>
        <v>120.0</v>
      </c>
      <c r="G706" s="21" t="n">
        <f>4</f>
        <v>4.0</v>
      </c>
      <c r="H706" s="21"/>
      <c r="I706" s="21" t="str">
        <f>"－"</f>
        <v>－</v>
      </c>
      <c r="J706" s="21" t="n">
        <f>0</f>
        <v>0.0</v>
      </c>
      <c r="K706" s="21" t="str">
        <f>"－"</f>
        <v>－</v>
      </c>
      <c r="L706" s="4" t="s">
        <v>138</v>
      </c>
      <c r="M706" s="22" t="n">
        <f>3</f>
        <v>3.0</v>
      </c>
      <c r="N706" s="5" t="s">
        <v>268</v>
      </c>
      <c r="O706" s="23" t="str">
        <f>"－"</f>
        <v>－</v>
      </c>
      <c r="P706" s="3" t="s">
        <v>1490</v>
      </c>
      <c r="Q706" s="21"/>
      <c r="R706" s="3" t="s">
        <v>247</v>
      </c>
      <c r="S706" s="21" t="n">
        <f>77000</f>
        <v>77000.0</v>
      </c>
      <c r="T706" s="21" t="str">
        <f>"－"</f>
        <v>－</v>
      </c>
      <c r="U706" s="5" t="s">
        <v>138</v>
      </c>
      <c r="V706" s="23" t="n">
        <f>6440000</f>
        <v>6440000.0</v>
      </c>
      <c r="W706" s="5" t="s">
        <v>268</v>
      </c>
      <c r="X706" s="23" t="str">
        <f>"－"</f>
        <v>－</v>
      </c>
      <c r="Y706" s="23"/>
      <c r="Z706" s="21" t="str">
        <f>"－"</f>
        <v>－</v>
      </c>
      <c r="AA706" s="21" t="str">
        <f>"－"</f>
        <v>－</v>
      </c>
      <c r="AB706" s="4" t="s">
        <v>268</v>
      </c>
      <c r="AC706" s="22" t="n">
        <f>4</f>
        <v>4.0</v>
      </c>
      <c r="AD706" s="5" t="s">
        <v>582</v>
      </c>
      <c r="AE706" s="23" t="str">
        <f>"－"</f>
        <v>－</v>
      </c>
    </row>
    <row r="707">
      <c r="A707" s="24" t="s">
        <v>1491</v>
      </c>
      <c r="B707" s="25" t="s">
        <v>1492</v>
      </c>
      <c r="C707" s="26"/>
      <c r="D707" s="27"/>
      <c r="E707" s="28" t="s">
        <v>127</v>
      </c>
      <c r="F707" s="20" t="n">
        <f>7</f>
        <v>7.0</v>
      </c>
      <c r="G707" s="21" t="n">
        <f>2575</f>
        <v>2575.0</v>
      </c>
      <c r="H707" s="21"/>
      <c r="I707" s="21" t="n">
        <f>14</f>
        <v>14.0</v>
      </c>
      <c r="J707" s="21" t="n">
        <f>368</f>
        <v>368.0</v>
      </c>
      <c r="K707" s="21" t="n">
        <f>2</f>
        <v>2.0</v>
      </c>
      <c r="L707" s="4" t="s">
        <v>254</v>
      </c>
      <c r="M707" s="22" t="n">
        <f>439</f>
        <v>439.0</v>
      </c>
      <c r="N707" s="5" t="s">
        <v>248</v>
      </c>
      <c r="O707" s="23" t="n">
        <f>305</f>
        <v>305.0</v>
      </c>
      <c r="P707" s="3" t="s">
        <v>1493</v>
      </c>
      <c r="Q707" s="21"/>
      <c r="R707" s="3" t="s">
        <v>1494</v>
      </c>
      <c r="S707" s="21" t="n">
        <f>648443929</f>
        <v>6.48443929E8</v>
      </c>
      <c r="T707" s="21" t="n">
        <f>3521714</f>
        <v>3521714.0</v>
      </c>
      <c r="U707" s="5" t="s">
        <v>254</v>
      </c>
      <c r="V707" s="23" t="n">
        <f>757163500</f>
        <v>7.571635E8</v>
      </c>
      <c r="W707" s="5" t="s">
        <v>248</v>
      </c>
      <c r="X707" s="23" t="n">
        <f>550358000</f>
        <v>5.50358E8</v>
      </c>
      <c r="Y707" s="23"/>
      <c r="Z707" s="21" t="str">
        <f>"－"</f>
        <v>－</v>
      </c>
      <c r="AA707" s="21" t="n">
        <f>704</f>
        <v>704.0</v>
      </c>
      <c r="AB707" s="4" t="s">
        <v>248</v>
      </c>
      <c r="AC707" s="22" t="n">
        <f>704</f>
        <v>704.0</v>
      </c>
      <c r="AD707" s="5" t="s">
        <v>254</v>
      </c>
      <c r="AE707" s="23" t="n">
        <f>346</f>
        <v>346.0</v>
      </c>
    </row>
    <row r="708">
      <c r="A708" s="24" t="s">
        <v>1491</v>
      </c>
      <c r="B708" s="25" t="s">
        <v>1492</v>
      </c>
      <c r="C708" s="26"/>
      <c r="D708" s="27"/>
      <c r="E708" s="28" t="s">
        <v>133</v>
      </c>
      <c r="F708" s="20" t="n">
        <f>122</f>
        <v>122.0</v>
      </c>
      <c r="G708" s="21" t="n">
        <f>10629</f>
        <v>10629.0</v>
      </c>
      <c r="H708" s="21"/>
      <c r="I708" s="21" t="n">
        <f>119</f>
        <v>119.0</v>
      </c>
      <c r="J708" s="21" t="n">
        <f>87</f>
        <v>87.0</v>
      </c>
      <c r="K708" s="21" t="n">
        <f>1</f>
        <v>1.0</v>
      </c>
      <c r="L708" s="4" t="s">
        <v>1495</v>
      </c>
      <c r="M708" s="22" t="n">
        <f>1013</f>
        <v>1013.0</v>
      </c>
      <c r="N708" s="5" t="s">
        <v>171</v>
      </c>
      <c r="O708" s="23" t="str">
        <f>"－"</f>
        <v>－</v>
      </c>
      <c r="P708" s="3" t="s">
        <v>1496</v>
      </c>
      <c r="Q708" s="21"/>
      <c r="R708" s="3" t="s">
        <v>1497</v>
      </c>
      <c r="S708" s="21" t="n">
        <f>171904419</f>
        <v>1.71904419E8</v>
      </c>
      <c r="T708" s="21" t="n">
        <f>1934697</f>
        <v>1934697.0</v>
      </c>
      <c r="U708" s="5" t="s">
        <v>1495</v>
      </c>
      <c r="V708" s="23" t="n">
        <f>2022557000</f>
        <v>2.022557E9</v>
      </c>
      <c r="W708" s="5" t="s">
        <v>171</v>
      </c>
      <c r="X708" s="23" t="str">
        <f>"－"</f>
        <v>－</v>
      </c>
      <c r="Y708" s="23"/>
      <c r="Z708" s="21" t="str">
        <f>"－"</f>
        <v>－</v>
      </c>
      <c r="AA708" s="21" t="n">
        <f>92</f>
        <v>92.0</v>
      </c>
      <c r="AB708" s="4" t="s">
        <v>69</v>
      </c>
      <c r="AC708" s="22" t="n">
        <f>966</f>
        <v>966.0</v>
      </c>
      <c r="AD708" s="5" t="s">
        <v>568</v>
      </c>
      <c r="AE708" s="23" t="n">
        <f>92</f>
        <v>92.0</v>
      </c>
    </row>
    <row r="709">
      <c r="A709" s="24" t="s">
        <v>1491</v>
      </c>
      <c r="B709" s="25" t="s">
        <v>1492</v>
      </c>
      <c r="C709" s="26"/>
      <c r="D709" s="27"/>
      <c r="E709" s="28" t="s">
        <v>139</v>
      </c>
      <c r="F709" s="20" t="n">
        <f>123</f>
        <v>123.0</v>
      </c>
      <c r="G709" s="21" t="n">
        <f>367</f>
        <v>367.0</v>
      </c>
      <c r="H709" s="21"/>
      <c r="I709" s="21" t="n">
        <f>19</f>
        <v>19.0</v>
      </c>
      <c r="J709" s="21" t="n">
        <f>3</f>
        <v>3.0</v>
      </c>
      <c r="K709" s="21" t="n">
        <f>0</f>
        <v>0.0</v>
      </c>
      <c r="L709" s="4" t="s">
        <v>672</v>
      </c>
      <c r="M709" s="22" t="n">
        <f>50</f>
        <v>50.0</v>
      </c>
      <c r="N709" s="5" t="s">
        <v>510</v>
      </c>
      <c r="O709" s="23" t="str">
        <f>"－"</f>
        <v>－</v>
      </c>
      <c r="P709" s="3" t="s">
        <v>1498</v>
      </c>
      <c r="Q709" s="21"/>
      <c r="R709" s="3" t="s">
        <v>1499</v>
      </c>
      <c r="S709" s="21" t="n">
        <f>7559077</f>
        <v>7559077.0</v>
      </c>
      <c r="T709" s="21" t="n">
        <f>395037</f>
        <v>395037.0</v>
      </c>
      <c r="U709" s="5" t="s">
        <v>672</v>
      </c>
      <c r="V709" s="23" t="n">
        <f>122797000</f>
        <v>1.22797E8</v>
      </c>
      <c r="W709" s="5" t="s">
        <v>510</v>
      </c>
      <c r="X709" s="23" t="str">
        <f>"－"</f>
        <v>－</v>
      </c>
      <c r="Y709" s="23"/>
      <c r="Z709" s="21" t="str">
        <f>"－"</f>
        <v>－</v>
      </c>
      <c r="AA709" s="21" t="n">
        <f>10</f>
        <v>10.0</v>
      </c>
      <c r="AB709" s="4" t="s">
        <v>335</v>
      </c>
      <c r="AC709" s="22" t="n">
        <f>90</f>
        <v>90.0</v>
      </c>
      <c r="AD709" s="5" t="s">
        <v>458</v>
      </c>
      <c r="AE709" s="23" t="str">
        <f>"－"</f>
        <v>－</v>
      </c>
    </row>
    <row r="710">
      <c r="A710" s="24" t="s">
        <v>1491</v>
      </c>
      <c r="B710" s="25" t="s">
        <v>1492</v>
      </c>
      <c r="C710" s="26"/>
      <c r="D710" s="27"/>
      <c r="E710" s="28" t="s">
        <v>145</v>
      </c>
      <c r="F710" s="20" t="n">
        <f>122</f>
        <v>122.0</v>
      </c>
      <c r="G710" s="21" t="n">
        <f>37</f>
        <v>37.0</v>
      </c>
      <c r="H710" s="21"/>
      <c r="I710" s="21" t="str">
        <f>"－"</f>
        <v>－</v>
      </c>
      <c r="J710" s="21" t="n">
        <f>0</f>
        <v>0.0</v>
      </c>
      <c r="K710" s="21" t="str">
        <f>"－"</f>
        <v>－</v>
      </c>
      <c r="L710" s="4" t="s">
        <v>809</v>
      </c>
      <c r="M710" s="22" t="n">
        <f>20</f>
        <v>20.0</v>
      </c>
      <c r="N710" s="5" t="s">
        <v>519</v>
      </c>
      <c r="O710" s="23" t="str">
        <f>"－"</f>
        <v>－</v>
      </c>
      <c r="P710" s="3" t="s">
        <v>1500</v>
      </c>
      <c r="Q710" s="21"/>
      <c r="R710" s="3" t="s">
        <v>247</v>
      </c>
      <c r="S710" s="21" t="n">
        <f>589230</f>
        <v>589230.0</v>
      </c>
      <c r="T710" s="21" t="str">
        <f>"－"</f>
        <v>－</v>
      </c>
      <c r="U710" s="5" t="s">
        <v>809</v>
      </c>
      <c r="V710" s="23" t="n">
        <f>38235000</f>
        <v>3.8235E7</v>
      </c>
      <c r="W710" s="5" t="s">
        <v>519</v>
      </c>
      <c r="X710" s="23" t="str">
        <f>"－"</f>
        <v>－</v>
      </c>
      <c r="Y710" s="23"/>
      <c r="Z710" s="21" t="str">
        <f>"－"</f>
        <v>－</v>
      </c>
      <c r="AA710" s="21" t="n">
        <f>4</f>
        <v>4.0</v>
      </c>
      <c r="AB710" s="4" t="s">
        <v>82</v>
      </c>
      <c r="AC710" s="22" t="n">
        <f>5</f>
        <v>5.0</v>
      </c>
      <c r="AD710" s="5" t="s">
        <v>260</v>
      </c>
      <c r="AE710" s="23" t="str">
        <f>"－"</f>
        <v>－</v>
      </c>
    </row>
    <row r="711">
      <c r="A711" s="24" t="s">
        <v>1491</v>
      </c>
      <c r="B711" s="25" t="s">
        <v>1492</v>
      </c>
      <c r="C711" s="26"/>
      <c r="D711" s="27"/>
      <c r="E711" s="28" t="s">
        <v>150</v>
      </c>
      <c r="F711" s="20" t="n">
        <f>124</f>
        <v>124.0</v>
      </c>
      <c r="G711" s="21" t="n">
        <f>187</f>
        <v>187.0</v>
      </c>
      <c r="H711" s="21"/>
      <c r="I711" s="21" t="n">
        <f>42</f>
        <v>42.0</v>
      </c>
      <c r="J711" s="21" t="n">
        <f>2</f>
        <v>2.0</v>
      </c>
      <c r="K711" s="21" t="n">
        <f>0</f>
        <v>0.0</v>
      </c>
      <c r="L711" s="4" t="s">
        <v>71</v>
      </c>
      <c r="M711" s="22" t="n">
        <f>41</f>
        <v>41.0</v>
      </c>
      <c r="N711" s="5" t="s">
        <v>751</v>
      </c>
      <c r="O711" s="23" t="str">
        <f>"－"</f>
        <v>－</v>
      </c>
      <c r="P711" s="3" t="s">
        <v>1501</v>
      </c>
      <c r="Q711" s="21"/>
      <c r="R711" s="3" t="s">
        <v>1502</v>
      </c>
      <c r="S711" s="21" t="n">
        <f>2913520</f>
        <v>2913520.0</v>
      </c>
      <c r="T711" s="21" t="n">
        <f>680435</f>
        <v>680435.0</v>
      </c>
      <c r="U711" s="5" t="s">
        <v>71</v>
      </c>
      <c r="V711" s="23" t="n">
        <f>73655000</f>
        <v>7.3655E7</v>
      </c>
      <c r="W711" s="5" t="s">
        <v>751</v>
      </c>
      <c r="X711" s="23" t="str">
        <f>"－"</f>
        <v>－</v>
      </c>
      <c r="Y711" s="23"/>
      <c r="Z711" s="21" t="str">
        <f>"－"</f>
        <v>－</v>
      </c>
      <c r="AA711" s="21" t="n">
        <f>10</f>
        <v>10.0</v>
      </c>
      <c r="AB711" s="4" t="s">
        <v>71</v>
      </c>
      <c r="AC711" s="22" t="n">
        <f>62</f>
        <v>62.0</v>
      </c>
      <c r="AD711" s="5" t="s">
        <v>123</v>
      </c>
      <c r="AE711" s="23" t="n">
        <f>1</f>
        <v>1.0</v>
      </c>
    </row>
    <row r="712">
      <c r="A712" s="24" t="s">
        <v>1491</v>
      </c>
      <c r="B712" s="25" t="s">
        <v>1492</v>
      </c>
      <c r="C712" s="26"/>
      <c r="D712" s="27"/>
      <c r="E712" s="28" t="s">
        <v>154</v>
      </c>
      <c r="F712" s="20" t="n">
        <f>120</f>
        <v>120.0</v>
      </c>
      <c r="G712" s="21" t="n">
        <f>240</f>
        <v>240.0</v>
      </c>
      <c r="H712" s="21"/>
      <c r="I712" s="21" t="str">
        <f>"－"</f>
        <v>－</v>
      </c>
      <c r="J712" s="21" t="n">
        <f>2</f>
        <v>2.0</v>
      </c>
      <c r="K712" s="21" t="str">
        <f>"－"</f>
        <v>－</v>
      </c>
      <c r="L712" s="4" t="s">
        <v>146</v>
      </c>
      <c r="M712" s="22" t="n">
        <f>40</f>
        <v>40.0</v>
      </c>
      <c r="N712" s="5" t="s">
        <v>268</v>
      </c>
      <c r="O712" s="23" t="str">
        <f>"－"</f>
        <v>－</v>
      </c>
      <c r="P712" s="3" t="s">
        <v>1503</v>
      </c>
      <c r="Q712" s="21"/>
      <c r="R712" s="3" t="s">
        <v>247</v>
      </c>
      <c r="S712" s="21" t="n">
        <f>4045375</f>
        <v>4045375.0</v>
      </c>
      <c r="T712" s="21" t="str">
        <f>"－"</f>
        <v>－</v>
      </c>
      <c r="U712" s="5" t="s">
        <v>146</v>
      </c>
      <c r="V712" s="23" t="n">
        <f>78210000</f>
        <v>7.821E7</v>
      </c>
      <c r="W712" s="5" t="s">
        <v>268</v>
      </c>
      <c r="X712" s="23" t="str">
        <f>"－"</f>
        <v>－</v>
      </c>
      <c r="Y712" s="23"/>
      <c r="Z712" s="21" t="str">
        <f>"－"</f>
        <v>－</v>
      </c>
      <c r="AA712" s="21" t="n">
        <f>6</f>
        <v>6.0</v>
      </c>
      <c r="AB712" s="4" t="s">
        <v>1056</v>
      </c>
      <c r="AC712" s="22" t="n">
        <f>21</f>
        <v>21.0</v>
      </c>
      <c r="AD712" s="5" t="s">
        <v>234</v>
      </c>
      <c r="AE712" s="23" t="str">
        <f>"－"</f>
        <v>－</v>
      </c>
    </row>
    <row r="713">
      <c r="A713" s="24" t="s">
        <v>1504</v>
      </c>
      <c r="B713" s="25" t="s">
        <v>1505</v>
      </c>
      <c r="C713" s="26"/>
      <c r="D713" s="27"/>
      <c r="E713" s="28" t="s">
        <v>118</v>
      </c>
      <c r="F713" s="20" t="n">
        <f>45</f>
        <v>45.0</v>
      </c>
      <c r="G713" s="21" t="n">
        <f>194844</f>
        <v>194844.0</v>
      </c>
      <c r="H713" s="21"/>
      <c r="I713" s="21" t="n">
        <f>770</f>
        <v>770.0</v>
      </c>
      <c r="J713" s="21" t="n">
        <f>4330</f>
        <v>4330.0</v>
      </c>
      <c r="K713" s="21" t="n">
        <f>17</f>
        <v>17.0</v>
      </c>
      <c r="L713" s="4" t="s">
        <v>289</v>
      </c>
      <c r="M713" s="22" t="n">
        <f>15549</f>
        <v>15549.0</v>
      </c>
      <c r="N713" s="5" t="s">
        <v>434</v>
      </c>
      <c r="O713" s="23" t="n">
        <f>1389</f>
        <v>1389.0</v>
      </c>
      <c r="P713" s="3" t="s">
        <v>1506</v>
      </c>
      <c r="Q713" s="21"/>
      <c r="R713" s="3" t="s">
        <v>1507</v>
      </c>
      <c r="S713" s="21" t="n">
        <f>3914837089</f>
        <v>3.914837089E9</v>
      </c>
      <c r="T713" s="21" t="n">
        <f>14745567</f>
        <v>1.4745567E7</v>
      </c>
      <c r="U713" s="5" t="s">
        <v>289</v>
      </c>
      <c r="V713" s="23" t="n">
        <f>14923898500</f>
        <v>1.49238985E10</v>
      </c>
      <c r="W713" s="5" t="s">
        <v>434</v>
      </c>
      <c r="X713" s="23" t="n">
        <f>1217846000</f>
        <v>1.217846E9</v>
      </c>
      <c r="Y713" s="23"/>
      <c r="Z713" s="21" t="str">
        <f>"－"</f>
        <v>－</v>
      </c>
      <c r="AA713" s="21" t="n">
        <f>15125</f>
        <v>15125.0</v>
      </c>
      <c r="AB713" s="4" t="s">
        <v>709</v>
      </c>
      <c r="AC713" s="22" t="n">
        <f>16342</f>
        <v>16342.0</v>
      </c>
      <c r="AD713" s="5" t="s">
        <v>481</v>
      </c>
      <c r="AE713" s="23" t="n">
        <f>13117</f>
        <v>13117.0</v>
      </c>
    </row>
    <row r="714">
      <c r="A714" s="24" t="s">
        <v>1504</v>
      </c>
      <c r="B714" s="25" t="s">
        <v>1505</v>
      </c>
      <c r="C714" s="26"/>
      <c r="D714" s="27"/>
      <c r="E714" s="28" t="s">
        <v>124</v>
      </c>
      <c r="F714" s="20" t="n">
        <f>123</f>
        <v>123.0</v>
      </c>
      <c r="G714" s="21" t="n">
        <f>603880</f>
        <v>603880.0</v>
      </c>
      <c r="H714" s="21"/>
      <c r="I714" s="21" t="n">
        <f>2813</f>
        <v>2813.0</v>
      </c>
      <c r="J714" s="21" t="n">
        <f>4910</f>
        <v>4910.0</v>
      </c>
      <c r="K714" s="21" t="n">
        <f>23</f>
        <v>23.0</v>
      </c>
      <c r="L714" s="4" t="s">
        <v>287</v>
      </c>
      <c r="M714" s="22" t="n">
        <f>22405</f>
        <v>22405.0</v>
      </c>
      <c r="N714" s="5" t="s">
        <v>55</v>
      </c>
      <c r="O714" s="23" t="n">
        <f>1567</f>
        <v>1567.0</v>
      </c>
      <c r="P714" s="3" t="s">
        <v>1508</v>
      </c>
      <c r="Q714" s="21"/>
      <c r="R714" s="3" t="s">
        <v>1509</v>
      </c>
      <c r="S714" s="21" t="n">
        <f>5931378630</f>
        <v>5.93137863E9</v>
      </c>
      <c r="T714" s="21" t="n">
        <f>30200732</f>
        <v>3.0200732E7</v>
      </c>
      <c r="U714" s="5" t="s">
        <v>287</v>
      </c>
      <c r="V714" s="23" t="n">
        <f>29320863500</f>
        <v>2.93208635E10</v>
      </c>
      <c r="W714" s="5" t="s">
        <v>221</v>
      </c>
      <c r="X714" s="23" t="n">
        <f>1813820500</f>
        <v>1.8138205E9</v>
      </c>
      <c r="Y714" s="23"/>
      <c r="Z714" s="21" t="str">
        <f>"－"</f>
        <v>－</v>
      </c>
      <c r="AA714" s="21" t="n">
        <f>11885</f>
        <v>11885.0</v>
      </c>
      <c r="AB714" s="4" t="s">
        <v>250</v>
      </c>
      <c r="AC714" s="22" t="n">
        <f>18155</f>
        <v>18155.0</v>
      </c>
      <c r="AD714" s="5" t="s">
        <v>270</v>
      </c>
      <c r="AE714" s="23" t="n">
        <f>11184</f>
        <v>11184.0</v>
      </c>
    </row>
    <row r="715">
      <c r="A715" s="24" t="s">
        <v>1504</v>
      </c>
      <c r="B715" s="25" t="s">
        <v>1505</v>
      </c>
      <c r="C715" s="26"/>
      <c r="D715" s="27"/>
      <c r="E715" s="28" t="s">
        <v>127</v>
      </c>
      <c r="F715" s="20" t="n">
        <f>122</f>
        <v>122.0</v>
      </c>
      <c r="G715" s="21" t="n">
        <f>340843</f>
        <v>340843.0</v>
      </c>
      <c r="H715" s="21"/>
      <c r="I715" s="21" t="n">
        <f>1250</f>
        <v>1250.0</v>
      </c>
      <c r="J715" s="21" t="n">
        <f>2794</f>
        <v>2794.0</v>
      </c>
      <c r="K715" s="21" t="n">
        <f>10</f>
        <v>10.0</v>
      </c>
      <c r="L715" s="4" t="s">
        <v>886</v>
      </c>
      <c r="M715" s="22" t="n">
        <f>6541</f>
        <v>6541.0</v>
      </c>
      <c r="N715" s="5" t="s">
        <v>201</v>
      </c>
      <c r="O715" s="23" t="n">
        <f>625</f>
        <v>625.0</v>
      </c>
      <c r="P715" s="3" t="s">
        <v>1510</v>
      </c>
      <c r="Q715" s="21"/>
      <c r="R715" s="3" t="s">
        <v>1511</v>
      </c>
      <c r="S715" s="21" t="n">
        <f>3170015215</f>
        <v>3.170015215E9</v>
      </c>
      <c r="T715" s="21" t="n">
        <f>11825178</f>
        <v>1.1825178E7</v>
      </c>
      <c r="U715" s="5" t="s">
        <v>1512</v>
      </c>
      <c r="V715" s="23" t="n">
        <f>8077334500</f>
        <v>8.0773345E9</v>
      </c>
      <c r="W715" s="5" t="s">
        <v>201</v>
      </c>
      <c r="X715" s="23" t="n">
        <f>737494500</f>
        <v>7.374945E8</v>
      </c>
      <c r="Y715" s="23"/>
      <c r="Z715" s="21" t="str">
        <f>"－"</f>
        <v>－</v>
      </c>
      <c r="AA715" s="21" t="n">
        <f>11997</f>
        <v>11997.0</v>
      </c>
      <c r="AB715" s="4" t="s">
        <v>1446</v>
      </c>
      <c r="AC715" s="22" t="n">
        <f>13002</f>
        <v>13002.0</v>
      </c>
      <c r="AD715" s="5" t="s">
        <v>856</v>
      </c>
      <c r="AE715" s="23" t="n">
        <f>10832</f>
        <v>10832.0</v>
      </c>
    </row>
    <row r="716">
      <c r="A716" s="24" t="s">
        <v>1504</v>
      </c>
      <c r="B716" s="25" t="s">
        <v>1505</v>
      </c>
      <c r="C716" s="26"/>
      <c r="D716" s="27"/>
      <c r="E716" s="28" t="s">
        <v>133</v>
      </c>
      <c r="F716" s="20" t="n">
        <f>122</f>
        <v>122.0</v>
      </c>
      <c r="G716" s="21" t="n">
        <f>331321</f>
        <v>331321.0</v>
      </c>
      <c r="H716" s="21"/>
      <c r="I716" s="21" t="n">
        <f>1802</f>
        <v>1802.0</v>
      </c>
      <c r="J716" s="21" t="n">
        <f>2716</f>
        <v>2716.0</v>
      </c>
      <c r="K716" s="21" t="n">
        <f>15</f>
        <v>15.0</v>
      </c>
      <c r="L716" s="4" t="s">
        <v>93</v>
      </c>
      <c r="M716" s="22" t="n">
        <f>6607</f>
        <v>6607.0</v>
      </c>
      <c r="N716" s="5" t="s">
        <v>396</v>
      </c>
      <c r="O716" s="23" t="n">
        <f>812</f>
        <v>812.0</v>
      </c>
      <c r="P716" s="3" t="s">
        <v>1513</v>
      </c>
      <c r="Q716" s="21"/>
      <c r="R716" s="3" t="s">
        <v>1514</v>
      </c>
      <c r="S716" s="21" t="n">
        <f>3232821566</f>
        <v>3.232821566E9</v>
      </c>
      <c r="T716" s="21" t="n">
        <f>17593230</f>
        <v>1.759323E7</v>
      </c>
      <c r="U716" s="5" t="s">
        <v>93</v>
      </c>
      <c r="V716" s="23" t="n">
        <f>8018867000</f>
        <v>8.018867E9</v>
      </c>
      <c r="W716" s="5" t="s">
        <v>484</v>
      </c>
      <c r="X716" s="23" t="n">
        <f>981801000</f>
        <v>9.81801E8</v>
      </c>
      <c r="Y716" s="23"/>
      <c r="Z716" s="21" t="str">
        <f>"－"</f>
        <v>－</v>
      </c>
      <c r="AA716" s="21" t="n">
        <f>8013</f>
        <v>8013.0</v>
      </c>
      <c r="AB716" s="4" t="s">
        <v>69</v>
      </c>
      <c r="AC716" s="22" t="n">
        <f>12456</f>
        <v>12456.0</v>
      </c>
      <c r="AD716" s="5" t="s">
        <v>585</v>
      </c>
      <c r="AE716" s="23" t="n">
        <f>7533</f>
        <v>7533.0</v>
      </c>
    </row>
    <row r="717">
      <c r="A717" s="24" t="s">
        <v>1504</v>
      </c>
      <c r="B717" s="25" t="s">
        <v>1505</v>
      </c>
      <c r="C717" s="26"/>
      <c r="D717" s="27"/>
      <c r="E717" s="28" t="s">
        <v>139</v>
      </c>
      <c r="F717" s="20" t="n">
        <f>123</f>
        <v>123.0</v>
      </c>
      <c r="G717" s="21" t="n">
        <f>274265</f>
        <v>274265.0</v>
      </c>
      <c r="H717" s="21"/>
      <c r="I717" s="21" t="n">
        <f>818</f>
        <v>818.0</v>
      </c>
      <c r="J717" s="21" t="n">
        <f>2230</f>
        <v>2230.0</v>
      </c>
      <c r="K717" s="21" t="n">
        <f>7</f>
        <v>7.0</v>
      </c>
      <c r="L717" s="4" t="s">
        <v>751</v>
      </c>
      <c r="M717" s="22" t="n">
        <f>6832</f>
        <v>6832.0</v>
      </c>
      <c r="N717" s="5" t="s">
        <v>853</v>
      </c>
      <c r="O717" s="23" t="n">
        <f>488</f>
        <v>488.0</v>
      </c>
      <c r="P717" s="3" t="s">
        <v>1515</v>
      </c>
      <c r="Q717" s="21"/>
      <c r="R717" s="3" t="s">
        <v>1516</v>
      </c>
      <c r="S717" s="21" t="n">
        <f>2723947024</f>
        <v>2.723947024E9</v>
      </c>
      <c r="T717" s="21" t="n">
        <f>7866703</f>
        <v>7866703.0</v>
      </c>
      <c r="U717" s="5" t="s">
        <v>751</v>
      </c>
      <c r="V717" s="23" t="n">
        <f>9107731500</f>
        <v>9.1077315E9</v>
      </c>
      <c r="W717" s="5" t="s">
        <v>853</v>
      </c>
      <c r="X717" s="23" t="n">
        <f>584804000</f>
        <v>5.84804E8</v>
      </c>
      <c r="Y717" s="23"/>
      <c r="Z717" s="21" t="str">
        <f>"－"</f>
        <v>－</v>
      </c>
      <c r="AA717" s="21" t="n">
        <f>9937</f>
        <v>9937.0</v>
      </c>
      <c r="AB717" s="4" t="s">
        <v>192</v>
      </c>
      <c r="AC717" s="22" t="n">
        <f>10854</f>
        <v>10854.0</v>
      </c>
      <c r="AD717" s="5" t="s">
        <v>966</v>
      </c>
      <c r="AE717" s="23" t="n">
        <f>7686</f>
        <v>7686.0</v>
      </c>
    </row>
    <row r="718">
      <c r="A718" s="24" t="s">
        <v>1504</v>
      </c>
      <c r="B718" s="25" t="s">
        <v>1505</v>
      </c>
      <c r="C718" s="26"/>
      <c r="D718" s="27"/>
      <c r="E718" s="28" t="s">
        <v>145</v>
      </c>
      <c r="F718" s="20" t="n">
        <f>122</f>
        <v>122.0</v>
      </c>
      <c r="G718" s="21" t="n">
        <f>309555</f>
        <v>309555.0</v>
      </c>
      <c r="H718" s="21"/>
      <c r="I718" s="21" t="n">
        <f>1848</f>
        <v>1848.0</v>
      </c>
      <c r="J718" s="21" t="n">
        <f>2537</f>
        <v>2537.0</v>
      </c>
      <c r="K718" s="21" t="n">
        <f>15</f>
        <v>15.0</v>
      </c>
      <c r="L718" s="4" t="s">
        <v>714</v>
      </c>
      <c r="M718" s="22" t="n">
        <f>6225</f>
        <v>6225.0</v>
      </c>
      <c r="N718" s="5" t="s">
        <v>1140</v>
      </c>
      <c r="O718" s="23" t="n">
        <f>626</f>
        <v>626.0</v>
      </c>
      <c r="P718" s="3" t="s">
        <v>1517</v>
      </c>
      <c r="Q718" s="21"/>
      <c r="R718" s="3" t="s">
        <v>1518</v>
      </c>
      <c r="S718" s="21" t="n">
        <f>2793564570</f>
        <v>2.79356457E9</v>
      </c>
      <c r="T718" s="21" t="n">
        <f>16613787</f>
        <v>1.6613787E7</v>
      </c>
      <c r="U718" s="5" t="s">
        <v>714</v>
      </c>
      <c r="V718" s="23" t="n">
        <f>6774959000</f>
        <v>6.774959E9</v>
      </c>
      <c r="W718" s="5" t="s">
        <v>1140</v>
      </c>
      <c r="X718" s="23" t="n">
        <f>705336000</f>
        <v>7.05336E8</v>
      </c>
      <c r="Y718" s="23"/>
      <c r="Z718" s="21" t="str">
        <f>"－"</f>
        <v>－</v>
      </c>
      <c r="AA718" s="21" t="n">
        <f>14218</f>
        <v>14218.0</v>
      </c>
      <c r="AB718" s="4" t="s">
        <v>330</v>
      </c>
      <c r="AC718" s="22" t="n">
        <f>14218</f>
        <v>14218.0</v>
      </c>
      <c r="AD718" s="5" t="s">
        <v>669</v>
      </c>
      <c r="AE718" s="23" t="n">
        <f>8633</f>
        <v>8633.0</v>
      </c>
    </row>
    <row r="719">
      <c r="A719" s="24" t="s">
        <v>1504</v>
      </c>
      <c r="B719" s="25" t="s">
        <v>1505</v>
      </c>
      <c r="C719" s="26"/>
      <c r="D719" s="27"/>
      <c r="E719" s="28" t="s">
        <v>150</v>
      </c>
      <c r="F719" s="20" t="n">
        <f>124</f>
        <v>124.0</v>
      </c>
      <c r="G719" s="21" t="n">
        <f>347616</f>
        <v>347616.0</v>
      </c>
      <c r="H719" s="21"/>
      <c r="I719" s="21" t="n">
        <f>3325</f>
        <v>3325.0</v>
      </c>
      <c r="J719" s="21" t="n">
        <f>2803</f>
        <v>2803.0</v>
      </c>
      <c r="K719" s="21" t="n">
        <f>27</f>
        <v>27.0</v>
      </c>
      <c r="L719" s="4" t="s">
        <v>302</v>
      </c>
      <c r="M719" s="22" t="n">
        <f>13912</f>
        <v>13912.0</v>
      </c>
      <c r="N719" s="5" t="s">
        <v>179</v>
      </c>
      <c r="O719" s="23" t="n">
        <f>626</f>
        <v>626.0</v>
      </c>
      <c r="P719" s="3" t="s">
        <v>1519</v>
      </c>
      <c r="Q719" s="21"/>
      <c r="R719" s="3" t="s">
        <v>1520</v>
      </c>
      <c r="S719" s="21" t="n">
        <f>2952059819</f>
        <v>2.952059819E9</v>
      </c>
      <c r="T719" s="21" t="n">
        <f>27121020</f>
        <v>2.712102E7</v>
      </c>
      <c r="U719" s="5" t="s">
        <v>302</v>
      </c>
      <c r="V719" s="23" t="n">
        <f>16172852500</f>
        <v>1.61728525E10</v>
      </c>
      <c r="W719" s="5" t="s">
        <v>179</v>
      </c>
      <c r="X719" s="23" t="n">
        <f>662017000</f>
        <v>6.62017E8</v>
      </c>
      <c r="Y719" s="23"/>
      <c r="Z719" s="21" t="str">
        <f>"－"</f>
        <v>－</v>
      </c>
      <c r="AA719" s="21" t="n">
        <f>9975</f>
        <v>9975.0</v>
      </c>
      <c r="AB719" s="4" t="s">
        <v>573</v>
      </c>
      <c r="AC719" s="22" t="n">
        <f>19962</f>
        <v>19962.0</v>
      </c>
      <c r="AD719" s="5" t="s">
        <v>84</v>
      </c>
      <c r="AE719" s="23" t="n">
        <f>9725</f>
        <v>9725.0</v>
      </c>
    </row>
    <row r="720">
      <c r="A720" s="24" t="s">
        <v>1504</v>
      </c>
      <c r="B720" s="25" t="s">
        <v>1505</v>
      </c>
      <c r="C720" s="26"/>
      <c r="D720" s="27"/>
      <c r="E720" s="28" t="s">
        <v>154</v>
      </c>
      <c r="F720" s="20" t="n">
        <f>120</f>
        <v>120.0</v>
      </c>
      <c r="G720" s="21" t="n">
        <f>278302</f>
        <v>278302.0</v>
      </c>
      <c r="H720" s="21"/>
      <c r="I720" s="21" t="n">
        <f>1618</f>
        <v>1618.0</v>
      </c>
      <c r="J720" s="21" t="n">
        <f>2319</f>
        <v>2319.0</v>
      </c>
      <c r="K720" s="21" t="n">
        <f>13</f>
        <v>13.0</v>
      </c>
      <c r="L720" s="4" t="s">
        <v>994</v>
      </c>
      <c r="M720" s="22" t="n">
        <f>7102</f>
        <v>7102.0</v>
      </c>
      <c r="N720" s="5" t="s">
        <v>1002</v>
      </c>
      <c r="O720" s="23" t="n">
        <f>643</f>
        <v>643.0</v>
      </c>
      <c r="P720" s="3" t="s">
        <v>1521</v>
      </c>
      <c r="Q720" s="21"/>
      <c r="R720" s="3" t="s">
        <v>1522</v>
      </c>
      <c r="S720" s="21" t="n">
        <f>3207264533</f>
        <v>3.207264533E9</v>
      </c>
      <c r="T720" s="21" t="n">
        <f>19792900</f>
        <v>1.97929E7</v>
      </c>
      <c r="U720" s="5" t="s">
        <v>994</v>
      </c>
      <c r="V720" s="23" t="n">
        <f>9719633000</f>
        <v>9.719633E9</v>
      </c>
      <c r="W720" s="5" t="s">
        <v>1523</v>
      </c>
      <c r="X720" s="23" t="n">
        <f>822774500</f>
        <v>8.227745E8</v>
      </c>
      <c r="Y720" s="23"/>
      <c r="Z720" s="21" t="str">
        <f>"－"</f>
        <v>－</v>
      </c>
      <c r="AA720" s="21" t="n">
        <f>8154</f>
        <v>8154.0</v>
      </c>
      <c r="AB720" s="4" t="s">
        <v>260</v>
      </c>
      <c r="AC720" s="22" t="n">
        <f>10146</f>
        <v>10146.0</v>
      </c>
      <c r="AD720" s="5" t="s">
        <v>1524</v>
      </c>
      <c r="AE720" s="23" t="n">
        <f>5093</f>
        <v>5093.0</v>
      </c>
    </row>
    <row r="721">
      <c r="A721" s="24" t="s">
        <v>1525</v>
      </c>
      <c r="B721" s="25" t="s">
        <v>1526</v>
      </c>
      <c r="C721" s="26"/>
      <c r="D721" s="27"/>
      <c r="E721" s="28" t="s">
        <v>118</v>
      </c>
      <c r="F721" s="20" t="n">
        <f>45</f>
        <v>45.0</v>
      </c>
      <c r="G721" s="21" t="n">
        <f>80</f>
        <v>80.0</v>
      </c>
      <c r="H721" s="21"/>
      <c r="I721" s="21" t="n">
        <f>40</f>
        <v>40.0</v>
      </c>
      <c r="J721" s="21" t="n">
        <f>2</f>
        <v>2.0</v>
      </c>
      <c r="K721" s="21" t="n">
        <f>1</f>
        <v>1.0</v>
      </c>
      <c r="L721" s="4" t="s">
        <v>183</v>
      </c>
      <c r="M721" s="22" t="n">
        <f>40</f>
        <v>40.0</v>
      </c>
      <c r="N721" s="5" t="s">
        <v>853</v>
      </c>
      <c r="O721" s="23" t="str">
        <f>"－"</f>
        <v>－</v>
      </c>
      <c r="P721" s="3" t="s">
        <v>1527</v>
      </c>
      <c r="Q721" s="21"/>
      <c r="R721" s="3" t="s">
        <v>1528</v>
      </c>
      <c r="S721" s="21" t="n">
        <f>1277778</f>
        <v>1277778.0</v>
      </c>
      <c r="T721" s="21" t="n">
        <f>644444</f>
        <v>644444.0</v>
      </c>
      <c r="U721" s="5" t="s">
        <v>450</v>
      </c>
      <c r="V721" s="23" t="n">
        <f>29000000</f>
        <v>2.9E7</v>
      </c>
      <c r="W721" s="5" t="s">
        <v>853</v>
      </c>
      <c r="X721" s="23" t="str">
        <f>"－"</f>
        <v>－</v>
      </c>
      <c r="Y721" s="23"/>
      <c r="Z721" s="21" t="str">
        <f>"－"</f>
        <v>－</v>
      </c>
      <c r="AA721" s="21" t="n">
        <f>40</f>
        <v>40.0</v>
      </c>
      <c r="AB721" s="4" t="s">
        <v>183</v>
      </c>
      <c r="AC721" s="22" t="n">
        <f>40</f>
        <v>40.0</v>
      </c>
      <c r="AD721" s="5" t="s">
        <v>853</v>
      </c>
      <c r="AE721" s="23" t="str">
        <f>"－"</f>
        <v>－</v>
      </c>
    </row>
    <row r="722">
      <c r="A722" s="24" t="s">
        <v>1525</v>
      </c>
      <c r="B722" s="25" t="s">
        <v>1526</v>
      </c>
      <c r="C722" s="26"/>
      <c r="D722" s="27"/>
      <c r="E722" s="28" t="s">
        <v>124</v>
      </c>
      <c r="F722" s="20" t="n">
        <f>123</f>
        <v>123.0</v>
      </c>
      <c r="G722" s="21" t="n">
        <f>10</f>
        <v>10.0</v>
      </c>
      <c r="H722" s="21"/>
      <c r="I722" s="21" t="str">
        <f>"－"</f>
        <v>－</v>
      </c>
      <c r="J722" s="21" t="n">
        <f>0</f>
        <v>0.0</v>
      </c>
      <c r="K722" s="21" t="str">
        <f>"－"</f>
        <v>－</v>
      </c>
      <c r="L722" s="4" t="s">
        <v>1140</v>
      </c>
      <c r="M722" s="22" t="n">
        <f>10</f>
        <v>10.0</v>
      </c>
      <c r="N722" s="5" t="s">
        <v>279</v>
      </c>
      <c r="O722" s="23" t="str">
        <f>"－"</f>
        <v>－</v>
      </c>
      <c r="P722" s="3" t="s">
        <v>1529</v>
      </c>
      <c r="Q722" s="21"/>
      <c r="R722" s="3" t="s">
        <v>247</v>
      </c>
      <c r="S722" s="21" t="n">
        <f>70244</f>
        <v>70244.0</v>
      </c>
      <c r="T722" s="21" t="str">
        <f>"－"</f>
        <v>－</v>
      </c>
      <c r="U722" s="5" t="s">
        <v>1140</v>
      </c>
      <c r="V722" s="23" t="n">
        <f>8640000</f>
        <v>8640000.0</v>
      </c>
      <c r="W722" s="5" t="s">
        <v>279</v>
      </c>
      <c r="X722" s="23" t="str">
        <f>"－"</f>
        <v>－</v>
      </c>
      <c r="Y722" s="23"/>
      <c r="Z722" s="21" t="str">
        <f>"－"</f>
        <v>－</v>
      </c>
      <c r="AA722" s="21" t="str">
        <f>"－"</f>
        <v>－</v>
      </c>
      <c r="AB722" s="4" t="s">
        <v>279</v>
      </c>
      <c r="AC722" s="22" t="str">
        <f>"－"</f>
        <v>－</v>
      </c>
      <c r="AD722" s="5" t="s">
        <v>279</v>
      </c>
      <c r="AE722" s="23" t="str">
        <f>"－"</f>
        <v>－</v>
      </c>
    </row>
    <row r="723">
      <c r="A723" s="24" t="s">
        <v>1525</v>
      </c>
      <c r="B723" s="25" t="s">
        <v>1526</v>
      </c>
      <c r="C723" s="26"/>
      <c r="D723" s="27"/>
      <c r="E723" s="28" t="s">
        <v>127</v>
      </c>
      <c r="F723" s="20" t="n">
        <f>122</f>
        <v>122.0</v>
      </c>
      <c r="G723" s="21" t="n">
        <f>87</f>
        <v>87.0</v>
      </c>
      <c r="H723" s="21"/>
      <c r="I723" s="21" t="n">
        <f>10</f>
        <v>10.0</v>
      </c>
      <c r="J723" s="21" t="n">
        <f>1</f>
        <v>1.0</v>
      </c>
      <c r="K723" s="21" t="n">
        <f>0</f>
        <v>0.0</v>
      </c>
      <c r="L723" s="4" t="s">
        <v>434</v>
      </c>
      <c r="M723" s="22" t="n">
        <f>18</f>
        <v>18.0</v>
      </c>
      <c r="N723" s="5" t="s">
        <v>335</v>
      </c>
      <c r="O723" s="23" t="str">
        <f>"－"</f>
        <v>－</v>
      </c>
      <c r="P723" s="3" t="s">
        <v>1530</v>
      </c>
      <c r="Q723" s="21"/>
      <c r="R723" s="3" t="s">
        <v>1531</v>
      </c>
      <c r="S723" s="21" t="n">
        <f>656414</f>
        <v>656414.0</v>
      </c>
      <c r="T723" s="21" t="n">
        <f>73311</f>
        <v>73311.0</v>
      </c>
      <c r="U723" s="5" t="s">
        <v>434</v>
      </c>
      <c r="V723" s="23" t="n">
        <f>17184000</f>
        <v>1.7184E7</v>
      </c>
      <c r="W723" s="5" t="s">
        <v>335</v>
      </c>
      <c r="X723" s="23" t="str">
        <f>"－"</f>
        <v>－</v>
      </c>
      <c r="Y723" s="23"/>
      <c r="Z723" s="21" t="str">
        <f>"－"</f>
        <v>－</v>
      </c>
      <c r="AA723" s="21" t="n">
        <f>6</f>
        <v>6.0</v>
      </c>
      <c r="AB723" s="4" t="s">
        <v>129</v>
      </c>
      <c r="AC723" s="22" t="n">
        <f>21</f>
        <v>21.0</v>
      </c>
      <c r="AD723" s="5" t="s">
        <v>335</v>
      </c>
      <c r="AE723" s="23" t="str">
        <f>"－"</f>
        <v>－</v>
      </c>
    </row>
    <row r="724">
      <c r="A724" s="24" t="s">
        <v>1525</v>
      </c>
      <c r="B724" s="25" t="s">
        <v>1526</v>
      </c>
      <c r="C724" s="26"/>
      <c r="D724" s="27"/>
      <c r="E724" s="28" t="s">
        <v>133</v>
      </c>
      <c r="F724" s="20" t="n">
        <f>122</f>
        <v>122.0</v>
      </c>
      <c r="G724" s="21" t="n">
        <f>547</f>
        <v>547.0</v>
      </c>
      <c r="H724" s="21"/>
      <c r="I724" s="21" t="n">
        <f>10</f>
        <v>10.0</v>
      </c>
      <c r="J724" s="21" t="n">
        <f>4</f>
        <v>4.0</v>
      </c>
      <c r="K724" s="21" t="n">
        <f>0</f>
        <v>0.0</v>
      </c>
      <c r="L724" s="4" t="s">
        <v>308</v>
      </c>
      <c r="M724" s="22" t="n">
        <f>50</f>
        <v>50.0</v>
      </c>
      <c r="N724" s="5" t="s">
        <v>279</v>
      </c>
      <c r="O724" s="23" t="str">
        <f>"－"</f>
        <v>－</v>
      </c>
      <c r="P724" s="3" t="s">
        <v>1532</v>
      </c>
      <c r="Q724" s="21"/>
      <c r="R724" s="3" t="s">
        <v>1533</v>
      </c>
      <c r="S724" s="21" t="n">
        <f>4496963</f>
        <v>4496963.0</v>
      </c>
      <c r="T724" s="21" t="n">
        <f>81615</f>
        <v>81615.0</v>
      </c>
      <c r="U724" s="5" t="s">
        <v>308</v>
      </c>
      <c r="V724" s="23" t="n">
        <f>47901500</f>
        <v>4.79015E7</v>
      </c>
      <c r="W724" s="5" t="s">
        <v>279</v>
      </c>
      <c r="X724" s="23" t="str">
        <f>"－"</f>
        <v>－</v>
      </c>
      <c r="Y724" s="23"/>
      <c r="Z724" s="21" t="str">
        <f>"－"</f>
        <v>－</v>
      </c>
      <c r="AA724" s="21" t="str">
        <f>"－"</f>
        <v>－</v>
      </c>
      <c r="AB724" s="4" t="s">
        <v>279</v>
      </c>
      <c r="AC724" s="22" t="n">
        <f>6</f>
        <v>6.0</v>
      </c>
      <c r="AD724" s="5" t="s">
        <v>308</v>
      </c>
      <c r="AE724" s="23" t="str">
        <f>"－"</f>
        <v>－</v>
      </c>
    </row>
    <row r="725">
      <c r="A725" s="24" t="s">
        <v>1525</v>
      </c>
      <c r="B725" s="25" t="s">
        <v>1526</v>
      </c>
      <c r="C725" s="26"/>
      <c r="D725" s="27"/>
      <c r="E725" s="28" t="s">
        <v>139</v>
      </c>
      <c r="F725" s="20" t="n">
        <f>123</f>
        <v>123.0</v>
      </c>
      <c r="G725" s="21" t="n">
        <f>229</f>
        <v>229.0</v>
      </c>
      <c r="H725" s="21"/>
      <c r="I725" s="21" t="str">
        <f>"－"</f>
        <v>－</v>
      </c>
      <c r="J725" s="21" t="n">
        <f>2</f>
        <v>2.0</v>
      </c>
      <c r="K725" s="21" t="str">
        <f>"－"</f>
        <v>－</v>
      </c>
      <c r="L725" s="4" t="s">
        <v>128</v>
      </c>
      <c r="M725" s="22" t="n">
        <f>45</f>
        <v>45.0</v>
      </c>
      <c r="N725" s="5" t="s">
        <v>751</v>
      </c>
      <c r="O725" s="23" t="str">
        <f>"－"</f>
        <v>－</v>
      </c>
      <c r="P725" s="3" t="s">
        <v>1534</v>
      </c>
      <c r="Q725" s="21"/>
      <c r="R725" s="3" t="s">
        <v>247</v>
      </c>
      <c r="S725" s="21" t="n">
        <f>1837902</f>
        <v>1837902.0</v>
      </c>
      <c r="T725" s="21" t="str">
        <f>"－"</f>
        <v>－</v>
      </c>
      <c r="U725" s="5" t="s">
        <v>128</v>
      </c>
      <c r="V725" s="23" t="n">
        <f>40807500</f>
        <v>4.08075E7</v>
      </c>
      <c r="W725" s="5" t="s">
        <v>751</v>
      </c>
      <c r="X725" s="23" t="str">
        <f>"－"</f>
        <v>－</v>
      </c>
      <c r="Y725" s="23"/>
      <c r="Z725" s="21" t="str">
        <f>"－"</f>
        <v>－</v>
      </c>
      <c r="AA725" s="21" t="str">
        <f>"－"</f>
        <v>－</v>
      </c>
      <c r="AB725" s="4" t="s">
        <v>230</v>
      </c>
      <c r="AC725" s="22" t="n">
        <f>6</f>
        <v>6.0</v>
      </c>
      <c r="AD725" s="5" t="s">
        <v>335</v>
      </c>
      <c r="AE725" s="23" t="str">
        <f>"－"</f>
        <v>－</v>
      </c>
    </row>
    <row r="726">
      <c r="A726" s="24" t="s">
        <v>1525</v>
      </c>
      <c r="B726" s="25" t="s">
        <v>1526</v>
      </c>
      <c r="C726" s="26"/>
      <c r="D726" s="27"/>
      <c r="E726" s="28" t="s">
        <v>145</v>
      </c>
      <c r="F726" s="20" t="n">
        <f>122</f>
        <v>122.0</v>
      </c>
      <c r="G726" s="21" t="n">
        <f>187</f>
        <v>187.0</v>
      </c>
      <c r="H726" s="21"/>
      <c r="I726" s="21" t="str">
        <f>"－"</f>
        <v>－</v>
      </c>
      <c r="J726" s="21" t="n">
        <f>2</f>
        <v>2.0</v>
      </c>
      <c r="K726" s="21" t="str">
        <f>"－"</f>
        <v>－</v>
      </c>
      <c r="L726" s="4" t="s">
        <v>634</v>
      </c>
      <c r="M726" s="22" t="n">
        <f>45</f>
        <v>45.0</v>
      </c>
      <c r="N726" s="5" t="s">
        <v>260</v>
      </c>
      <c r="O726" s="23" t="str">
        <f>"－"</f>
        <v>－</v>
      </c>
      <c r="P726" s="3" t="s">
        <v>1535</v>
      </c>
      <c r="Q726" s="21"/>
      <c r="R726" s="3" t="s">
        <v>247</v>
      </c>
      <c r="S726" s="21" t="n">
        <f>1415525</f>
        <v>1415525.0</v>
      </c>
      <c r="T726" s="21" t="str">
        <f>"－"</f>
        <v>－</v>
      </c>
      <c r="U726" s="5" t="s">
        <v>634</v>
      </c>
      <c r="V726" s="23" t="n">
        <f>42394500</f>
        <v>4.23945E7</v>
      </c>
      <c r="W726" s="5" t="s">
        <v>260</v>
      </c>
      <c r="X726" s="23" t="str">
        <f>"－"</f>
        <v>－</v>
      </c>
      <c r="Y726" s="23"/>
      <c r="Z726" s="21" t="str">
        <f>"－"</f>
        <v>－</v>
      </c>
      <c r="AA726" s="21" t="str">
        <f>"－"</f>
        <v>－</v>
      </c>
      <c r="AB726" s="4" t="s">
        <v>298</v>
      </c>
      <c r="AC726" s="22" t="n">
        <f>3</f>
        <v>3.0</v>
      </c>
      <c r="AD726" s="5" t="s">
        <v>82</v>
      </c>
      <c r="AE726" s="23" t="str">
        <f>"－"</f>
        <v>－</v>
      </c>
    </row>
    <row r="727">
      <c r="A727" s="24" t="s">
        <v>1525</v>
      </c>
      <c r="B727" s="25" t="s">
        <v>1526</v>
      </c>
      <c r="C727" s="26"/>
      <c r="D727" s="27"/>
      <c r="E727" s="28" t="s">
        <v>150</v>
      </c>
      <c r="F727" s="20" t="n">
        <f>124</f>
        <v>124.0</v>
      </c>
      <c r="G727" s="21" t="n">
        <f>24</f>
        <v>24.0</v>
      </c>
      <c r="H727" s="21"/>
      <c r="I727" s="21" t="str">
        <f>"－"</f>
        <v>－</v>
      </c>
      <c r="J727" s="21" t="n">
        <f>0</f>
        <v>0.0</v>
      </c>
      <c r="K727" s="21" t="str">
        <f>"－"</f>
        <v>－</v>
      </c>
      <c r="L727" s="4" t="s">
        <v>972</v>
      </c>
      <c r="M727" s="22" t="n">
        <f>12</f>
        <v>12.0</v>
      </c>
      <c r="N727" s="5" t="s">
        <v>666</v>
      </c>
      <c r="O727" s="23" t="str">
        <f>"－"</f>
        <v>－</v>
      </c>
      <c r="P727" s="3" t="s">
        <v>1536</v>
      </c>
      <c r="Q727" s="21"/>
      <c r="R727" s="3" t="s">
        <v>247</v>
      </c>
      <c r="S727" s="21" t="n">
        <f>176395</f>
        <v>176395.0</v>
      </c>
      <c r="T727" s="21" t="str">
        <f>"－"</f>
        <v>－</v>
      </c>
      <c r="U727" s="5" t="s">
        <v>972</v>
      </c>
      <c r="V727" s="23" t="n">
        <f>10878000</f>
        <v>1.0878E7</v>
      </c>
      <c r="W727" s="5" t="s">
        <v>666</v>
      </c>
      <c r="X727" s="23" t="str">
        <f>"－"</f>
        <v>－</v>
      </c>
      <c r="Y727" s="23"/>
      <c r="Z727" s="21" t="str">
        <f>"－"</f>
        <v>－</v>
      </c>
      <c r="AA727" s="21" t="str">
        <f>"－"</f>
        <v>－</v>
      </c>
      <c r="AB727" s="4" t="s">
        <v>85</v>
      </c>
      <c r="AC727" s="22" t="n">
        <f>3</f>
        <v>3.0</v>
      </c>
      <c r="AD727" s="5" t="s">
        <v>666</v>
      </c>
      <c r="AE727" s="23" t="str">
        <f>"－"</f>
        <v>－</v>
      </c>
    </row>
    <row r="728">
      <c r="A728" s="24" t="s">
        <v>1525</v>
      </c>
      <c r="B728" s="25" t="s">
        <v>1526</v>
      </c>
      <c r="C728" s="26"/>
      <c r="D728" s="27"/>
      <c r="E728" s="28" t="s">
        <v>154</v>
      </c>
      <c r="F728" s="20" t="n">
        <f>120</f>
        <v>120.0</v>
      </c>
      <c r="G728" s="21" t="n">
        <f>22</f>
        <v>22.0</v>
      </c>
      <c r="H728" s="21"/>
      <c r="I728" s="21" t="str">
        <f>"－"</f>
        <v>－</v>
      </c>
      <c r="J728" s="21" t="n">
        <f>0</f>
        <v>0.0</v>
      </c>
      <c r="K728" s="21" t="str">
        <f>"－"</f>
        <v>－</v>
      </c>
      <c r="L728" s="4" t="s">
        <v>634</v>
      </c>
      <c r="M728" s="22" t="n">
        <f>9</f>
        <v>9.0</v>
      </c>
      <c r="N728" s="5" t="s">
        <v>268</v>
      </c>
      <c r="O728" s="23" t="str">
        <f>"－"</f>
        <v>－</v>
      </c>
      <c r="P728" s="3" t="s">
        <v>1537</v>
      </c>
      <c r="Q728" s="21"/>
      <c r="R728" s="3" t="s">
        <v>247</v>
      </c>
      <c r="S728" s="21" t="n">
        <f>205025</f>
        <v>205025.0</v>
      </c>
      <c r="T728" s="21" t="str">
        <f>"－"</f>
        <v>－</v>
      </c>
      <c r="U728" s="5" t="s">
        <v>634</v>
      </c>
      <c r="V728" s="23" t="n">
        <f>9423000</f>
        <v>9423000.0</v>
      </c>
      <c r="W728" s="5" t="s">
        <v>268</v>
      </c>
      <c r="X728" s="23" t="str">
        <f>"－"</f>
        <v>－</v>
      </c>
      <c r="Y728" s="23"/>
      <c r="Z728" s="21" t="str">
        <f>"－"</f>
        <v>－</v>
      </c>
      <c r="AA728" s="21" t="str">
        <f>"－"</f>
        <v>－</v>
      </c>
      <c r="AB728" s="4" t="s">
        <v>268</v>
      </c>
      <c r="AC728" s="22" t="str">
        <f>"－"</f>
        <v>－</v>
      </c>
      <c r="AD728" s="5" t="s">
        <v>268</v>
      </c>
      <c r="AE728" s="23" t="str">
        <f>"－"</f>
        <v>－</v>
      </c>
    </row>
    <row r="729">
      <c r="A729" s="24" t="s">
        <v>1538</v>
      </c>
      <c r="B729" s="25" t="s">
        <v>1539</v>
      </c>
      <c r="C729" s="26"/>
      <c r="D729" s="27"/>
      <c r="E729" s="28" t="s">
        <v>118</v>
      </c>
      <c r="F729" s="20" t="n">
        <f>45</f>
        <v>45.0</v>
      </c>
      <c r="G729" s="21" t="n">
        <f>8259</f>
        <v>8259.0</v>
      </c>
      <c r="H729" s="21"/>
      <c r="I729" s="21" t="n">
        <f>55</f>
        <v>55.0</v>
      </c>
      <c r="J729" s="21" t="n">
        <f>184</f>
        <v>184.0</v>
      </c>
      <c r="K729" s="21" t="n">
        <f>1</f>
        <v>1.0</v>
      </c>
      <c r="L729" s="4" t="s">
        <v>237</v>
      </c>
      <c r="M729" s="22" t="n">
        <f>337</f>
        <v>337.0</v>
      </c>
      <c r="N729" s="5" t="s">
        <v>248</v>
      </c>
      <c r="O729" s="23" t="n">
        <f>19</f>
        <v>19.0</v>
      </c>
      <c r="P729" s="3" t="s">
        <v>1540</v>
      </c>
      <c r="Q729" s="21"/>
      <c r="R729" s="3" t="s">
        <v>1541</v>
      </c>
      <c r="S729" s="21" t="n">
        <f>213322900</f>
        <v>2.133229E8</v>
      </c>
      <c r="T729" s="21" t="n">
        <f>1036467</f>
        <v>1036467.0</v>
      </c>
      <c r="U729" s="5" t="s">
        <v>237</v>
      </c>
      <c r="V729" s="23" t="n">
        <f>387955000</f>
        <v>3.87955E8</v>
      </c>
      <c r="W729" s="5" t="s">
        <v>248</v>
      </c>
      <c r="X729" s="23" t="n">
        <f>22506500</f>
        <v>2.25065E7</v>
      </c>
      <c r="Y729" s="23"/>
      <c r="Z729" s="21" t="str">
        <f>"－"</f>
        <v>－</v>
      </c>
      <c r="AA729" s="21" t="n">
        <f>1696</f>
        <v>1696.0</v>
      </c>
      <c r="AB729" s="4" t="s">
        <v>1013</v>
      </c>
      <c r="AC729" s="22" t="n">
        <f>1951</f>
        <v>1951.0</v>
      </c>
      <c r="AD729" s="5" t="s">
        <v>927</v>
      </c>
      <c r="AE729" s="23" t="n">
        <f>1694</f>
        <v>1694.0</v>
      </c>
    </row>
    <row r="730">
      <c r="A730" s="24" t="s">
        <v>1538</v>
      </c>
      <c r="B730" s="25" t="s">
        <v>1539</v>
      </c>
      <c r="C730" s="26"/>
      <c r="D730" s="27"/>
      <c r="E730" s="28" t="s">
        <v>124</v>
      </c>
      <c r="F730" s="20" t="n">
        <f>123</f>
        <v>123.0</v>
      </c>
      <c r="G730" s="21" t="n">
        <f>24156</f>
        <v>24156.0</v>
      </c>
      <c r="H730" s="21"/>
      <c r="I730" s="21" t="n">
        <f>319</f>
        <v>319.0</v>
      </c>
      <c r="J730" s="21" t="n">
        <f>196</f>
        <v>196.0</v>
      </c>
      <c r="K730" s="21" t="n">
        <f>3</f>
        <v>3.0</v>
      </c>
      <c r="L730" s="4" t="s">
        <v>323</v>
      </c>
      <c r="M730" s="22" t="n">
        <f>857</f>
        <v>857.0</v>
      </c>
      <c r="N730" s="5" t="s">
        <v>276</v>
      </c>
      <c r="O730" s="23" t="n">
        <f>33</f>
        <v>33.0</v>
      </c>
      <c r="P730" s="3" t="s">
        <v>1542</v>
      </c>
      <c r="Q730" s="21"/>
      <c r="R730" s="3" t="s">
        <v>1543</v>
      </c>
      <c r="S730" s="21" t="n">
        <f>262578659</f>
        <v>2.62578659E8</v>
      </c>
      <c r="T730" s="21" t="n">
        <f>3507520</f>
        <v>3507520.0</v>
      </c>
      <c r="U730" s="5" t="s">
        <v>323</v>
      </c>
      <c r="V730" s="23" t="n">
        <f>1185993500</f>
        <v>1.1859935E9</v>
      </c>
      <c r="W730" s="5" t="s">
        <v>276</v>
      </c>
      <c r="X730" s="23" t="n">
        <f>40900000</f>
        <v>4.09E7</v>
      </c>
      <c r="Y730" s="23"/>
      <c r="Z730" s="21" t="str">
        <f>"－"</f>
        <v>－</v>
      </c>
      <c r="AA730" s="21" t="n">
        <f>1783</f>
        <v>1783.0</v>
      </c>
      <c r="AB730" s="4" t="s">
        <v>698</v>
      </c>
      <c r="AC730" s="22" t="n">
        <f>1793</f>
        <v>1793.0</v>
      </c>
      <c r="AD730" s="5" t="s">
        <v>843</v>
      </c>
      <c r="AE730" s="23" t="n">
        <f>1408</f>
        <v>1408.0</v>
      </c>
    </row>
    <row r="731">
      <c r="A731" s="24" t="s">
        <v>1538</v>
      </c>
      <c r="B731" s="25" t="s">
        <v>1539</v>
      </c>
      <c r="C731" s="26"/>
      <c r="D731" s="27"/>
      <c r="E731" s="28" t="s">
        <v>127</v>
      </c>
      <c r="F731" s="20" t="n">
        <f>122</f>
        <v>122.0</v>
      </c>
      <c r="G731" s="21" t="n">
        <f>43692</f>
        <v>43692.0</v>
      </c>
      <c r="H731" s="21"/>
      <c r="I731" s="21" t="n">
        <f>260</f>
        <v>260.0</v>
      </c>
      <c r="J731" s="21" t="n">
        <f>358</f>
        <v>358.0</v>
      </c>
      <c r="K731" s="21" t="n">
        <f>2</f>
        <v>2.0</v>
      </c>
      <c r="L731" s="4" t="s">
        <v>1008</v>
      </c>
      <c r="M731" s="22" t="n">
        <f>1188</f>
        <v>1188.0</v>
      </c>
      <c r="N731" s="5" t="s">
        <v>128</v>
      </c>
      <c r="O731" s="23" t="n">
        <f>30</f>
        <v>30.0</v>
      </c>
      <c r="P731" s="3" t="s">
        <v>1544</v>
      </c>
      <c r="Q731" s="21"/>
      <c r="R731" s="3" t="s">
        <v>1545</v>
      </c>
      <c r="S731" s="21" t="n">
        <f>615683020</f>
        <v>6.1568302E8</v>
      </c>
      <c r="T731" s="21" t="n">
        <f>3694758</f>
        <v>3694758.0</v>
      </c>
      <c r="U731" s="5" t="s">
        <v>1008</v>
      </c>
      <c r="V731" s="23" t="n">
        <f>1982200000</f>
        <v>1.9822E9</v>
      </c>
      <c r="W731" s="5" t="s">
        <v>128</v>
      </c>
      <c r="X731" s="23" t="n">
        <f>52138500</f>
        <v>5.21385E7</v>
      </c>
      <c r="Y731" s="23"/>
      <c r="Z731" s="21" t="str">
        <f>"－"</f>
        <v>－</v>
      </c>
      <c r="AA731" s="21" t="n">
        <f>1860</f>
        <v>1860.0</v>
      </c>
      <c r="AB731" s="4" t="s">
        <v>1123</v>
      </c>
      <c r="AC731" s="22" t="n">
        <f>2230</f>
        <v>2230.0</v>
      </c>
      <c r="AD731" s="5" t="s">
        <v>1546</v>
      </c>
      <c r="AE731" s="23" t="n">
        <f>1609</f>
        <v>1609.0</v>
      </c>
    </row>
    <row r="732">
      <c r="A732" s="24" t="s">
        <v>1538</v>
      </c>
      <c r="B732" s="25" t="s">
        <v>1539</v>
      </c>
      <c r="C732" s="26"/>
      <c r="D732" s="27"/>
      <c r="E732" s="28" t="s">
        <v>133</v>
      </c>
      <c r="F732" s="20" t="n">
        <f>122</f>
        <v>122.0</v>
      </c>
      <c r="G732" s="21" t="n">
        <f>26785</f>
        <v>26785.0</v>
      </c>
      <c r="H732" s="21"/>
      <c r="I732" s="21" t="n">
        <f>161</f>
        <v>161.0</v>
      </c>
      <c r="J732" s="21" t="n">
        <f>220</f>
        <v>220.0</v>
      </c>
      <c r="K732" s="21" t="n">
        <f>1</f>
        <v>1.0</v>
      </c>
      <c r="L732" s="4" t="s">
        <v>504</v>
      </c>
      <c r="M732" s="22" t="n">
        <f>873</f>
        <v>873.0</v>
      </c>
      <c r="N732" s="5" t="s">
        <v>843</v>
      </c>
      <c r="O732" s="23" t="n">
        <f>25</f>
        <v>25.0</v>
      </c>
      <c r="P732" s="3" t="s">
        <v>1547</v>
      </c>
      <c r="Q732" s="21"/>
      <c r="R732" s="3" t="s">
        <v>1548</v>
      </c>
      <c r="S732" s="21" t="n">
        <f>465965430</f>
        <v>4.6596543E8</v>
      </c>
      <c r="T732" s="21" t="n">
        <f>3059443</f>
        <v>3059443.0</v>
      </c>
      <c r="U732" s="5" t="s">
        <v>504</v>
      </c>
      <c r="V732" s="23" t="n">
        <f>1717300000</f>
        <v>1.7173E9</v>
      </c>
      <c r="W732" s="5" t="s">
        <v>843</v>
      </c>
      <c r="X732" s="23" t="n">
        <f>47638000</f>
        <v>4.7638E7</v>
      </c>
      <c r="Y732" s="23"/>
      <c r="Z732" s="21" t="str">
        <f>"－"</f>
        <v>－</v>
      </c>
      <c r="AA732" s="21" t="n">
        <f>2162</f>
        <v>2162.0</v>
      </c>
      <c r="AB732" s="4" t="s">
        <v>330</v>
      </c>
      <c r="AC732" s="22" t="n">
        <f>2162</f>
        <v>2162.0</v>
      </c>
      <c r="AD732" s="5" t="s">
        <v>603</v>
      </c>
      <c r="AE732" s="23" t="n">
        <f>1801</f>
        <v>1801.0</v>
      </c>
    </row>
    <row r="733">
      <c r="A733" s="24" t="s">
        <v>1538</v>
      </c>
      <c r="B733" s="25" t="s">
        <v>1539</v>
      </c>
      <c r="C733" s="26"/>
      <c r="D733" s="27"/>
      <c r="E733" s="28" t="s">
        <v>139</v>
      </c>
      <c r="F733" s="20" t="n">
        <f>123</f>
        <v>123.0</v>
      </c>
      <c r="G733" s="21" t="n">
        <f>31558</f>
        <v>31558.0</v>
      </c>
      <c r="H733" s="21"/>
      <c r="I733" s="21" t="n">
        <f>732</f>
        <v>732.0</v>
      </c>
      <c r="J733" s="21" t="n">
        <f>257</f>
        <v>257.0</v>
      </c>
      <c r="K733" s="21" t="n">
        <f>6</f>
        <v>6.0</v>
      </c>
      <c r="L733" s="4" t="s">
        <v>737</v>
      </c>
      <c r="M733" s="22" t="n">
        <f>975</f>
        <v>975.0</v>
      </c>
      <c r="N733" s="5" t="s">
        <v>85</v>
      </c>
      <c r="O733" s="23" t="n">
        <f>47</f>
        <v>47.0</v>
      </c>
      <c r="P733" s="3" t="s">
        <v>1549</v>
      </c>
      <c r="Q733" s="21"/>
      <c r="R733" s="3" t="s">
        <v>1550</v>
      </c>
      <c r="S733" s="21" t="n">
        <f>666096280</f>
        <v>6.6609628E8</v>
      </c>
      <c r="T733" s="21" t="n">
        <f>17376333</f>
        <v>1.7376333E7</v>
      </c>
      <c r="U733" s="5" t="s">
        <v>737</v>
      </c>
      <c r="V733" s="23" t="n">
        <f>2793792000</f>
        <v>2.793792E9</v>
      </c>
      <c r="W733" s="5" t="s">
        <v>85</v>
      </c>
      <c r="X733" s="23" t="n">
        <f>106796500</f>
        <v>1.067965E8</v>
      </c>
      <c r="Y733" s="23"/>
      <c r="Z733" s="21" t="str">
        <f>"－"</f>
        <v>－</v>
      </c>
      <c r="AA733" s="21" t="n">
        <f>2326</f>
        <v>2326.0</v>
      </c>
      <c r="AB733" s="4" t="s">
        <v>999</v>
      </c>
      <c r="AC733" s="22" t="n">
        <f>2352</f>
        <v>2352.0</v>
      </c>
      <c r="AD733" s="5" t="s">
        <v>924</v>
      </c>
      <c r="AE733" s="23" t="n">
        <f>1879</f>
        <v>1879.0</v>
      </c>
    </row>
    <row r="734">
      <c r="A734" s="24" t="s">
        <v>1538</v>
      </c>
      <c r="B734" s="25" t="s">
        <v>1539</v>
      </c>
      <c r="C734" s="26"/>
      <c r="D734" s="27"/>
      <c r="E734" s="28" t="s">
        <v>145</v>
      </c>
      <c r="F734" s="20" t="n">
        <f>122</f>
        <v>122.0</v>
      </c>
      <c r="G734" s="21" t="n">
        <f>13461</f>
        <v>13461.0</v>
      </c>
      <c r="H734" s="21"/>
      <c r="I734" s="21" t="n">
        <f>842</f>
        <v>842.0</v>
      </c>
      <c r="J734" s="21" t="n">
        <f>110</f>
        <v>110.0</v>
      </c>
      <c r="K734" s="21" t="n">
        <f>7</f>
        <v>7.0</v>
      </c>
      <c r="L734" s="4" t="s">
        <v>339</v>
      </c>
      <c r="M734" s="22" t="n">
        <f>374</f>
        <v>374.0</v>
      </c>
      <c r="N734" s="5" t="s">
        <v>146</v>
      </c>
      <c r="O734" s="23" t="n">
        <f>16</f>
        <v>16.0</v>
      </c>
      <c r="P734" s="3" t="s">
        <v>1551</v>
      </c>
      <c r="Q734" s="21"/>
      <c r="R734" s="3" t="s">
        <v>1552</v>
      </c>
      <c r="S734" s="21" t="n">
        <f>254883418</f>
        <v>2.54883418E8</v>
      </c>
      <c r="T734" s="21" t="n">
        <f>15035090</f>
        <v>1.503509E7</v>
      </c>
      <c r="U734" s="5" t="s">
        <v>82</v>
      </c>
      <c r="V734" s="23" t="n">
        <f>873436000</f>
        <v>8.73436E8</v>
      </c>
      <c r="W734" s="5" t="s">
        <v>146</v>
      </c>
      <c r="X734" s="23" t="n">
        <f>34978000</f>
        <v>3.4978E7</v>
      </c>
      <c r="Y734" s="23"/>
      <c r="Z734" s="21" t="str">
        <f>"－"</f>
        <v>－</v>
      </c>
      <c r="AA734" s="21" t="n">
        <f>1175</f>
        <v>1175.0</v>
      </c>
      <c r="AB734" s="4" t="s">
        <v>82</v>
      </c>
      <c r="AC734" s="22" t="n">
        <f>2309</f>
        <v>2309.0</v>
      </c>
      <c r="AD734" s="5" t="s">
        <v>698</v>
      </c>
      <c r="AE734" s="23" t="n">
        <f>1168</f>
        <v>1168.0</v>
      </c>
    </row>
    <row r="735">
      <c r="A735" s="24" t="s">
        <v>1538</v>
      </c>
      <c r="B735" s="25" t="s">
        <v>1539</v>
      </c>
      <c r="C735" s="26"/>
      <c r="D735" s="27"/>
      <c r="E735" s="28" t="s">
        <v>150</v>
      </c>
      <c r="F735" s="20" t="n">
        <f>124</f>
        <v>124.0</v>
      </c>
      <c r="G735" s="21" t="n">
        <f>10081</f>
        <v>10081.0</v>
      </c>
      <c r="H735" s="21"/>
      <c r="I735" s="21" t="n">
        <f>132</f>
        <v>132.0</v>
      </c>
      <c r="J735" s="21" t="n">
        <f>81</f>
        <v>81.0</v>
      </c>
      <c r="K735" s="21" t="n">
        <f>1</f>
        <v>1.0</v>
      </c>
      <c r="L735" s="4" t="s">
        <v>594</v>
      </c>
      <c r="M735" s="22" t="n">
        <f>276</f>
        <v>276.0</v>
      </c>
      <c r="N735" s="5" t="s">
        <v>909</v>
      </c>
      <c r="O735" s="23" t="n">
        <f>16</f>
        <v>16.0</v>
      </c>
      <c r="P735" s="3" t="s">
        <v>1553</v>
      </c>
      <c r="Q735" s="21"/>
      <c r="R735" s="3" t="s">
        <v>1554</v>
      </c>
      <c r="S735" s="21" t="n">
        <f>166374730</f>
        <v>1.6637473E8</v>
      </c>
      <c r="T735" s="21" t="n">
        <f>1965419</f>
        <v>1965419.0</v>
      </c>
      <c r="U735" s="5" t="s">
        <v>594</v>
      </c>
      <c r="V735" s="23" t="n">
        <f>568912500</f>
        <v>5.689125E8</v>
      </c>
      <c r="W735" s="5" t="s">
        <v>909</v>
      </c>
      <c r="X735" s="23" t="n">
        <f>32239500</f>
        <v>3.22395E7</v>
      </c>
      <c r="Y735" s="23"/>
      <c r="Z735" s="21" t="str">
        <f>"－"</f>
        <v>－</v>
      </c>
      <c r="AA735" s="21" t="n">
        <f>1224</f>
        <v>1224.0</v>
      </c>
      <c r="AB735" s="4" t="s">
        <v>853</v>
      </c>
      <c r="AC735" s="22" t="n">
        <f>1324</f>
        <v>1324.0</v>
      </c>
      <c r="AD735" s="5" t="s">
        <v>712</v>
      </c>
      <c r="AE735" s="23" t="n">
        <f>1068</f>
        <v>1068.0</v>
      </c>
    </row>
    <row r="736">
      <c r="A736" s="24" t="s">
        <v>1538</v>
      </c>
      <c r="B736" s="25" t="s">
        <v>1539</v>
      </c>
      <c r="C736" s="26"/>
      <c r="D736" s="27"/>
      <c r="E736" s="28" t="s">
        <v>154</v>
      </c>
      <c r="F736" s="20" t="n">
        <f>120</f>
        <v>120.0</v>
      </c>
      <c r="G736" s="21" t="n">
        <f>7426</f>
        <v>7426.0</v>
      </c>
      <c r="H736" s="21"/>
      <c r="I736" s="21" t="n">
        <f>480</f>
        <v>480.0</v>
      </c>
      <c r="J736" s="21" t="n">
        <f>62</f>
        <v>62.0</v>
      </c>
      <c r="K736" s="21" t="n">
        <f>4</f>
        <v>4.0</v>
      </c>
      <c r="L736" s="4" t="s">
        <v>528</v>
      </c>
      <c r="M736" s="22" t="n">
        <f>982</f>
        <v>982.0</v>
      </c>
      <c r="N736" s="5" t="s">
        <v>901</v>
      </c>
      <c r="O736" s="23" t="n">
        <f>2</f>
        <v>2.0</v>
      </c>
      <c r="P736" s="3" t="s">
        <v>1555</v>
      </c>
      <c r="Q736" s="21"/>
      <c r="R736" s="3" t="s">
        <v>1556</v>
      </c>
      <c r="S736" s="21" t="n">
        <f>120328213</f>
        <v>1.20328213E8</v>
      </c>
      <c r="T736" s="21" t="n">
        <f>7478063</f>
        <v>7478063.0</v>
      </c>
      <c r="U736" s="5" t="s">
        <v>528</v>
      </c>
      <c r="V736" s="23" t="n">
        <f>2009491500</f>
        <v>2.0094915E9</v>
      </c>
      <c r="W736" s="5" t="s">
        <v>901</v>
      </c>
      <c r="X736" s="23" t="n">
        <f>3745000</f>
        <v>3745000.0</v>
      </c>
      <c r="Y736" s="23"/>
      <c r="Z736" s="21" t="str">
        <f>"－"</f>
        <v>－</v>
      </c>
      <c r="AA736" s="21" t="n">
        <f>1296</f>
        <v>1296.0</v>
      </c>
      <c r="AB736" s="4" t="s">
        <v>533</v>
      </c>
      <c r="AC736" s="22" t="n">
        <f>2069</f>
        <v>2069.0</v>
      </c>
      <c r="AD736" s="5" t="s">
        <v>669</v>
      </c>
      <c r="AE736" s="23" t="n">
        <f>1077</f>
        <v>1077.0</v>
      </c>
    </row>
    <row r="737">
      <c r="A737" s="24" t="s">
        <v>1557</v>
      </c>
      <c r="B737" s="25" t="s">
        <v>1558</v>
      </c>
      <c r="C737" s="26"/>
      <c r="D737" s="27"/>
      <c r="E737" s="28" t="s">
        <v>118</v>
      </c>
      <c r="F737" s="20" t="n">
        <f>45</f>
        <v>45.0</v>
      </c>
      <c r="G737" s="21" t="str">
        <f>"－"</f>
        <v>－</v>
      </c>
      <c r="H737" s="21"/>
      <c r="I737" s="21" t="str">
        <f>"－"</f>
        <v>－</v>
      </c>
      <c r="J737" s="21" t="str">
        <f>"－"</f>
        <v>－</v>
      </c>
      <c r="K737" s="21" t="str">
        <f>"－"</f>
        <v>－</v>
      </c>
      <c r="L737" s="4" t="s">
        <v>853</v>
      </c>
      <c r="M737" s="22" t="str">
        <f>"－"</f>
        <v>－</v>
      </c>
      <c r="N737" s="5" t="s">
        <v>853</v>
      </c>
      <c r="O737" s="23" t="str">
        <f>"－"</f>
        <v>－</v>
      </c>
      <c r="P737" s="3" t="s">
        <v>247</v>
      </c>
      <c r="Q737" s="21"/>
      <c r="R737" s="3" t="s">
        <v>247</v>
      </c>
      <c r="S737" s="21" t="str">
        <f>"－"</f>
        <v>－</v>
      </c>
      <c r="T737" s="21" t="str">
        <f>"－"</f>
        <v>－</v>
      </c>
      <c r="U737" s="5" t="s">
        <v>853</v>
      </c>
      <c r="V737" s="23" t="str">
        <f>"－"</f>
        <v>－</v>
      </c>
      <c r="W737" s="5" t="s">
        <v>853</v>
      </c>
      <c r="X737" s="23" t="str">
        <f>"－"</f>
        <v>－</v>
      </c>
      <c r="Y737" s="23"/>
      <c r="Z737" s="21" t="str">
        <f>"－"</f>
        <v>－</v>
      </c>
      <c r="AA737" s="21" t="str">
        <f>"－"</f>
        <v>－</v>
      </c>
      <c r="AB737" s="4" t="s">
        <v>853</v>
      </c>
      <c r="AC737" s="22" t="str">
        <f>"－"</f>
        <v>－</v>
      </c>
      <c r="AD737" s="5" t="s">
        <v>853</v>
      </c>
      <c r="AE737" s="23" t="str">
        <f>"－"</f>
        <v>－</v>
      </c>
    </row>
    <row r="738">
      <c r="A738" s="24" t="s">
        <v>1557</v>
      </c>
      <c r="B738" s="25" t="s">
        <v>1558</v>
      </c>
      <c r="C738" s="26"/>
      <c r="D738" s="27"/>
      <c r="E738" s="28" t="s">
        <v>124</v>
      </c>
      <c r="F738" s="20" t="n">
        <f>123</f>
        <v>123.0</v>
      </c>
      <c r="G738" s="21" t="n">
        <f>2</f>
        <v>2.0</v>
      </c>
      <c r="H738" s="21"/>
      <c r="I738" s="21" t="str">
        <f>"－"</f>
        <v>－</v>
      </c>
      <c r="J738" s="21" t="n">
        <f>0</f>
        <v>0.0</v>
      </c>
      <c r="K738" s="21" t="str">
        <f>"－"</f>
        <v>－</v>
      </c>
      <c r="L738" s="4" t="s">
        <v>767</v>
      </c>
      <c r="M738" s="22" t="n">
        <f>1</f>
        <v>1.0</v>
      </c>
      <c r="N738" s="5" t="s">
        <v>279</v>
      </c>
      <c r="O738" s="23" t="str">
        <f>"－"</f>
        <v>－</v>
      </c>
      <c r="P738" s="3" t="s">
        <v>1559</v>
      </c>
      <c r="Q738" s="21"/>
      <c r="R738" s="3" t="s">
        <v>247</v>
      </c>
      <c r="S738" s="21" t="n">
        <f>19675</f>
        <v>19675.0</v>
      </c>
      <c r="T738" s="21" t="str">
        <f>"－"</f>
        <v>－</v>
      </c>
      <c r="U738" s="5" t="s">
        <v>872</v>
      </c>
      <c r="V738" s="23" t="n">
        <f>1270000</f>
        <v>1270000.0</v>
      </c>
      <c r="W738" s="5" t="s">
        <v>279</v>
      </c>
      <c r="X738" s="23" t="str">
        <f>"－"</f>
        <v>－</v>
      </c>
      <c r="Y738" s="23"/>
      <c r="Z738" s="21" t="str">
        <f>"－"</f>
        <v>－</v>
      </c>
      <c r="AA738" s="21" t="str">
        <f>"－"</f>
        <v>－</v>
      </c>
      <c r="AB738" s="4" t="s">
        <v>767</v>
      </c>
      <c r="AC738" s="22" t="n">
        <f>1</f>
        <v>1.0</v>
      </c>
      <c r="AD738" s="5" t="s">
        <v>279</v>
      </c>
      <c r="AE738" s="23" t="str">
        <f>"－"</f>
        <v>－</v>
      </c>
    </row>
    <row r="739">
      <c r="A739" s="24" t="s">
        <v>1557</v>
      </c>
      <c r="B739" s="25" t="s">
        <v>1558</v>
      </c>
      <c r="C739" s="26"/>
      <c r="D739" s="27"/>
      <c r="E739" s="28" t="s">
        <v>127</v>
      </c>
      <c r="F739" s="20" t="n">
        <f>122</f>
        <v>122.0</v>
      </c>
      <c r="G739" s="21" t="str">
        <f>"－"</f>
        <v>－</v>
      </c>
      <c r="H739" s="21"/>
      <c r="I739" s="21" t="str">
        <f>"－"</f>
        <v>－</v>
      </c>
      <c r="J739" s="21" t="str">
        <f>"－"</f>
        <v>－</v>
      </c>
      <c r="K739" s="21" t="str">
        <f>"－"</f>
        <v>－</v>
      </c>
      <c r="L739" s="4" t="s">
        <v>335</v>
      </c>
      <c r="M739" s="22" t="str">
        <f>"－"</f>
        <v>－</v>
      </c>
      <c r="N739" s="5" t="s">
        <v>335</v>
      </c>
      <c r="O739" s="23" t="str">
        <f>"－"</f>
        <v>－</v>
      </c>
      <c r="P739" s="3" t="s">
        <v>247</v>
      </c>
      <c r="Q739" s="21"/>
      <c r="R739" s="3" t="s">
        <v>247</v>
      </c>
      <c r="S739" s="21" t="str">
        <f>"－"</f>
        <v>－</v>
      </c>
      <c r="T739" s="21" t="str">
        <f>"－"</f>
        <v>－</v>
      </c>
      <c r="U739" s="5" t="s">
        <v>335</v>
      </c>
      <c r="V739" s="23" t="str">
        <f>"－"</f>
        <v>－</v>
      </c>
      <c r="W739" s="5" t="s">
        <v>335</v>
      </c>
      <c r="X739" s="23" t="str">
        <f>"－"</f>
        <v>－</v>
      </c>
      <c r="Y739" s="23"/>
      <c r="Z739" s="21" t="str">
        <f>"－"</f>
        <v>－</v>
      </c>
      <c r="AA739" s="21" t="str">
        <f>"－"</f>
        <v>－</v>
      </c>
      <c r="AB739" s="4" t="s">
        <v>335</v>
      </c>
      <c r="AC739" s="22" t="str">
        <f>"－"</f>
        <v>－</v>
      </c>
      <c r="AD739" s="5" t="s">
        <v>335</v>
      </c>
      <c r="AE739" s="23" t="str">
        <f>"－"</f>
        <v>－</v>
      </c>
    </row>
    <row r="740">
      <c r="A740" s="24" t="s">
        <v>1557</v>
      </c>
      <c r="B740" s="25" t="s">
        <v>1558</v>
      </c>
      <c r="C740" s="26"/>
      <c r="D740" s="27"/>
      <c r="E740" s="28" t="s">
        <v>133</v>
      </c>
      <c r="F740" s="20" t="n">
        <f>122</f>
        <v>122.0</v>
      </c>
      <c r="G740" s="21" t="str">
        <f>"－"</f>
        <v>－</v>
      </c>
      <c r="H740" s="21"/>
      <c r="I740" s="21" t="str">
        <f>"－"</f>
        <v>－</v>
      </c>
      <c r="J740" s="21" t="str">
        <f>"－"</f>
        <v>－</v>
      </c>
      <c r="K740" s="21" t="str">
        <f>"－"</f>
        <v>－</v>
      </c>
      <c r="L740" s="4" t="s">
        <v>279</v>
      </c>
      <c r="M740" s="22" t="str">
        <f>"－"</f>
        <v>－</v>
      </c>
      <c r="N740" s="5" t="s">
        <v>279</v>
      </c>
      <c r="O740" s="23" t="str">
        <f>"－"</f>
        <v>－</v>
      </c>
      <c r="P740" s="3" t="s">
        <v>247</v>
      </c>
      <c r="Q740" s="21"/>
      <c r="R740" s="3" t="s">
        <v>247</v>
      </c>
      <c r="S740" s="21" t="str">
        <f>"－"</f>
        <v>－</v>
      </c>
      <c r="T740" s="21" t="str">
        <f>"－"</f>
        <v>－</v>
      </c>
      <c r="U740" s="5" t="s">
        <v>279</v>
      </c>
      <c r="V740" s="23" t="str">
        <f>"－"</f>
        <v>－</v>
      </c>
      <c r="W740" s="5" t="s">
        <v>279</v>
      </c>
      <c r="X740" s="23" t="str">
        <f>"－"</f>
        <v>－</v>
      </c>
      <c r="Y740" s="23"/>
      <c r="Z740" s="21" t="str">
        <f>"－"</f>
        <v>－</v>
      </c>
      <c r="AA740" s="21" t="str">
        <f>"－"</f>
        <v>－</v>
      </c>
      <c r="AB740" s="4" t="s">
        <v>279</v>
      </c>
      <c r="AC740" s="22" t="str">
        <f>"－"</f>
        <v>－</v>
      </c>
      <c r="AD740" s="5" t="s">
        <v>279</v>
      </c>
      <c r="AE740" s="23" t="str">
        <f>"－"</f>
        <v>－</v>
      </c>
    </row>
    <row r="741">
      <c r="A741" s="24" t="s">
        <v>1557</v>
      </c>
      <c r="B741" s="25" t="s">
        <v>1558</v>
      </c>
      <c r="C741" s="26"/>
      <c r="D741" s="27"/>
      <c r="E741" s="28" t="s">
        <v>139</v>
      </c>
      <c r="F741" s="20" t="n">
        <f>123</f>
        <v>123.0</v>
      </c>
      <c r="G741" s="21" t="str">
        <f>"－"</f>
        <v>－</v>
      </c>
      <c r="H741" s="21"/>
      <c r="I741" s="21" t="str">
        <f>"－"</f>
        <v>－</v>
      </c>
      <c r="J741" s="21" t="str">
        <f>"－"</f>
        <v>－</v>
      </c>
      <c r="K741" s="21" t="str">
        <f>"－"</f>
        <v>－</v>
      </c>
      <c r="L741" s="4" t="s">
        <v>335</v>
      </c>
      <c r="M741" s="22" t="str">
        <f>"－"</f>
        <v>－</v>
      </c>
      <c r="N741" s="5" t="s">
        <v>335</v>
      </c>
      <c r="O741" s="23" t="str">
        <f>"－"</f>
        <v>－</v>
      </c>
      <c r="P741" s="3" t="s">
        <v>247</v>
      </c>
      <c r="Q741" s="21"/>
      <c r="R741" s="3" t="s">
        <v>247</v>
      </c>
      <c r="S741" s="21" t="str">
        <f>"－"</f>
        <v>－</v>
      </c>
      <c r="T741" s="21" t="str">
        <f>"－"</f>
        <v>－</v>
      </c>
      <c r="U741" s="5" t="s">
        <v>335</v>
      </c>
      <c r="V741" s="23" t="str">
        <f>"－"</f>
        <v>－</v>
      </c>
      <c r="W741" s="5" t="s">
        <v>335</v>
      </c>
      <c r="X741" s="23" t="str">
        <f>"－"</f>
        <v>－</v>
      </c>
      <c r="Y741" s="23"/>
      <c r="Z741" s="21" t="str">
        <f>"－"</f>
        <v>－</v>
      </c>
      <c r="AA741" s="21" t="str">
        <f>"－"</f>
        <v>－</v>
      </c>
      <c r="AB741" s="4" t="s">
        <v>335</v>
      </c>
      <c r="AC741" s="22" t="str">
        <f>"－"</f>
        <v>－</v>
      </c>
      <c r="AD741" s="5" t="s">
        <v>335</v>
      </c>
      <c r="AE741" s="23" t="str">
        <f>"－"</f>
        <v>－</v>
      </c>
    </row>
    <row r="742">
      <c r="A742" s="24" t="s">
        <v>1557</v>
      </c>
      <c r="B742" s="25" t="s">
        <v>1558</v>
      </c>
      <c r="C742" s="26"/>
      <c r="D742" s="27"/>
      <c r="E742" s="28" t="s">
        <v>145</v>
      </c>
      <c r="F742" s="20" t="n">
        <f>122</f>
        <v>122.0</v>
      </c>
      <c r="G742" s="21" t="str">
        <f>"－"</f>
        <v>－</v>
      </c>
      <c r="H742" s="21"/>
      <c r="I742" s="21" t="str">
        <f>"－"</f>
        <v>－</v>
      </c>
      <c r="J742" s="21" t="str">
        <f>"－"</f>
        <v>－</v>
      </c>
      <c r="K742" s="21" t="str">
        <f>"－"</f>
        <v>－</v>
      </c>
      <c r="L742" s="4" t="s">
        <v>82</v>
      </c>
      <c r="M742" s="22" t="str">
        <f>"－"</f>
        <v>－</v>
      </c>
      <c r="N742" s="5" t="s">
        <v>82</v>
      </c>
      <c r="O742" s="23" t="str">
        <f>"－"</f>
        <v>－</v>
      </c>
      <c r="P742" s="3" t="s">
        <v>247</v>
      </c>
      <c r="Q742" s="21"/>
      <c r="R742" s="3" t="s">
        <v>247</v>
      </c>
      <c r="S742" s="21" t="str">
        <f>"－"</f>
        <v>－</v>
      </c>
      <c r="T742" s="21" t="str">
        <f>"－"</f>
        <v>－</v>
      </c>
      <c r="U742" s="5" t="s">
        <v>82</v>
      </c>
      <c r="V742" s="23" t="str">
        <f>"－"</f>
        <v>－</v>
      </c>
      <c r="W742" s="5" t="s">
        <v>82</v>
      </c>
      <c r="X742" s="23" t="str">
        <f>"－"</f>
        <v>－</v>
      </c>
      <c r="Y742" s="23"/>
      <c r="Z742" s="21" t="str">
        <f>"－"</f>
        <v>－</v>
      </c>
      <c r="AA742" s="21" t="str">
        <f>"－"</f>
        <v>－</v>
      </c>
      <c r="AB742" s="4" t="s">
        <v>82</v>
      </c>
      <c r="AC742" s="22" t="str">
        <f>"－"</f>
        <v>－</v>
      </c>
      <c r="AD742" s="5" t="s">
        <v>82</v>
      </c>
      <c r="AE742" s="23" t="str">
        <f>"－"</f>
        <v>－</v>
      </c>
    </row>
    <row r="743">
      <c r="A743" s="24" t="s">
        <v>1557</v>
      </c>
      <c r="B743" s="25" t="s">
        <v>1558</v>
      </c>
      <c r="C743" s="26"/>
      <c r="D743" s="27"/>
      <c r="E743" s="28" t="s">
        <v>150</v>
      </c>
      <c r="F743" s="20" t="n">
        <f>124</f>
        <v>124.0</v>
      </c>
      <c r="G743" s="21" t="n">
        <f>2</f>
        <v>2.0</v>
      </c>
      <c r="H743" s="21"/>
      <c r="I743" s="21" t="str">
        <f>"－"</f>
        <v>－</v>
      </c>
      <c r="J743" s="21" t="n">
        <f>0</f>
        <v>0.0</v>
      </c>
      <c r="K743" s="21" t="str">
        <f>"－"</f>
        <v>－</v>
      </c>
      <c r="L743" s="4" t="s">
        <v>972</v>
      </c>
      <c r="M743" s="22" t="n">
        <f>2</f>
        <v>2.0</v>
      </c>
      <c r="N743" s="5" t="s">
        <v>666</v>
      </c>
      <c r="O743" s="23" t="str">
        <f>"－"</f>
        <v>－</v>
      </c>
      <c r="P743" s="3" t="s">
        <v>1560</v>
      </c>
      <c r="Q743" s="21"/>
      <c r="R743" s="3" t="s">
        <v>247</v>
      </c>
      <c r="S743" s="21" t="n">
        <f>25423</f>
        <v>25423.0</v>
      </c>
      <c r="T743" s="21" t="str">
        <f>"－"</f>
        <v>－</v>
      </c>
      <c r="U743" s="5" t="s">
        <v>972</v>
      </c>
      <c r="V743" s="23" t="n">
        <f>3152500</f>
        <v>3152500.0</v>
      </c>
      <c r="W743" s="5" t="s">
        <v>666</v>
      </c>
      <c r="X743" s="23" t="str">
        <f>"－"</f>
        <v>－</v>
      </c>
      <c r="Y743" s="23"/>
      <c r="Z743" s="21" t="str">
        <f>"－"</f>
        <v>－</v>
      </c>
      <c r="AA743" s="21" t="str">
        <f>"－"</f>
        <v>－</v>
      </c>
      <c r="AB743" s="4" t="s">
        <v>666</v>
      </c>
      <c r="AC743" s="22" t="str">
        <f>"－"</f>
        <v>－</v>
      </c>
      <c r="AD743" s="5" t="s">
        <v>666</v>
      </c>
      <c r="AE743" s="23" t="str">
        <f>"－"</f>
        <v>－</v>
      </c>
    </row>
    <row r="744">
      <c r="A744" s="24" t="s">
        <v>1557</v>
      </c>
      <c r="B744" s="25" t="s">
        <v>1558</v>
      </c>
      <c r="C744" s="26"/>
      <c r="D744" s="27"/>
      <c r="E744" s="28" t="s">
        <v>154</v>
      </c>
      <c r="F744" s="20" t="n">
        <f>120</f>
        <v>120.0</v>
      </c>
      <c r="G744" s="21" t="str">
        <f>"－"</f>
        <v>－</v>
      </c>
      <c r="H744" s="21"/>
      <c r="I744" s="21" t="str">
        <f>"－"</f>
        <v>－</v>
      </c>
      <c r="J744" s="21" t="str">
        <f>"－"</f>
        <v>－</v>
      </c>
      <c r="K744" s="21" t="str">
        <f>"－"</f>
        <v>－</v>
      </c>
      <c r="L744" s="4" t="s">
        <v>268</v>
      </c>
      <c r="M744" s="22" t="str">
        <f>"－"</f>
        <v>－</v>
      </c>
      <c r="N744" s="5" t="s">
        <v>268</v>
      </c>
      <c r="O744" s="23" t="str">
        <f>"－"</f>
        <v>－</v>
      </c>
      <c r="P744" s="3" t="s">
        <v>247</v>
      </c>
      <c r="Q744" s="21"/>
      <c r="R744" s="3" t="s">
        <v>247</v>
      </c>
      <c r="S744" s="21" t="str">
        <f>"－"</f>
        <v>－</v>
      </c>
      <c r="T744" s="21" t="str">
        <f>"－"</f>
        <v>－</v>
      </c>
      <c r="U744" s="5" t="s">
        <v>268</v>
      </c>
      <c r="V744" s="23" t="str">
        <f>"－"</f>
        <v>－</v>
      </c>
      <c r="W744" s="5" t="s">
        <v>268</v>
      </c>
      <c r="X744" s="23" t="str">
        <f>"－"</f>
        <v>－</v>
      </c>
      <c r="Y744" s="23"/>
      <c r="Z744" s="21" t="str">
        <f>"－"</f>
        <v>－</v>
      </c>
      <c r="AA744" s="21" t="str">
        <f>"－"</f>
        <v>－</v>
      </c>
      <c r="AB744" s="4" t="s">
        <v>268</v>
      </c>
      <c r="AC744" s="22" t="str">
        <f>"－"</f>
        <v>－</v>
      </c>
      <c r="AD744" s="5" t="s">
        <v>268</v>
      </c>
      <c r="AE744" s="23" t="str">
        <f>"－"</f>
        <v>－</v>
      </c>
    </row>
    <row r="745">
      <c r="A745" s="24" t="s">
        <v>1561</v>
      </c>
      <c r="B745" s="25" t="s">
        <v>1562</v>
      </c>
      <c r="C745" s="26"/>
      <c r="D745" s="27"/>
      <c r="E745" s="28" t="s">
        <v>118</v>
      </c>
      <c r="F745" s="20" t="n">
        <f>45</f>
        <v>45.0</v>
      </c>
      <c r="G745" s="21" t="n">
        <f>12</f>
        <v>12.0</v>
      </c>
      <c r="H745" s="21"/>
      <c r="I745" s="21" t="n">
        <f>1</f>
        <v>1.0</v>
      </c>
      <c r="J745" s="21" t="n">
        <f>0</f>
        <v>0.0</v>
      </c>
      <c r="K745" s="21" t="n">
        <f>0</f>
        <v>0.0</v>
      </c>
      <c r="L745" s="4" t="s">
        <v>128</v>
      </c>
      <c r="M745" s="22" t="n">
        <f>3</f>
        <v>3.0</v>
      </c>
      <c r="N745" s="5" t="s">
        <v>853</v>
      </c>
      <c r="O745" s="23" t="str">
        <f>"－"</f>
        <v>－</v>
      </c>
      <c r="P745" s="3" t="s">
        <v>1563</v>
      </c>
      <c r="Q745" s="21"/>
      <c r="R745" s="3" t="s">
        <v>1564</v>
      </c>
      <c r="S745" s="21" t="n">
        <f>251573</f>
        <v>251573.0</v>
      </c>
      <c r="T745" s="21" t="n">
        <f>16889</f>
        <v>16889.0</v>
      </c>
      <c r="U745" s="5" t="s">
        <v>128</v>
      </c>
      <c r="V745" s="23" t="n">
        <f>2736800</f>
        <v>2736800.0</v>
      </c>
      <c r="W745" s="5" t="s">
        <v>853</v>
      </c>
      <c r="X745" s="23" t="str">
        <f>"－"</f>
        <v>－</v>
      </c>
      <c r="Y745" s="23"/>
      <c r="Z745" s="21" t="str">
        <f>"－"</f>
        <v>－</v>
      </c>
      <c r="AA745" s="21" t="n">
        <f>5</f>
        <v>5.0</v>
      </c>
      <c r="AB745" s="4" t="s">
        <v>128</v>
      </c>
      <c r="AC745" s="22" t="n">
        <f>8</f>
        <v>8.0</v>
      </c>
      <c r="AD745" s="5" t="s">
        <v>481</v>
      </c>
      <c r="AE745" s="23" t="n">
        <f>5</f>
        <v>5.0</v>
      </c>
    </row>
    <row r="746">
      <c r="A746" s="24" t="s">
        <v>1561</v>
      </c>
      <c r="B746" s="25" t="s">
        <v>1562</v>
      </c>
      <c r="C746" s="26"/>
      <c r="D746" s="27"/>
      <c r="E746" s="28" t="s">
        <v>124</v>
      </c>
      <c r="F746" s="20" t="n">
        <f>123</f>
        <v>123.0</v>
      </c>
      <c r="G746" s="21" t="n">
        <f>14</f>
        <v>14.0</v>
      </c>
      <c r="H746" s="21"/>
      <c r="I746" s="21" t="n">
        <f>1</f>
        <v>1.0</v>
      </c>
      <c r="J746" s="21" t="n">
        <f>0</f>
        <v>0.0</v>
      </c>
      <c r="K746" s="21" t="n">
        <f>0</f>
        <v>0.0</v>
      </c>
      <c r="L746" s="4" t="s">
        <v>901</v>
      </c>
      <c r="M746" s="22" t="n">
        <f>3</f>
        <v>3.0</v>
      </c>
      <c r="N746" s="5" t="s">
        <v>279</v>
      </c>
      <c r="O746" s="23" t="str">
        <f>"－"</f>
        <v>－</v>
      </c>
      <c r="P746" s="3" t="s">
        <v>1565</v>
      </c>
      <c r="Q746" s="21"/>
      <c r="R746" s="3" t="s">
        <v>1566</v>
      </c>
      <c r="S746" s="21" t="n">
        <f>96846</f>
        <v>96846.0</v>
      </c>
      <c r="T746" s="21" t="n">
        <f>7642</f>
        <v>7642.0</v>
      </c>
      <c r="U746" s="5" t="s">
        <v>901</v>
      </c>
      <c r="V746" s="23" t="n">
        <f>2952000</f>
        <v>2952000.0</v>
      </c>
      <c r="W746" s="5" t="s">
        <v>279</v>
      </c>
      <c r="X746" s="23" t="str">
        <f>"－"</f>
        <v>－</v>
      </c>
      <c r="Y746" s="23"/>
      <c r="Z746" s="21" t="str">
        <f>"－"</f>
        <v>－</v>
      </c>
      <c r="AA746" s="21" t="n">
        <f>2</f>
        <v>2.0</v>
      </c>
      <c r="AB746" s="4" t="s">
        <v>279</v>
      </c>
      <c r="AC746" s="22" t="n">
        <f>5</f>
        <v>5.0</v>
      </c>
      <c r="AD746" s="5" t="s">
        <v>987</v>
      </c>
      <c r="AE746" s="23" t="str">
        <f>"－"</f>
        <v>－</v>
      </c>
    </row>
    <row r="747">
      <c r="A747" s="24" t="s">
        <v>1561</v>
      </c>
      <c r="B747" s="25" t="s">
        <v>1562</v>
      </c>
      <c r="C747" s="26"/>
      <c r="D747" s="27"/>
      <c r="E747" s="28" t="s">
        <v>127</v>
      </c>
      <c r="F747" s="20" t="n">
        <f>122</f>
        <v>122.0</v>
      </c>
      <c r="G747" s="21" t="str">
        <f>"－"</f>
        <v>－</v>
      </c>
      <c r="H747" s="21"/>
      <c r="I747" s="21" t="str">
        <f>"－"</f>
        <v>－</v>
      </c>
      <c r="J747" s="21" t="str">
        <f>"－"</f>
        <v>－</v>
      </c>
      <c r="K747" s="21" t="str">
        <f>"－"</f>
        <v>－</v>
      </c>
      <c r="L747" s="4" t="s">
        <v>335</v>
      </c>
      <c r="M747" s="22" t="str">
        <f>"－"</f>
        <v>－</v>
      </c>
      <c r="N747" s="5" t="s">
        <v>335</v>
      </c>
      <c r="O747" s="23" t="str">
        <f>"－"</f>
        <v>－</v>
      </c>
      <c r="P747" s="3" t="s">
        <v>247</v>
      </c>
      <c r="Q747" s="21"/>
      <c r="R747" s="3" t="s">
        <v>247</v>
      </c>
      <c r="S747" s="21" t="str">
        <f>"－"</f>
        <v>－</v>
      </c>
      <c r="T747" s="21" t="str">
        <f>"－"</f>
        <v>－</v>
      </c>
      <c r="U747" s="5" t="s">
        <v>335</v>
      </c>
      <c r="V747" s="23" t="str">
        <f>"－"</f>
        <v>－</v>
      </c>
      <c r="W747" s="5" t="s">
        <v>335</v>
      </c>
      <c r="X747" s="23" t="str">
        <f>"－"</f>
        <v>－</v>
      </c>
      <c r="Y747" s="23"/>
      <c r="Z747" s="21" t="str">
        <f>"－"</f>
        <v>－</v>
      </c>
      <c r="AA747" s="21" t="str">
        <f>"－"</f>
        <v>－</v>
      </c>
      <c r="AB747" s="4" t="s">
        <v>335</v>
      </c>
      <c r="AC747" s="22" t="n">
        <f>2</f>
        <v>2.0</v>
      </c>
      <c r="AD747" s="5" t="s">
        <v>1270</v>
      </c>
      <c r="AE747" s="23" t="str">
        <f>"－"</f>
        <v>－</v>
      </c>
    </row>
    <row r="748">
      <c r="A748" s="24" t="s">
        <v>1561</v>
      </c>
      <c r="B748" s="25" t="s">
        <v>1562</v>
      </c>
      <c r="C748" s="26"/>
      <c r="D748" s="27"/>
      <c r="E748" s="28" t="s">
        <v>133</v>
      </c>
      <c r="F748" s="20" t="n">
        <f>122</f>
        <v>122.0</v>
      </c>
      <c r="G748" s="21" t="str">
        <f>"－"</f>
        <v>－</v>
      </c>
      <c r="H748" s="21"/>
      <c r="I748" s="21" t="str">
        <f>"－"</f>
        <v>－</v>
      </c>
      <c r="J748" s="21" t="str">
        <f>"－"</f>
        <v>－</v>
      </c>
      <c r="K748" s="21" t="str">
        <f>"－"</f>
        <v>－</v>
      </c>
      <c r="L748" s="4" t="s">
        <v>279</v>
      </c>
      <c r="M748" s="22" t="str">
        <f>"－"</f>
        <v>－</v>
      </c>
      <c r="N748" s="5" t="s">
        <v>279</v>
      </c>
      <c r="O748" s="23" t="str">
        <f>"－"</f>
        <v>－</v>
      </c>
      <c r="P748" s="3" t="s">
        <v>247</v>
      </c>
      <c r="Q748" s="21"/>
      <c r="R748" s="3" t="s">
        <v>247</v>
      </c>
      <c r="S748" s="21" t="str">
        <f>"－"</f>
        <v>－</v>
      </c>
      <c r="T748" s="21" t="str">
        <f>"－"</f>
        <v>－</v>
      </c>
      <c r="U748" s="5" t="s">
        <v>279</v>
      </c>
      <c r="V748" s="23" t="str">
        <f>"－"</f>
        <v>－</v>
      </c>
      <c r="W748" s="5" t="s">
        <v>279</v>
      </c>
      <c r="X748" s="23" t="str">
        <f>"－"</f>
        <v>－</v>
      </c>
      <c r="Y748" s="23"/>
      <c r="Z748" s="21" t="str">
        <f>"－"</f>
        <v>－</v>
      </c>
      <c r="AA748" s="21" t="str">
        <f>"－"</f>
        <v>－</v>
      </c>
      <c r="AB748" s="4" t="s">
        <v>279</v>
      </c>
      <c r="AC748" s="22" t="str">
        <f>"－"</f>
        <v>－</v>
      </c>
      <c r="AD748" s="5" t="s">
        <v>279</v>
      </c>
      <c r="AE748" s="23" t="str">
        <f>"－"</f>
        <v>－</v>
      </c>
    </row>
    <row r="749">
      <c r="A749" s="24" t="s">
        <v>1561</v>
      </c>
      <c r="B749" s="25" t="s">
        <v>1562</v>
      </c>
      <c r="C749" s="26"/>
      <c r="D749" s="27"/>
      <c r="E749" s="28" t="s">
        <v>139</v>
      </c>
      <c r="F749" s="20" t="n">
        <f>123</f>
        <v>123.0</v>
      </c>
      <c r="G749" s="21" t="str">
        <f>"－"</f>
        <v>－</v>
      </c>
      <c r="H749" s="21"/>
      <c r="I749" s="21" t="str">
        <f>"－"</f>
        <v>－</v>
      </c>
      <c r="J749" s="21" t="str">
        <f>"－"</f>
        <v>－</v>
      </c>
      <c r="K749" s="21" t="str">
        <f>"－"</f>
        <v>－</v>
      </c>
      <c r="L749" s="4" t="s">
        <v>335</v>
      </c>
      <c r="M749" s="22" t="str">
        <f>"－"</f>
        <v>－</v>
      </c>
      <c r="N749" s="5" t="s">
        <v>335</v>
      </c>
      <c r="O749" s="23" t="str">
        <f>"－"</f>
        <v>－</v>
      </c>
      <c r="P749" s="3" t="s">
        <v>247</v>
      </c>
      <c r="Q749" s="21"/>
      <c r="R749" s="3" t="s">
        <v>247</v>
      </c>
      <c r="S749" s="21" t="str">
        <f>"－"</f>
        <v>－</v>
      </c>
      <c r="T749" s="21" t="str">
        <f>"－"</f>
        <v>－</v>
      </c>
      <c r="U749" s="5" t="s">
        <v>335</v>
      </c>
      <c r="V749" s="23" t="str">
        <f>"－"</f>
        <v>－</v>
      </c>
      <c r="W749" s="5" t="s">
        <v>335</v>
      </c>
      <c r="X749" s="23" t="str">
        <f>"－"</f>
        <v>－</v>
      </c>
      <c r="Y749" s="23"/>
      <c r="Z749" s="21" t="str">
        <f>"－"</f>
        <v>－</v>
      </c>
      <c r="AA749" s="21" t="str">
        <f>"－"</f>
        <v>－</v>
      </c>
      <c r="AB749" s="4" t="s">
        <v>335</v>
      </c>
      <c r="AC749" s="22" t="str">
        <f>"－"</f>
        <v>－</v>
      </c>
      <c r="AD749" s="5" t="s">
        <v>335</v>
      </c>
      <c r="AE749" s="23" t="str">
        <f>"－"</f>
        <v>－</v>
      </c>
    </row>
    <row r="750">
      <c r="A750" s="24" t="s">
        <v>1561</v>
      </c>
      <c r="B750" s="25" t="s">
        <v>1562</v>
      </c>
      <c r="C750" s="26"/>
      <c r="D750" s="27"/>
      <c r="E750" s="28" t="s">
        <v>145</v>
      </c>
      <c r="F750" s="20" t="n">
        <f>122</f>
        <v>122.0</v>
      </c>
      <c r="G750" s="21" t="str">
        <f>"－"</f>
        <v>－</v>
      </c>
      <c r="H750" s="21"/>
      <c r="I750" s="21" t="str">
        <f>"－"</f>
        <v>－</v>
      </c>
      <c r="J750" s="21" t="str">
        <f>"－"</f>
        <v>－</v>
      </c>
      <c r="K750" s="21" t="str">
        <f>"－"</f>
        <v>－</v>
      </c>
      <c r="L750" s="4" t="s">
        <v>82</v>
      </c>
      <c r="M750" s="22" t="str">
        <f>"－"</f>
        <v>－</v>
      </c>
      <c r="N750" s="5" t="s">
        <v>82</v>
      </c>
      <c r="O750" s="23" t="str">
        <f>"－"</f>
        <v>－</v>
      </c>
      <c r="P750" s="3" t="s">
        <v>247</v>
      </c>
      <c r="Q750" s="21"/>
      <c r="R750" s="3" t="s">
        <v>247</v>
      </c>
      <c r="S750" s="21" t="str">
        <f>"－"</f>
        <v>－</v>
      </c>
      <c r="T750" s="21" t="str">
        <f>"－"</f>
        <v>－</v>
      </c>
      <c r="U750" s="5" t="s">
        <v>82</v>
      </c>
      <c r="V750" s="23" t="str">
        <f>"－"</f>
        <v>－</v>
      </c>
      <c r="W750" s="5" t="s">
        <v>82</v>
      </c>
      <c r="X750" s="23" t="str">
        <f>"－"</f>
        <v>－</v>
      </c>
      <c r="Y750" s="23"/>
      <c r="Z750" s="21" t="str">
        <f>"－"</f>
        <v>－</v>
      </c>
      <c r="AA750" s="21" t="str">
        <f>"－"</f>
        <v>－</v>
      </c>
      <c r="AB750" s="4" t="s">
        <v>82</v>
      </c>
      <c r="AC750" s="22" t="str">
        <f>"－"</f>
        <v>－</v>
      </c>
      <c r="AD750" s="5" t="s">
        <v>82</v>
      </c>
      <c r="AE750" s="23" t="str">
        <f>"－"</f>
        <v>－</v>
      </c>
    </row>
    <row r="751">
      <c r="A751" s="24" t="s">
        <v>1561</v>
      </c>
      <c r="B751" s="25" t="s">
        <v>1562</v>
      </c>
      <c r="C751" s="26"/>
      <c r="D751" s="27"/>
      <c r="E751" s="28" t="s">
        <v>150</v>
      </c>
      <c r="F751" s="20" t="n">
        <f>124</f>
        <v>124.0</v>
      </c>
      <c r="G751" s="21" t="n">
        <f>2</f>
        <v>2.0</v>
      </c>
      <c r="H751" s="21"/>
      <c r="I751" s="21" t="str">
        <f>"－"</f>
        <v>－</v>
      </c>
      <c r="J751" s="21" t="n">
        <f>0</f>
        <v>0.0</v>
      </c>
      <c r="K751" s="21" t="str">
        <f>"－"</f>
        <v>－</v>
      </c>
      <c r="L751" s="4" t="s">
        <v>972</v>
      </c>
      <c r="M751" s="22" t="n">
        <f>2</f>
        <v>2.0</v>
      </c>
      <c r="N751" s="5" t="s">
        <v>666</v>
      </c>
      <c r="O751" s="23" t="str">
        <f>"－"</f>
        <v>－</v>
      </c>
      <c r="P751" s="3" t="s">
        <v>1567</v>
      </c>
      <c r="Q751" s="21"/>
      <c r="R751" s="3" t="s">
        <v>247</v>
      </c>
      <c r="S751" s="21" t="n">
        <f>15748</f>
        <v>15748.0</v>
      </c>
      <c r="T751" s="21" t="str">
        <f>"－"</f>
        <v>－</v>
      </c>
      <c r="U751" s="5" t="s">
        <v>972</v>
      </c>
      <c r="V751" s="23" t="n">
        <f>1952800</f>
        <v>1952800.0</v>
      </c>
      <c r="W751" s="5" t="s">
        <v>666</v>
      </c>
      <c r="X751" s="23" t="str">
        <f>"－"</f>
        <v>－</v>
      </c>
      <c r="Y751" s="23"/>
      <c r="Z751" s="21" t="str">
        <f>"－"</f>
        <v>－</v>
      </c>
      <c r="AA751" s="21" t="str">
        <f>"－"</f>
        <v>－</v>
      </c>
      <c r="AB751" s="4" t="s">
        <v>666</v>
      </c>
      <c r="AC751" s="22" t="str">
        <f>"－"</f>
        <v>－</v>
      </c>
      <c r="AD751" s="5" t="s">
        <v>666</v>
      </c>
      <c r="AE751" s="23" t="str">
        <f>"－"</f>
        <v>－</v>
      </c>
    </row>
    <row r="752">
      <c r="A752" s="24" t="s">
        <v>1561</v>
      </c>
      <c r="B752" s="25" t="s">
        <v>1562</v>
      </c>
      <c r="C752" s="26"/>
      <c r="D752" s="27"/>
      <c r="E752" s="28" t="s">
        <v>154</v>
      </c>
      <c r="F752" s="20" t="n">
        <f>120</f>
        <v>120.0</v>
      </c>
      <c r="G752" s="21" t="str">
        <f>"－"</f>
        <v>－</v>
      </c>
      <c r="H752" s="21"/>
      <c r="I752" s="21" t="str">
        <f>"－"</f>
        <v>－</v>
      </c>
      <c r="J752" s="21" t="str">
        <f>"－"</f>
        <v>－</v>
      </c>
      <c r="K752" s="21" t="str">
        <f>"－"</f>
        <v>－</v>
      </c>
      <c r="L752" s="4" t="s">
        <v>268</v>
      </c>
      <c r="M752" s="22" t="str">
        <f>"－"</f>
        <v>－</v>
      </c>
      <c r="N752" s="5" t="s">
        <v>268</v>
      </c>
      <c r="O752" s="23" t="str">
        <f>"－"</f>
        <v>－</v>
      </c>
      <c r="P752" s="3" t="s">
        <v>247</v>
      </c>
      <c r="Q752" s="21"/>
      <c r="R752" s="3" t="s">
        <v>247</v>
      </c>
      <c r="S752" s="21" t="str">
        <f>"－"</f>
        <v>－</v>
      </c>
      <c r="T752" s="21" t="str">
        <f>"－"</f>
        <v>－</v>
      </c>
      <c r="U752" s="5" t="s">
        <v>268</v>
      </c>
      <c r="V752" s="23" t="str">
        <f>"－"</f>
        <v>－</v>
      </c>
      <c r="W752" s="5" t="s">
        <v>268</v>
      </c>
      <c r="X752" s="23" t="str">
        <f>"－"</f>
        <v>－</v>
      </c>
      <c r="Y752" s="23"/>
      <c r="Z752" s="21" t="str">
        <f>"－"</f>
        <v>－</v>
      </c>
      <c r="AA752" s="21" t="str">
        <f>"－"</f>
        <v>－</v>
      </c>
      <c r="AB752" s="4" t="s">
        <v>268</v>
      </c>
      <c r="AC752" s="22" t="str">
        <f>"－"</f>
        <v>－</v>
      </c>
      <c r="AD752" s="5" t="s">
        <v>268</v>
      </c>
      <c r="AE752" s="23" t="str">
        <f>"－"</f>
        <v>－</v>
      </c>
    </row>
    <row r="753">
      <c r="A753" s="24" t="s">
        <v>1568</v>
      </c>
      <c r="B753" s="25" t="s">
        <v>1569</v>
      </c>
      <c r="C753" s="26"/>
      <c r="D753" s="27"/>
      <c r="E753" s="28" t="s">
        <v>118</v>
      </c>
      <c r="F753" s="20" t="n">
        <f>45</f>
        <v>45.0</v>
      </c>
      <c r="G753" s="21" t="n">
        <f>11410</f>
        <v>11410.0</v>
      </c>
      <c r="H753" s="21"/>
      <c r="I753" s="21" t="n">
        <f>622</f>
        <v>622.0</v>
      </c>
      <c r="J753" s="21" t="n">
        <f>254</f>
        <v>254.0</v>
      </c>
      <c r="K753" s="21" t="n">
        <f>14</f>
        <v>14.0</v>
      </c>
      <c r="L753" s="4" t="s">
        <v>245</v>
      </c>
      <c r="M753" s="22" t="n">
        <f>578</f>
        <v>578.0</v>
      </c>
      <c r="N753" s="5" t="s">
        <v>398</v>
      </c>
      <c r="O753" s="23" t="n">
        <f>54</f>
        <v>54.0</v>
      </c>
      <c r="P753" s="3" t="s">
        <v>1570</v>
      </c>
      <c r="Q753" s="21"/>
      <c r="R753" s="3" t="s">
        <v>1571</v>
      </c>
      <c r="S753" s="21" t="n">
        <f>509944200</f>
        <v>5.099442E8</v>
      </c>
      <c r="T753" s="21" t="n">
        <f>27317667</f>
        <v>2.7317667E7</v>
      </c>
      <c r="U753" s="5" t="s">
        <v>245</v>
      </c>
      <c r="V753" s="23" t="n">
        <f>1194641500</f>
        <v>1.1946415E9</v>
      </c>
      <c r="W753" s="5" t="s">
        <v>398</v>
      </c>
      <c r="X753" s="23" t="n">
        <f>111816500</f>
        <v>1.118165E8</v>
      </c>
      <c r="Y753" s="23"/>
      <c r="Z753" s="21" t="str">
        <f>"－"</f>
        <v>－</v>
      </c>
      <c r="AA753" s="21" t="n">
        <f>1475</f>
        <v>1475.0</v>
      </c>
      <c r="AB753" s="4" t="s">
        <v>57</v>
      </c>
      <c r="AC753" s="22" t="n">
        <f>2066</f>
        <v>2066.0</v>
      </c>
      <c r="AD753" s="5" t="s">
        <v>520</v>
      </c>
      <c r="AE753" s="23" t="n">
        <f>1385</f>
        <v>1385.0</v>
      </c>
    </row>
    <row r="754">
      <c r="A754" s="24" t="s">
        <v>1568</v>
      </c>
      <c r="B754" s="25" t="s">
        <v>1569</v>
      </c>
      <c r="C754" s="26"/>
      <c r="D754" s="27"/>
      <c r="E754" s="28" t="s">
        <v>124</v>
      </c>
      <c r="F754" s="20" t="n">
        <f>123</f>
        <v>123.0</v>
      </c>
      <c r="G754" s="21" t="n">
        <f>27028</f>
        <v>27028.0</v>
      </c>
      <c r="H754" s="21"/>
      <c r="I754" s="21" t="n">
        <f>1647</f>
        <v>1647.0</v>
      </c>
      <c r="J754" s="21" t="n">
        <f>220</f>
        <v>220.0</v>
      </c>
      <c r="K754" s="21" t="n">
        <f>13</f>
        <v>13.0</v>
      </c>
      <c r="L754" s="4" t="s">
        <v>268</v>
      </c>
      <c r="M754" s="22" t="n">
        <f>722</f>
        <v>722.0</v>
      </c>
      <c r="N754" s="5" t="s">
        <v>1304</v>
      </c>
      <c r="O754" s="23" t="n">
        <f>70</f>
        <v>70.0</v>
      </c>
      <c r="P754" s="3" t="s">
        <v>1572</v>
      </c>
      <c r="Q754" s="21"/>
      <c r="R754" s="3" t="s">
        <v>1573</v>
      </c>
      <c r="S754" s="21" t="n">
        <f>502041187</f>
        <v>5.02041187E8</v>
      </c>
      <c r="T754" s="21" t="n">
        <f>30422593</f>
        <v>3.0422593E7</v>
      </c>
      <c r="U754" s="5" t="s">
        <v>268</v>
      </c>
      <c r="V754" s="23" t="n">
        <f>1423741500</f>
        <v>1.4237415E9</v>
      </c>
      <c r="W754" s="5" t="s">
        <v>69</v>
      </c>
      <c r="X754" s="23" t="n">
        <f>149817500</f>
        <v>1.498175E8</v>
      </c>
      <c r="Y754" s="23"/>
      <c r="Z754" s="21" t="str">
        <f>"－"</f>
        <v>－</v>
      </c>
      <c r="AA754" s="21" t="n">
        <f>1574</f>
        <v>1574.0</v>
      </c>
      <c r="AB754" s="4" t="s">
        <v>379</v>
      </c>
      <c r="AC754" s="22" t="n">
        <f>1795</f>
        <v>1795.0</v>
      </c>
      <c r="AD754" s="5" t="s">
        <v>323</v>
      </c>
      <c r="AE754" s="23" t="n">
        <f>1273</f>
        <v>1273.0</v>
      </c>
    </row>
    <row r="755">
      <c r="A755" s="24" t="s">
        <v>1568</v>
      </c>
      <c r="B755" s="25" t="s">
        <v>1569</v>
      </c>
      <c r="C755" s="26"/>
      <c r="D755" s="27"/>
      <c r="E755" s="28" t="s">
        <v>127</v>
      </c>
      <c r="F755" s="20" t="n">
        <f>122</f>
        <v>122.0</v>
      </c>
      <c r="G755" s="21" t="n">
        <f>19812</f>
        <v>19812.0</v>
      </c>
      <c r="H755" s="21"/>
      <c r="I755" s="21" t="n">
        <f>1212</f>
        <v>1212.0</v>
      </c>
      <c r="J755" s="21" t="n">
        <f>162</f>
        <v>162.0</v>
      </c>
      <c r="K755" s="21" t="n">
        <f>10</f>
        <v>10.0</v>
      </c>
      <c r="L755" s="4" t="s">
        <v>510</v>
      </c>
      <c r="M755" s="22" t="n">
        <f>610</f>
        <v>610.0</v>
      </c>
      <c r="N755" s="5" t="s">
        <v>84</v>
      </c>
      <c r="O755" s="23" t="n">
        <f>4</f>
        <v>4.0</v>
      </c>
      <c r="P755" s="3" t="s">
        <v>1574</v>
      </c>
      <c r="Q755" s="21"/>
      <c r="R755" s="3" t="s">
        <v>1575</v>
      </c>
      <c r="S755" s="21" t="n">
        <f>484321287</f>
        <v>4.84321287E8</v>
      </c>
      <c r="T755" s="21" t="n">
        <f>29854471</f>
        <v>2.9854471E7</v>
      </c>
      <c r="U755" s="5" t="s">
        <v>1077</v>
      </c>
      <c r="V755" s="23" t="n">
        <f>1695317000</f>
        <v>1.695317E9</v>
      </c>
      <c r="W755" s="5" t="s">
        <v>84</v>
      </c>
      <c r="X755" s="23" t="n">
        <f>12531500</f>
        <v>1.25315E7</v>
      </c>
      <c r="Y755" s="23"/>
      <c r="Z755" s="21" t="str">
        <f>"－"</f>
        <v>－</v>
      </c>
      <c r="AA755" s="21" t="n">
        <f>1030</f>
        <v>1030.0</v>
      </c>
      <c r="AB755" s="4" t="s">
        <v>469</v>
      </c>
      <c r="AC755" s="22" t="n">
        <f>1692</f>
        <v>1692.0</v>
      </c>
      <c r="AD755" s="5" t="s">
        <v>129</v>
      </c>
      <c r="AE755" s="23" t="n">
        <f>873</f>
        <v>873.0</v>
      </c>
    </row>
    <row r="756">
      <c r="A756" s="24" t="s">
        <v>1568</v>
      </c>
      <c r="B756" s="25" t="s">
        <v>1569</v>
      </c>
      <c r="C756" s="26"/>
      <c r="D756" s="27"/>
      <c r="E756" s="28" t="s">
        <v>133</v>
      </c>
      <c r="F756" s="20" t="n">
        <f>122</f>
        <v>122.0</v>
      </c>
      <c r="G756" s="21" t="n">
        <f>7912</f>
        <v>7912.0</v>
      </c>
      <c r="H756" s="21"/>
      <c r="I756" s="21" t="n">
        <f>806</f>
        <v>806.0</v>
      </c>
      <c r="J756" s="21" t="n">
        <f>65</f>
        <v>65.0</v>
      </c>
      <c r="K756" s="21" t="n">
        <f>7</f>
        <v>7.0</v>
      </c>
      <c r="L756" s="4" t="s">
        <v>137</v>
      </c>
      <c r="M756" s="22" t="n">
        <f>283</f>
        <v>283.0</v>
      </c>
      <c r="N756" s="5" t="s">
        <v>698</v>
      </c>
      <c r="O756" s="23" t="str">
        <f>"－"</f>
        <v>－</v>
      </c>
      <c r="P756" s="3" t="s">
        <v>1576</v>
      </c>
      <c r="Q756" s="21"/>
      <c r="R756" s="3" t="s">
        <v>1577</v>
      </c>
      <c r="S756" s="21" t="n">
        <f>232642402</f>
        <v>2.32642402E8</v>
      </c>
      <c r="T756" s="21" t="n">
        <f>24910770</f>
        <v>2.491077E7</v>
      </c>
      <c r="U756" s="5" t="s">
        <v>137</v>
      </c>
      <c r="V756" s="23" t="n">
        <f>851603000</f>
        <v>8.51603E8</v>
      </c>
      <c r="W756" s="5" t="s">
        <v>698</v>
      </c>
      <c r="X756" s="23" t="str">
        <f>"－"</f>
        <v>－</v>
      </c>
      <c r="Y756" s="23"/>
      <c r="Z756" s="21" t="str">
        <f>"－"</f>
        <v>－</v>
      </c>
      <c r="AA756" s="21" t="n">
        <f>246</f>
        <v>246.0</v>
      </c>
      <c r="AB756" s="4" t="s">
        <v>250</v>
      </c>
      <c r="AC756" s="22" t="n">
        <f>1174</f>
        <v>1174.0</v>
      </c>
      <c r="AD756" s="5" t="s">
        <v>568</v>
      </c>
      <c r="AE756" s="23" t="n">
        <f>246</f>
        <v>246.0</v>
      </c>
    </row>
    <row r="757">
      <c r="A757" s="24" t="s">
        <v>1568</v>
      </c>
      <c r="B757" s="25" t="s">
        <v>1569</v>
      </c>
      <c r="C757" s="26"/>
      <c r="D757" s="27"/>
      <c r="E757" s="28" t="s">
        <v>139</v>
      </c>
      <c r="F757" s="20" t="n">
        <f>123</f>
        <v>123.0</v>
      </c>
      <c r="G757" s="21" t="n">
        <f>429</f>
        <v>429.0</v>
      </c>
      <c r="H757" s="21"/>
      <c r="I757" s="21" t="n">
        <f>84</f>
        <v>84.0</v>
      </c>
      <c r="J757" s="21" t="n">
        <f>3</f>
        <v>3.0</v>
      </c>
      <c r="K757" s="21" t="n">
        <f>1</f>
        <v>1.0</v>
      </c>
      <c r="L757" s="4" t="s">
        <v>123</v>
      </c>
      <c r="M757" s="22" t="n">
        <f>42</f>
        <v>42.0</v>
      </c>
      <c r="N757" s="5" t="s">
        <v>751</v>
      </c>
      <c r="O757" s="23" t="str">
        <f>"－"</f>
        <v>－</v>
      </c>
      <c r="P757" s="3" t="s">
        <v>1578</v>
      </c>
      <c r="Q757" s="21"/>
      <c r="R757" s="3" t="s">
        <v>1579</v>
      </c>
      <c r="S757" s="21" t="n">
        <f>13931118</f>
        <v>1.3931118E7</v>
      </c>
      <c r="T757" s="21" t="n">
        <f>2697622</f>
        <v>2697622.0</v>
      </c>
      <c r="U757" s="5" t="s">
        <v>123</v>
      </c>
      <c r="V757" s="23" t="n">
        <f>171435000</f>
        <v>1.71435E8</v>
      </c>
      <c r="W757" s="5" t="s">
        <v>751</v>
      </c>
      <c r="X757" s="23" t="str">
        <f>"－"</f>
        <v>－</v>
      </c>
      <c r="Y757" s="23"/>
      <c r="Z757" s="21" t="str">
        <f>"－"</f>
        <v>－</v>
      </c>
      <c r="AA757" s="21" t="n">
        <f>29</f>
        <v>29.0</v>
      </c>
      <c r="AB757" s="4" t="s">
        <v>848</v>
      </c>
      <c r="AC757" s="22" t="n">
        <f>253</f>
        <v>253.0</v>
      </c>
      <c r="AD757" s="5" t="s">
        <v>631</v>
      </c>
      <c r="AE757" s="23" t="n">
        <f>29</f>
        <v>29.0</v>
      </c>
    </row>
    <row r="758">
      <c r="A758" s="24" t="s">
        <v>1568</v>
      </c>
      <c r="B758" s="25" t="s">
        <v>1569</v>
      </c>
      <c r="C758" s="26"/>
      <c r="D758" s="27"/>
      <c r="E758" s="28" t="s">
        <v>145</v>
      </c>
      <c r="F758" s="20" t="n">
        <f>122</f>
        <v>122.0</v>
      </c>
      <c r="G758" s="21" t="n">
        <f>53</f>
        <v>53.0</v>
      </c>
      <c r="H758" s="21"/>
      <c r="I758" s="21" t="n">
        <f>44</f>
        <v>44.0</v>
      </c>
      <c r="J758" s="21" t="n">
        <f>0</f>
        <v>0.0</v>
      </c>
      <c r="K758" s="21" t="n">
        <f>0</f>
        <v>0.0</v>
      </c>
      <c r="L758" s="4" t="s">
        <v>1116</v>
      </c>
      <c r="M758" s="22" t="n">
        <f>22</f>
        <v>22.0</v>
      </c>
      <c r="N758" s="5" t="s">
        <v>82</v>
      </c>
      <c r="O758" s="23" t="str">
        <f>"－"</f>
        <v>－</v>
      </c>
      <c r="P758" s="3" t="s">
        <v>1580</v>
      </c>
      <c r="Q758" s="21"/>
      <c r="R758" s="3" t="s">
        <v>1581</v>
      </c>
      <c r="S758" s="21" t="n">
        <f>1629160</f>
        <v>1629160.0</v>
      </c>
      <c r="T758" s="21" t="n">
        <f>1346148</f>
        <v>1346148.0</v>
      </c>
      <c r="U758" s="5" t="s">
        <v>1116</v>
      </c>
      <c r="V758" s="23" t="n">
        <f>82860000</f>
        <v>8.286E7</v>
      </c>
      <c r="W758" s="5" t="s">
        <v>82</v>
      </c>
      <c r="X758" s="23" t="str">
        <f>"－"</f>
        <v>－</v>
      </c>
      <c r="Y758" s="23"/>
      <c r="Z758" s="21" t="str">
        <f>"－"</f>
        <v>－</v>
      </c>
      <c r="AA758" s="21" t="str">
        <f>"－"</f>
        <v>－</v>
      </c>
      <c r="AB758" s="4" t="s">
        <v>82</v>
      </c>
      <c r="AC758" s="22" t="n">
        <f>29</f>
        <v>29.0</v>
      </c>
      <c r="AD758" s="5" t="s">
        <v>974</v>
      </c>
      <c r="AE758" s="23" t="str">
        <f>"－"</f>
        <v>－</v>
      </c>
    </row>
    <row r="759">
      <c r="A759" s="24" t="s">
        <v>1568</v>
      </c>
      <c r="B759" s="25" t="s">
        <v>1569</v>
      </c>
      <c r="C759" s="26"/>
      <c r="D759" s="27"/>
      <c r="E759" s="28" t="s">
        <v>150</v>
      </c>
      <c r="F759" s="20" t="n">
        <f>124</f>
        <v>124.0</v>
      </c>
      <c r="G759" s="21" t="str">
        <f>"－"</f>
        <v>－</v>
      </c>
      <c r="H759" s="21"/>
      <c r="I759" s="21" t="str">
        <f>"－"</f>
        <v>－</v>
      </c>
      <c r="J759" s="21" t="str">
        <f>"－"</f>
        <v>－</v>
      </c>
      <c r="K759" s="21" t="str">
        <f>"－"</f>
        <v>－</v>
      </c>
      <c r="L759" s="4" t="s">
        <v>666</v>
      </c>
      <c r="M759" s="22" t="str">
        <f>"－"</f>
        <v>－</v>
      </c>
      <c r="N759" s="5" t="s">
        <v>666</v>
      </c>
      <c r="O759" s="23" t="str">
        <f>"－"</f>
        <v>－</v>
      </c>
      <c r="P759" s="3" t="s">
        <v>247</v>
      </c>
      <c r="Q759" s="21"/>
      <c r="R759" s="3" t="s">
        <v>247</v>
      </c>
      <c r="S759" s="21" t="str">
        <f>"－"</f>
        <v>－</v>
      </c>
      <c r="T759" s="21" t="str">
        <f>"－"</f>
        <v>－</v>
      </c>
      <c r="U759" s="5" t="s">
        <v>666</v>
      </c>
      <c r="V759" s="23" t="str">
        <f>"－"</f>
        <v>－</v>
      </c>
      <c r="W759" s="5" t="s">
        <v>666</v>
      </c>
      <c r="X759" s="23" t="str">
        <f>"－"</f>
        <v>－</v>
      </c>
      <c r="Y759" s="23"/>
      <c r="Z759" s="21" t="str">
        <f>"－"</f>
        <v>－</v>
      </c>
      <c r="AA759" s="21" t="str">
        <f>"－"</f>
        <v>－</v>
      </c>
      <c r="AB759" s="4" t="s">
        <v>666</v>
      </c>
      <c r="AC759" s="22" t="str">
        <f>"－"</f>
        <v>－</v>
      </c>
      <c r="AD759" s="5" t="s">
        <v>666</v>
      </c>
      <c r="AE759" s="23" t="str">
        <f>"－"</f>
        <v>－</v>
      </c>
    </row>
    <row r="760">
      <c r="A760" s="24" t="s">
        <v>1568</v>
      </c>
      <c r="B760" s="25" t="s">
        <v>1569</v>
      </c>
      <c r="C760" s="26"/>
      <c r="D760" s="27"/>
      <c r="E760" s="28" t="s">
        <v>154</v>
      </c>
      <c r="F760" s="20" t="n">
        <f>120</f>
        <v>120.0</v>
      </c>
      <c r="G760" s="21" t="str">
        <f>"－"</f>
        <v>－</v>
      </c>
      <c r="H760" s="21"/>
      <c r="I760" s="21" t="str">
        <f>"－"</f>
        <v>－</v>
      </c>
      <c r="J760" s="21" t="str">
        <f>"－"</f>
        <v>－</v>
      </c>
      <c r="K760" s="21" t="str">
        <f>"－"</f>
        <v>－</v>
      </c>
      <c r="L760" s="4" t="s">
        <v>268</v>
      </c>
      <c r="M760" s="22" t="str">
        <f>"－"</f>
        <v>－</v>
      </c>
      <c r="N760" s="5" t="s">
        <v>268</v>
      </c>
      <c r="O760" s="23" t="str">
        <f>"－"</f>
        <v>－</v>
      </c>
      <c r="P760" s="3" t="s">
        <v>247</v>
      </c>
      <c r="Q760" s="21"/>
      <c r="R760" s="3" t="s">
        <v>247</v>
      </c>
      <c r="S760" s="21" t="str">
        <f>"－"</f>
        <v>－</v>
      </c>
      <c r="T760" s="21" t="str">
        <f>"－"</f>
        <v>－</v>
      </c>
      <c r="U760" s="5" t="s">
        <v>268</v>
      </c>
      <c r="V760" s="23" t="str">
        <f>"－"</f>
        <v>－</v>
      </c>
      <c r="W760" s="5" t="s">
        <v>268</v>
      </c>
      <c r="X760" s="23" t="str">
        <f>"－"</f>
        <v>－</v>
      </c>
      <c r="Y760" s="23"/>
      <c r="Z760" s="21" t="str">
        <f>"－"</f>
        <v>－</v>
      </c>
      <c r="AA760" s="21" t="str">
        <f>"－"</f>
        <v>－</v>
      </c>
      <c r="AB760" s="4" t="s">
        <v>268</v>
      </c>
      <c r="AC760" s="22" t="str">
        <f>"－"</f>
        <v>－</v>
      </c>
      <c r="AD760" s="5" t="s">
        <v>268</v>
      </c>
      <c r="AE760" s="23" t="str">
        <f>"－"</f>
        <v>－</v>
      </c>
    </row>
    <row r="761">
      <c r="A761" s="24" t="s">
        <v>1582</v>
      </c>
      <c r="B761" s="25" t="s">
        <v>1583</v>
      </c>
      <c r="C761" s="26"/>
      <c r="D761" s="27"/>
      <c r="E761" s="28" t="s">
        <v>118</v>
      </c>
      <c r="F761" s="20" t="n">
        <f>45</f>
        <v>45.0</v>
      </c>
      <c r="G761" s="21" t="n">
        <f>6261</f>
        <v>6261.0</v>
      </c>
      <c r="H761" s="21"/>
      <c r="I761" s="21" t="n">
        <f>424</f>
        <v>424.0</v>
      </c>
      <c r="J761" s="21" t="n">
        <f>139</f>
        <v>139.0</v>
      </c>
      <c r="K761" s="21" t="n">
        <f>9</f>
        <v>9.0</v>
      </c>
      <c r="L761" s="4" t="s">
        <v>302</v>
      </c>
      <c r="M761" s="22" t="n">
        <f>447</f>
        <v>447.0</v>
      </c>
      <c r="N761" s="5" t="s">
        <v>398</v>
      </c>
      <c r="O761" s="23" t="n">
        <f>25</f>
        <v>25.0</v>
      </c>
      <c r="P761" s="3" t="s">
        <v>1584</v>
      </c>
      <c r="Q761" s="21"/>
      <c r="R761" s="3" t="s">
        <v>1585</v>
      </c>
      <c r="S761" s="21" t="n">
        <f>296558089</f>
        <v>2.96558089E8</v>
      </c>
      <c r="T761" s="21" t="n">
        <f>19975344</f>
        <v>1.9975344E7</v>
      </c>
      <c r="U761" s="5" t="s">
        <v>302</v>
      </c>
      <c r="V761" s="23" t="n">
        <f>955812500</f>
        <v>9.558125E8</v>
      </c>
      <c r="W761" s="5" t="s">
        <v>398</v>
      </c>
      <c r="X761" s="23" t="n">
        <f>54473500</f>
        <v>5.44735E7</v>
      </c>
      <c r="Y761" s="23"/>
      <c r="Z761" s="21" t="str">
        <f>"－"</f>
        <v>－</v>
      </c>
      <c r="AA761" s="21" t="n">
        <f>1269</f>
        <v>1269.0</v>
      </c>
      <c r="AB761" s="4" t="s">
        <v>450</v>
      </c>
      <c r="AC761" s="22" t="n">
        <f>1305</f>
        <v>1305.0</v>
      </c>
      <c r="AD761" s="5" t="s">
        <v>853</v>
      </c>
      <c r="AE761" s="23" t="n">
        <f>655</f>
        <v>655.0</v>
      </c>
    </row>
    <row r="762">
      <c r="A762" s="24" t="s">
        <v>1582</v>
      </c>
      <c r="B762" s="25" t="s">
        <v>1583</v>
      </c>
      <c r="C762" s="26"/>
      <c r="D762" s="27"/>
      <c r="E762" s="28" t="s">
        <v>124</v>
      </c>
      <c r="F762" s="20" t="n">
        <f>123</f>
        <v>123.0</v>
      </c>
      <c r="G762" s="21" t="n">
        <f>18052</f>
        <v>18052.0</v>
      </c>
      <c r="H762" s="21"/>
      <c r="I762" s="21" t="n">
        <f>1504</f>
        <v>1504.0</v>
      </c>
      <c r="J762" s="21" t="n">
        <f>147</f>
        <v>147.0</v>
      </c>
      <c r="K762" s="21" t="n">
        <f>12</f>
        <v>12.0</v>
      </c>
      <c r="L762" s="4" t="s">
        <v>504</v>
      </c>
      <c r="M762" s="22" t="n">
        <f>533</f>
        <v>533.0</v>
      </c>
      <c r="N762" s="5" t="s">
        <v>170</v>
      </c>
      <c r="O762" s="23" t="n">
        <f>29</f>
        <v>29.0</v>
      </c>
      <c r="P762" s="3" t="s">
        <v>1586</v>
      </c>
      <c r="Q762" s="21"/>
      <c r="R762" s="3" t="s">
        <v>1587</v>
      </c>
      <c r="S762" s="21" t="n">
        <f>351389423</f>
        <v>3.51389423E8</v>
      </c>
      <c r="T762" s="21" t="n">
        <f>29973967</f>
        <v>2.9973967E7</v>
      </c>
      <c r="U762" s="5" t="s">
        <v>187</v>
      </c>
      <c r="V762" s="23" t="n">
        <f>1373528000</f>
        <v>1.373528E9</v>
      </c>
      <c r="W762" s="5" t="s">
        <v>292</v>
      </c>
      <c r="X762" s="23" t="n">
        <f>73633000</f>
        <v>7.3633E7</v>
      </c>
      <c r="Y762" s="23"/>
      <c r="Z762" s="21" t="str">
        <f>"－"</f>
        <v>－</v>
      </c>
      <c r="AA762" s="21" t="n">
        <f>1086</f>
        <v>1086.0</v>
      </c>
      <c r="AB762" s="4" t="s">
        <v>1339</v>
      </c>
      <c r="AC762" s="22" t="n">
        <f>1758</f>
        <v>1758.0</v>
      </c>
      <c r="AD762" s="5" t="s">
        <v>93</v>
      </c>
      <c r="AE762" s="23" t="n">
        <f>1033</f>
        <v>1033.0</v>
      </c>
    </row>
    <row r="763">
      <c r="A763" s="24" t="s">
        <v>1582</v>
      </c>
      <c r="B763" s="25" t="s">
        <v>1583</v>
      </c>
      <c r="C763" s="26"/>
      <c r="D763" s="27"/>
      <c r="E763" s="28" t="s">
        <v>127</v>
      </c>
      <c r="F763" s="20" t="n">
        <f>122</f>
        <v>122.0</v>
      </c>
      <c r="G763" s="21" t="n">
        <f>10567</f>
        <v>10567.0</v>
      </c>
      <c r="H763" s="21"/>
      <c r="I763" s="21" t="n">
        <f>1108</f>
        <v>1108.0</v>
      </c>
      <c r="J763" s="21" t="n">
        <f>87</f>
        <v>87.0</v>
      </c>
      <c r="K763" s="21" t="n">
        <f>9</f>
        <v>9.0</v>
      </c>
      <c r="L763" s="4" t="s">
        <v>1396</v>
      </c>
      <c r="M763" s="22" t="n">
        <f>405</f>
        <v>405.0</v>
      </c>
      <c r="N763" s="5" t="s">
        <v>245</v>
      </c>
      <c r="O763" s="23" t="str">
        <f>"－"</f>
        <v>－</v>
      </c>
      <c r="P763" s="3" t="s">
        <v>1588</v>
      </c>
      <c r="Q763" s="21"/>
      <c r="R763" s="3" t="s">
        <v>1589</v>
      </c>
      <c r="S763" s="21" t="n">
        <f>257413836</f>
        <v>2.57413836E8</v>
      </c>
      <c r="T763" s="21" t="n">
        <f>27046344</f>
        <v>2.7046344E7</v>
      </c>
      <c r="U763" s="5" t="s">
        <v>1396</v>
      </c>
      <c r="V763" s="23" t="n">
        <f>1171086500</f>
        <v>1.1710865E9</v>
      </c>
      <c r="W763" s="5" t="s">
        <v>245</v>
      </c>
      <c r="X763" s="23" t="str">
        <f>"－"</f>
        <v>－</v>
      </c>
      <c r="Y763" s="23"/>
      <c r="Z763" s="21" t="str">
        <f>"－"</f>
        <v>－</v>
      </c>
      <c r="AA763" s="21" t="n">
        <f>679</f>
        <v>679.0</v>
      </c>
      <c r="AB763" s="4" t="s">
        <v>510</v>
      </c>
      <c r="AC763" s="22" t="n">
        <f>1072</f>
        <v>1072.0</v>
      </c>
      <c r="AD763" s="5" t="s">
        <v>904</v>
      </c>
      <c r="AE763" s="23" t="n">
        <f>603</f>
        <v>603.0</v>
      </c>
    </row>
    <row r="764">
      <c r="A764" s="24" t="s">
        <v>1582</v>
      </c>
      <c r="B764" s="25" t="s">
        <v>1583</v>
      </c>
      <c r="C764" s="26"/>
      <c r="D764" s="27"/>
      <c r="E764" s="28" t="s">
        <v>133</v>
      </c>
      <c r="F764" s="20" t="n">
        <f>122</f>
        <v>122.0</v>
      </c>
      <c r="G764" s="21" t="n">
        <f>4931</f>
        <v>4931.0</v>
      </c>
      <c r="H764" s="21"/>
      <c r="I764" s="21" t="n">
        <f>934</f>
        <v>934.0</v>
      </c>
      <c r="J764" s="21" t="n">
        <f>40</f>
        <v>40.0</v>
      </c>
      <c r="K764" s="21" t="n">
        <f>8</f>
        <v>8.0</v>
      </c>
      <c r="L764" s="4" t="s">
        <v>644</v>
      </c>
      <c r="M764" s="22" t="n">
        <f>165</f>
        <v>165.0</v>
      </c>
      <c r="N764" s="5" t="s">
        <v>396</v>
      </c>
      <c r="O764" s="23" t="str">
        <f>"－"</f>
        <v>－</v>
      </c>
      <c r="P764" s="3" t="s">
        <v>1590</v>
      </c>
      <c r="Q764" s="21"/>
      <c r="R764" s="3" t="s">
        <v>1591</v>
      </c>
      <c r="S764" s="21" t="n">
        <f>150494230</f>
        <v>1.5049423E8</v>
      </c>
      <c r="T764" s="21" t="n">
        <f>28708332</f>
        <v>2.8708332E7</v>
      </c>
      <c r="U764" s="5" t="s">
        <v>644</v>
      </c>
      <c r="V764" s="23" t="n">
        <f>610680500</f>
        <v>6.106805E8</v>
      </c>
      <c r="W764" s="5" t="s">
        <v>396</v>
      </c>
      <c r="X764" s="23" t="str">
        <f>"－"</f>
        <v>－</v>
      </c>
      <c r="Y764" s="23"/>
      <c r="Z764" s="21" t="str">
        <f>"－"</f>
        <v>－</v>
      </c>
      <c r="AA764" s="21" t="n">
        <f>56</f>
        <v>56.0</v>
      </c>
      <c r="AB764" s="4" t="s">
        <v>1082</v>
      </c>
      <c r="AC764" s="22" t="n">
        <f>930</f>
        <v>930.0</v>
      </c>
      <c r="AD764" s="5" t="s">
        <v>698</v>
      </c>
      <c r="AE764" s="23" t="n">
        <f>56</f>
        <v>56.0</v>
      </c>
    </row>
    <row r="765">
      <c r="A765" s="24" t="s">
        <v>1582</v>
      </c>
      <c r="B765" s="25" t="s">
        <v>1583</v>
      </c>
      <c r="C765" s="26"/>
      <c r="D765" s="27"/>
      <c r="E765" s="28" t="s">
        <v>139</v>
      </c>
      <c r="F765" s="20" t="n">
        <f>123</f>
        <v>123.0</v>
      </c>
      <c r="G765" s="21" t="n">
        <f>342</f>
        <v>342.0</v>
      </c>
      <c r="H765" s="21"/>
      <c r="I765" s="21" t="n">
        <f>36</f>
        <v>36.0</v>
      </c>
      <c r="J765" s="21" t="n">
        <f>3</f>
        <v>3.0</v>
      </c>
      <c r="K765" s="21" t="n">
        <f>0</f>
        <v>0.0</v>
      </c>
      <c r="L765" s="4" t="s">
        <v>469</v>
      </c>
      <c r="M765" s="22" t="n">
        <f>48</f>
        <v>48.0</v>
      </c>
      <c r="N765" s="5" t="s">
        <v>784</v>
      </c>
      <c r="O765" s="23" t="str">
        <f>"－"</f>
        <v>－</v>
      </c>
      <c r="P765" s="3" t="s">
        <v>1592</v>
      </c>
      <c r="Q765" s="21"/>
      <c r="R765" s="3" t="s">
        <v>1593</v>
      </c>
      <c r="S765" s="21" t="n">
        <f>11046309</f>
        <v>1.1046309E7</v>
      </c>
      <c r="T765" s="21" t="n">
        <f>1133537</f>
        <v>1133537.0</v>
      </c>
      <c r="U765" s="5" t="s">
        <v>469</v>
      </c>
      <c r="V765" s="23" t="n">
        <f>185429000</f>
        <v>1.85429E8</v>
      </c>
      <c r="W765" s="5" t="s">
        <v>784</v>
      </c>
      <c r="X765" s="23" t="str">
        <f>"－"</f>
        <v>－</v>
      </c>
      <c r="Y765" s="23"/>
      <c r="Z765" s="21" t="str">
        <f>"－"</f>
        <v>－</v>
      </c>
      <c r="AA765" s="21" t="n">
        <f>19</f>
        <v>19.0</v>
      </c>
      <c r="AB765" s="4" t="s">
        <v>469</v>
      </c>
      <c r="AC765" s="22" t="n">
        <f>82</f>
        <v>82.0</v>
      </c>
      <c r="AD765" s="5" t="s">
        <v>999</v>
      </c>
      <c r="AE765" s="23" t="n">
        <f>19</f>
        <v>19.0</v>
      </c>
    </row>
    <row r="766">
      <c r="A766" s="24" t="s">
        <v>1582</v>
      </c>
      <c r="B766" s="25" t="s">
        <v>1583</v>
      </c>
      <c r="C766" s="26"/>
      <c r="D766" s="27"/>
      <c r="E766" s="28" t="s">
        <v>145</v>
      </c>
      <c r="F766" s="20" t="n">
        <f>122</f>
        <v>122.0</v>
      </c>
      <c r="G766" s="21" t="n">
        <f>201</f>
        <v>201.0</v>
      </c>
      <c r="H766" s="21"/>
      <c r="I766" s="21" t="n">
        <f>198</f>
        <v>198.0</v>
      </c>
      <c r="J766" s="21" t="n">
        <f>2</f>
        <v>2.0</v>
      </c>
      <c r="K766" s="21" t="n">
        <f>2</f>
        <v>2.0</v>
      </c>
      <c r="L766" s="4" t="s">
        <v>1594</v>
      </c>
      <c r="M766" s="22" t="n">
        <f>130</f>
        <v>130.0</v>
      </c>
      <c r="N766" s="5" t="s">
        <v>82</v>
      </c>
      <c r="O766" s="23" t="str">
        <f>"－"</f>
        <v>－</v>
      </c>
      <c r="P766" s="3" t="s">
        <v>1595</v>
      </c>
      <c r="Q766" s="21"/>
      <c r="R766" s="3" t="s">
        <v>1596</v>
      </c>
      <c r="S766" s="21" t="n">
        <f>6435348</f>
        <v>6435348.0</v>
      </c>
      <c r="T766" s="21" t="n">
        <f>6339508</f>
        <v>6339508.0</v>
      </c>
      <c r="U766" s="5" t="s">
        <v>1594</v>
      </c>
      <c r="V766" s="23" t="n">
        <f>508490000</f>
        <v>5.0849E8</v>
      </c>
      <c r="W766" s="5" t="s">
        <v>82</v>
      </c>
      <c r="X766" s="23" t="str">
        <f>"－"</f>
        <v>－</v>
      </c>
      <c r="Y766" s="23"/>
      <c r="Z766" s="21" t="str">
        <f>"－"</f>
        <v>－</v>
      </c>
      <c r="AA766" s="21" t="n">
        <f>1</f>
        <v>1.0</v>
      </c>
      <c r="AB766" s="4" t="s">
        <v>1594</v>
      </c>
      <c r="AC766" s="22" t="n">
        <f>54</f>
        <v>54.0</v>
      </c>
      <c r="AD766" s="5" t="s">
        <v>50</v>
      </c>
      <c r="AE766" s="23" t="str">
        <f>"－"</f>
        <v>－</v>
      </c>
    </row>
    <row r="767">
      <c r="A767" s="24" t="s">
        <v>1582</v>
      </c>
      <c r="B767" s="25" t="s">
        <v>1583</v>
      </c>
      <c r="C767" s="26"/>
      <c r="D767" s="27"/>
      <c r="E767" s="28" t="s">
        <v>150</v>
      </c>
      <c r="F767" s="20" t="n">
        <f>124</f>
        <v>124.0</v>
      </c>
      <c r="G767" s="21" t="n">
        <f>1</f>
        <v>1.0</v>
      </c>
      <c r="H767" s="21"/>
      <c r="I767" s="21" t="str">
        <f>"－"</f>
        <v>－</v>
      </c>
      <c r="J767" s="21" t="n">
        <f>0</f>
        <v>0.0</v>
      </c>
      <c r="K767" s="21" t="str">
        <f>"－"</f>
        <v>－</v>
      </c>
      <c r="L767" s="4" t="s">
        <v>62</v>
      </c>
      <c r="M767" s="22" t="n">
        <f>1</f>
        <v>1.0</v>
      </c>
      <c r="N767" s="5" t="s">
        <v>666</v>
      </c>
      <c r="O767" s="23" t="str">
        <f>"－"</f>
        <v>－</v>
      </c>
      <c r="P767" s="3" t="s">
        <v>1597</v>
      </c>
      <c r="Q767" s="21"/>
      <c r="R767" s="3" t="s">
        <v>247</v>
      </c>
      <c r="S767" s="21" t="n">
        <f>33871</f>
        <v>33871.0</v>
      </c>
      <c r="T767" s="21" t="str">
        <f>"－"</f>
        <v>－</v>
      </c>
      <c r="U767" s="5" t="s">
        <v>62</v>
      </c>
      <c r="V767" s="23" t="n">
        <f>4200000</f>
        <v>4200000.0</v>
      </c>
      <c r="W767" s="5" t="s">
        <v>666</v>
      </c>
      <c r="X767" s="23" t="str">
        <f>"－"</f>
        <v>－</v>
      </c>
      <c r="Y767" s="23"/>
      <c r="Z767" s="21" t="str">
        <f>"－"</f>
        <v>－</v>
      </c>
      <c r="AA767" s="21" t="str">
        <f>"－"</f>
        <v>－</v>
      </c>
      <c r="AB767" s="4" t="s">
        <v>666</v>
      </c>
      <c r="AC767" s="22" t="n">
        <f>1</f>
        <v>1.0</v>
      </c>
      <c r="AD767" s="5" t="s">
        <v>62</v>
      </c>
      <c r="AE767" s="23" t="str">
        <f>"－"</f>
        <v>－</v>
      </c>
    </row>
    <row r="768">
      <c r="A768" s="24" t="s">
        <v>1582</v>
      </c>
      <c r="B768" s="25" t="s">
        <v>1583</v>
      </c>
      <c r="C768" s="26"/>
      <c r="D768" s="27"/>
      <c r="E768" s="28" t="s">
        <v>154</v>
      </c>
      <c r="F768" s="20" t="n">
        <f>120</f>
        <v>120.0</v>
      </c>
      <c r="G768" s="21" t="str">
        <f>"－"</f>
        <v>－</v>
      </c>
      <c r="H768" s="21"/>
      <c r="I768" s="21" t="str">
        <f>"－"</f>
        <v>－</v>
      </c>
      <c r="J768" s="21" t="str">
        <f>"－"</f>
        <v>－</v>
      </c>
      <c r="K768" s="21" t="str">
        <f>"－"</f>
        <v>－</v>
      </c>
      <c r="L768" s="4" t="s">
        <v>268</v>
      </c>
      <c r="M768" s="22" t="str">
        <f>"－"</f>
        <v>－</v>
      </c>
      <c r="N768" s="5" t="s">
        <v>268</v>
      </c>
      <c r="O768" s="23" t="str">
        <f>"－"</f>
        <v>－</v>
      </c>
      <c r="P768" s="3" t="s">
        <v>247</v>
      </c>
      <c r="Q768" s="21"/>
      <c r="R768" s="3" t="s">
        <v>247</v>
      </c>
      <c r="S768" s="21" t="str">
        <f>"－"</f>
        <v>－</v>
      </c>
      <c r="T768" s="21" t="str">
        <f>"－"</f>
        <v>－</v>
      </c>
      <c r="U768" s="5" t="s">
        <v>268</v>
      </c>
      <c r="V768" s="23" t="str">
        <f>"－"</f>
        <v>－</v>
      </c>
      <c r="W768" s="5" t="s">
        <v>268</v>
      </c>
      <c r="X768" s="23" t="str">
        <f>"－"</f>
        <v>－</v>
      </c>
      <c r="Y768" s="23"/>
      <c r="Z768" s="21" t="str">
        <f>"－"</f>
        <v>－</v>
      </c>
      <c r="AA768" s="21" t="str">
        <f>"－"</f>
        <v>－</v>
      </c>
      <c r="AB768" s="4" t="s">
        <v>268</v>
      </c>
      <c r="AC768" s="22" t="str">
        <f>"－"</f>
        <v>－</v>
      </c>
      <c r="AD768" s="5" t="s">
        <v>268</v>
      </c>
      <c r="AE768" s="23" t="str">
        <f>"－"</f>
        <v>－</v>
      </c>
    </row>
    <row r="769">
      <c r="A769" s="24" t="s">
        <v>1598</v>
      </c>
      <c r="B769" s="25" t="s">
        <v>1599</v>
      </c>
      <c r="C769" s="26"/>
      <c r="D769" s="27"/>
      <c r="E769" s="28" t="s">
        <v>118</v>
      </c>
      <c r="F769" s="20" t="n">
        <f>45</f>
        <v>45.0</v>
      </c>
      <c r="G769" s="21" t="str">
        <f>"－"</f>
        <v>－</v>
      </c>
      <c r="H769" s="21"/>
      <c r="I769" s="21" t="str">
        <f>"－"</f>
        <v>－</v>
      </c>
      <c r="J769" s="21" t="str">
        <f>"－"</f>
        <v>－</v>
      </c>
      <c r="K769" s="21" t="str">
        <f>"－"</f>
        <v>－</v>
      </c>
      <c r="L769" s="4" t="s">
        <v>853</v>
      </c>
      <c r="M769" s="22" t="str">
        <f>"－"</f>
        <v>－</v>
      </c>
      <c r="N769" s="5" t="s">
        <v>853</v>
      </c>
      <c r="O769" s="23" t="str">
        <f>"－"</f>
        <v>－</v>
      </c>
      <c r="P769" s="3" t="s">
        <v>247</v>
      </c>
      <c r="Q769" s="21"/>
      <c r="R769" s="3" t="s">
        <v>247</v>
      </c>
      <c r="S769" s="21" t="str">
        <f>"－"</f>
        <v>－</v>
      </c>
      <c r="T769" s="21" t="str">
        <f>"－"</f>
        <v>－</v>
      </c>
      <c r="U769" s="5" t="s">
        <v>853</v>
      </c>
      <c r="V769" s="23" t="str">
        <f>"－"</f>
        <v>－</v>
      </c>
      <c r="W769" s="5" t="s">
        <v>853</v>
      </c>
      <c r="X769" s="23" t="str">
        <f>"－"</f>
        <v>－</v>
      </c>
      <c r="Y769" s="23"/>
      <c r="Z769" s="21" t="str">
        <f>"－"</f>
        <v>－</v>
      </c>
      <c r="AA769" s="21" t="str">
        <f>"－"</f>
        <v>－</v>
      </c>
      <c r="AB769" s="4" t="s">
        <v>853</v>
      </c>
      <c r="AC769" s="22" t="str">
        <f>"－"</f>
        <v>－</v>
      </c>
      <c r="AD769" s="5" t="s">
        <v>853</v>
      </c>
      <c r="AE769" s="23" t="str">
        <f>"－"</f>
        <v>－</v>
      </c>
    </row>
    <row r="770">
      <c r="A770" s="24" t="s">
        <v>1598</v>
      </c>
      <c r="B770" s="25" t="s">
        <v>1599</v>
      </c>
      <c r="C770" s="26"/>
      <c r="D770" s="27"/>
      <c r="E770" s="28" t="s">
        <v>124</v>
      </c>
      <c r="F770" s="20" t="n">
        <f>123</f>
        <v>123.0</v>
      </c>
      <c r="G770" s="21" t="str">
        <f>"－"</f>
        <v>－</v>
      </c>
      <c r="H770" s="21"/>
      <c r="I770" s="21" t="str">
        <f>"－"</f>
        <v>－</v>
      </c>
      <c r="J770" s="21" t="str">
        <f>"－"</f>
        <v>－</v>
      </c>
      <c r="K770" s="21" t="str">
        <f>"－"</f>
        <v>－</v>
      </c>
      <c r="L770" s="4" t="s">
        <v>279</v>
      </c>
      <c r="M770" s="22" t="str">
        <f>"－"</f>
        <v>－</v>
      </c>
      <c r="N770" s="5" t="s">
        <v>279</v>
      </c>
      <c r="O770" s="23" t="str">
        <f>"－"</f>
        <v>－</v>
      </c>
      <c r="P770" s="3" t="s">
        <v>247</v>
      </c>
      <c r="Q770" s="21"/>
      <c r="R770" s="3" t="s">
        <v>247</v>
      </c>
      <c r="S770" s="21" t="str">
        <f>"－"</f>
        <v>－</v>
      </c>
      <c r="T770" s="21" t="str">
        <f>"－"</f>
        <v>－</v>
      </c>
      <c r="U770" s="5" t="s">
        <v>279</v>
      </c>
      <c r="V770" s="23" t="str">
        <f>"－"</f>
        <v>－</v>
      </c>
      <c r="W770" s="5" t="s">
        <v>279</v>
      </c>
      <c r="X770" s="23" t="str">
        <f>"－"</f>
        <v>－</v>
      </c>
      <c r="Y770" s="23"/>
      <c r="Z770" s="21" t="str">
        <f>"－"</f>
        <v>－</v>
      </c>
      <c r="AA770" s="21" t="str">
        <f>"－"</f>
        <v>－</v>
      </c>
      <c r="AB770" s="4" t="s">
        <v>279</v>
      </c>
      <c r="AC770" s="22" t="str">
        <f>"－"</f>
        <v>－</v>
      </c>
      <c r="AD770" s="5" t="s">
        <v>279</v>
      </c>
      <c r="AE770" s="23" t="str">
        <f>"－"</f>
        <v>－</v>
      </c>
    </row>
    <row r="771">
      <c r="A771" s="24" t="s">
        <v>1598</v>
      </c>
      <c r="B771" s="25" t="s">
        <v>1599</v>
      </c>
      <c r="C771" s="26"/>
      <c r="D771" s="27"/>
      <c r="E771" s="28" t="s">
        <v>127</v>
      </c>
      <c r="F771" s="20" t="n">
        <f>122</f>
        <v>122.0</v>
      </c>
      <c r="G771" s="21" t="str">
        <f>"－"</f>
        <v>－</v>
      </c>
      <c r="H771" s="21"/>
      <c r="I771" s="21" t="str">
        <f>"－"</f>
        <v>－</v>
      </c>
      <c r="J771" s="21" t="str">
        <f>"－"</f>
        <v>－</v>
      </c>
      <c r="K771" s="21" t="str">
        <f>"－"</f>
        <v>－</v>
      </c>
      <c r="L771" s="4" t="s">
        <v>335</v>
      </c>
      <c r="M771" s="22" t="str">
        <f>"－"</f>
        <v>－</v>
      </c>
      <c r="N771" s="5" t="s">
        <v>335</v>
      </c>
      <c r="O771" s="23" t="str">
        <f>"－"</f>
        <v>－</v>
      </c>
      <c r="P771" s="3" t="s">
        <v>247</v>
      </c>
      <c r="Q771" s="21"/>
      <c r="R771" s="3" t="s">
        <v>247</v>
      </c>
      <c r="S771" s="21" t="str">
        <f>"－"</f>
        <v>－</v>
      </c>
      <c r="T771" s="21" t="str">
        <f>"－"</f>
        <v>－</v>
      </c>
      <c r="U771" s="5" t="s">
        <v>335</v>
      </c>
      <c r="V771" s="23" t="str">
        <f>"－"</f>
        <v>－</v>
      </c>
      <c r="W771" s="5" t="s">
        <v>335</v>
      </c>
      <c r="X771" s="23" t="str">
        <f>"－"</f>
        <v>－</v>
      </c>
      <c r="Y771" s="23"/>
      <c r="Z771" s="21" t="str">
        <f>"－"</f>
        <v>－</v>
      </c>
      <c r="AA771" s="21" t="str">
        <f>"－"</f>
        <v>－</v>
      </c>
      <c r="AB771" s="4" t="s">
        <v>335</v>
      </c>
      <c r="AC771" s="22" t="str">
        <f>"－"</f>
        <v>－</v>
      </c>
      <c r="AD771" s="5" t="s">
        <v>335</v>
      </c>
      <c r="AE771" s="23" t="str">
        <f>"－"</f>
        <v>－</v>
      </c>
    </row>
    <row r="772">
      <c r="A772" s="24" t="s">
        <v>1598</v>
      </c>
      <c r="B772" s="25" t="s">
        <v>1599</v>
      </c>
      <c r="C772" s="26"/>
      <c r="D772" s="27"/>
      <c r="E772" s="28" t="s">
        <v>133</v>
      </c>
      <c r="F772" s="20" t="n">
        <f>122</f>
        <v>122.0</v>
      </c>
      <c r="G772" s="21" t="str">
        <f>"－"</f>
        <v>－</v>
      </c>
      <c r="H772" s="21"/>
      <c r="I772" s="21" t="str">
        <f>"－"</f>
        <v>－</v>
      </c>
      <c r="J772" s="21" t="str">
        <f>"－"</f>
        <v>－</v>
      </c>
      <c r="K772" s="21" t="str">
        <f>"－"</f>
        <v>－</v>
      </c>
      <c r="L772" s="4" t="s">
        <v>279</v>
      </c>
      <c r="M772" s="22" t="str">
        <f>"－"</f>
        <v>－</v>
      </c>
      <c r="N772" s="5" t="s">
        <v>279</v>
      </c>
      <c r="O772" s="23" t="str">
        <f>"－"</f>
        <v>－</v>
      </c>
      <c r="P772" s="3" t="s">
        <v>247</v>
      </c>
      <c r="Q772" s="21"/>
      <c r="R772" s="3" t="s">
        <v>247</v>
      </c>
      <c r="S772" s="21" t="str">
        <f>"－"</f>
        <v>－</v>
      </c>
      <c r="T772" s="21" t="str">
        <f>"－"</f>
        <v>－</v>
      </c>
      <c r="U772" s="5" t="s">
        <v>279</v>
      </c>
      <c r="V772" s="23" t="str">
        <f>"－"</f>
        <v>－</v>
      </c>
      <c r="W772" s="5" t="s">
        <v>279</v>
      </c>
      <c r="X772" s="23" t="str">
        <f>"－"</f>
        <v>－</v>
      </c>
      <c r="Y772" s="23"/>
      <c r="Z772" s="21" t="str">
        <f>"－"</f>
        <v>－</v>
      </c>
      <c r="AA772" s="21" t="str">
        <f>"－"</f>
        <v>－</v>
      </c>
      <c r="AB772" s="4" t="s">
        <v>279</v>
      </c>
      <c r="AC772" s="22" t="str">
        <f>"－"</f>
        <v>－</v>
      </c>
      <c r="AD772" s="5" t="s">
        <v>279</v>
      </c>
      <c r="AE772" s="23" t="str">
        <f>"－"</f>
        <v>－</v>
      </c>
    </row>
    <row r="773">
      <c r="A773" s="24" t="s">
        <v>1598</v>
      </c>
      <c r="B773" s="25" t="s">
        <v>1599</v>
      </c>
      <c r="C773" s="26"/>
      <c r="D773" s="27"/>
      <c r="E773" s="28" t="s">
        <v>139</v>
      </c>
      <c r="F773" s="20" t="n">
        <f>123</f>
        <v>123.0</v>
      </c>
      <c r="G773" s="21" t="str">
        <f>"－"</f>
        <v>－</v>
      </c>
      <c r="H773" s="21"/>
      <c r="I773" s="21" t="str">
        <f>"－"</f>
        <v>－</v>
      </c>
      <c r="J773" s="21" t="str">
        <f>"－"</f>
        <v>－</v>
      </c>
      <c r="K773" s="21" t="str">
        <f>"－"</f>
        <v>－</v>
      </c>
      <c r="L773" s="4" t="s">
        <v>335</v>
      </c>
      <c r="M773" s="22" t="str">
        <f>"－"</f>
        <v>－</v>
      </c>
      <c r="N773" s="5" t="s">
        <v>335</v>
      </c>
      <c r="O773" s="23" t="str">
        <f>"－"</f>
        <v>－</v>
      </c>
      <c r="P773" s="3" t="s">
        <v>247</v>
      </c>
      <c r="Q773" s="21"/>
      <c r="R773" s="3" t="s">
        <v>247</v>
      </c>
      <c r="S773" s="21" t="str">
        <f>"－"</f>
        <v>－</v>
      </c>
      <c r="T773" s="21" t="str">
        <f>"－"</f>
        <v>－</v>
      </c>
      <c r="U773" s="5" t="s">
        <v>335</v>
      </c>
      <c r="V773" s="23" t="str">
        <f>"－"</f>
        <v>－</v>
      </c>
      <c r="W773" s="5" t="s">
        <v>335</v>
      </c>
      <c r="X773" s="23" t="str">
        <f>"－"</f>
        <v>－</v>
      </c>
      <c r="Y773" s="23"/>
      <c r="Z773" s="21" t="str">
        <f>"－"</f>
        <v>－</v>
      </c>
      <c r="AA773" s="21" t="str">
        <f>"－"</f>
        <v>－</v>
      </c>
      <c r="AB773" s="4" t="s">
        <v>335</v>
      </c>
      <c r="AC773" s="22" t="str">
        <f>"－"</f>
        <v>－</v>
      </c>
      <c r="AD773" s="5" t="s">
        <v>335</v>
      </c>
      <c r="AE773" s="23" t="str">
        <f>"－"</f>
        <v>－</v>
      </c>
    </row>
    <row r="774">
      <c r="A774" s="24" t="s">
        <v>1598</v>
      </c>
      <c r="B774" s="25" t="s">
        <v>1599</v>
      </c>
      <c r="C774" s="26"/>
      <c r="D774" s="27"/>
      <c r="E774" s="28" t="s">
        <v>145</v>
      </c>
      <c r="F774" s="20" t="n">
        <f>122</f>
        <v>122.0</v>
      </c>
      <c r="G774" s="21" t="str">
        <f>"－"</f>
        <v>－</v>
      </c>
      <c r="H774" s="21"/>
      <c r="I774" s="21" t="str">
        <f>"－"</f>
        <v>－</v>
      </c>
      <c r="J774" s="21" t="str">
        <f>"－"</f>
        <v>－</v>
      </c>
      <c r="K774" s="21" t="str">
        <f>"－"</f>
        <v>－</v>
      </c>
      <c r="L774" s="4" t="s">
        <v>82</v>
      </c>
      <c r="M774" s="22" t="str">
        <f>"－"</f>
        <v>－</v>
      </c>
      <c r="N774" s="5" t="s">
        <v>82</v>
      </c>
      <c r="O774" s="23" t="str">
        <f>"－"</f>
        <v>－</v>
      </c>
      <c r="P774" s="3" t="s">
        <v>247</v>
      </c>
      <c r="Q774" s="21"/>
      <c r="R774" s="3" t="s">
        <v>247</v>
      </c>
      <c r="S774" s="21" t="str">
        <f>"－"</f>
        <v>－</v>
      </c>
      <c r="T774" s="21" t="str">
        <f>"－"</f>
        <v>－</v>
      </c>
      <c r="U774" s="5" t="s">
        <v>82</v>
      </c>
      <c r="V774" s="23" t="str">
        <f>"－"</f>
        <v>－</v>
      </c>
      <c r="W774" s="5" t="s">
        <v>82</v>
      </c>
      <c r="X774" s="23" t="str">
        <f>"－"</f>
        <v>－</v>
      </c>
      <c r="Y774" s="23"/>
      <c r="Z774" s="21" t="str">
        <f>"－"</f>
        <v>－</v>
      </c>
      <c r="AA774" s="21" t="str">
        <f>"－"</f>
        <v>－</v>
      </c>
      <c r="AB774" s="4" t="s">
        <v>82</v>
      </c>
      <c r="AC774" s="22" t="str">
        <f>"－"</f>
        <v>－</v>
      </c>
      <c r="AD774" s="5" t="s">
        <v>82</v>
      </c>
      <c r="AE774" s="23" t="str">
        <f>"－"</f>
        <v>－</v>
      </c>
    </row>
    <row r="775">
      <c r="A775" s="24" t="s">
        <v>1598</v>
      </c>
      <c r="B775" s="25" t="s">
        <v>1599</v>
      </c>
      <c r="C775" s="26"/>
      <c r="D775" s="27"/>
      <c r="E775" s="28" t="s">
        <v>150</v>
      </c>
      <c r="F775" s="20" t="n">
        <f>124</f>
        <v>124.0</v>
      </c>
      <c r="G775" s="21" t="str">
        <f>"－"</f>
        <v>－</v>
      </c>
      <c r="H775" s="21"/>
      <c r="I775" s="21" t="str">
        <f>"－"</f>
        <v>－</v>
      </c>
      <c r="J775" s="21" t="str">
        <f>"－"</f>
        <v>－</v>
      </c>
      <c r="K775" s="21" t="str">
        <f>"－"</f>
        <v>－</v>
      </c>
      <c r="L775" s="4" t="s">
        <v>666</v>
      </c>
      <c r="M775" s="22" t="str">
        <f>"－"</f>
        <v>－</v>
      </c>
      <c r="N775" s="5" t="s">
        <v>666</v>
      </c>
      <c r="O775" s="23" t="str">
        <f>"－"</f>
        <v>－</v>
      </c>
      <c r="P775" s="3" t="s">
        <v>247</v>
      </c>
      <c r="Q775" s="21"/>
      <c r="R775" s="3" t="s">
        <v>247</v>
      </c>
      <c r="S775" s="21" t="str">
        <f>"－"</f>
        <v>－</v>
      </c>
      <c r="T775" s="21" t="str">
        <f>"－"</f>
        <v>－</v>
      </c>
      <c r="U775" s="5" t="s">
        <v>666</v>
      </c>
      <c r="V775" s="23" t="str">
        <f>"－"</f>
        <v>－</v>
      </c>
      <c r="W775" s="5" t="s">
        <v>666</v>
      </c>
      <c r="X775" s="23" t="str">
        <f>"－"</f>
        <v>－</v>
      </c>
      <c r="Y775" s="23"/>
      <c r="Z775" s="21" t="str">
        <f>"－"</f>
        <v>－</v>
      </c>
      <c r="AA775" s="21" t="str">
        <f>"－"</f>
        <v>－</v>
      </c>
      <c r="AB775" s="4" t="s">
        <v>666</v>
      </c>
      <c r="AC775" s="22" t="str">
        <f>"－"</f>
        <v>－</v>
      </c>
      <c r="AD775" s="5" t="s">
        <v>666</v>
      </c>
      <c r="AE775" s="23" t="str">
        <f>"－"</f>
        <v>－</v>
      </c>
    </row>
    <row r="776">
      <c r="A776" s="24" t="s">
        <v>1598</v>
      </c>
      <c r="B776" s="25" t="s">
        <v>1599</v>
      </c>
      <c r="C776" s="26"/>
      <c r="D776" s="27"/>
      <c r="E776" s="28" t="s">
        <v>154</v>
      </c>
      <c r="F776" s="20" t="n">
        <f>120</f>
        <v>120.0</v>
      </c>
      <c r="G776" s="21" t="str">
        <f>"－"</f>
        <v>－</v>
      </c>
      <c r="H776" s="21"/>
      <c r="I776" s="21" t="str">
        <f>"－"</f>
        <v>－</v>
      </c>
      <c r="J776" s="21" t="str">
        <f>"－"</f>
        <v>－</v>
      </c>
      <c r="K776" s="21" t="str">
        <f>"－"</f>
        <v>－</v>
      </c>
      <c r="L776" s="4" t="s">
        <v>268</v>
      </c>
      <c r="M776" s="22" t="str">
        <f>"－"</f>
        <v>－</v>
      </c>
      <c r="N776" s="5" t="s">
        <v>268</v>
      </c>
      <c r="O776" s="23" t="str">
        <f>"－"</f>
        <v>－</v>
      </c>
      <c r="P776" s="3" t="s">
        <v>247</v>
      </c>
      <c r="Q776" s="21"/>
      <c r="R776" s="3" t="s">
        <v>247</v>
      </c>
      <c r="S776" s="21" t="str">
        <f>"－"</f>
        <v>－</v>
      </c>
      <c r="T776" s="21" t="str">
        <f>"－"</f>
        <v>－</v>
      </c>
      <c r="U776" s="5" t="s">
        <v>268</v>
      </c>
      <c r="V776" s="23" t="str">
        <f>"－"</f>
        <v>－</v>
      </c>
      <c r="W776" s="5" t="s">
        <v>268</v>
      </c>
      <c r="X776" s="23" t="str">
        <f>"－"</f>
        <v>－</v>
      </c>
      <c r="Y776" s="23"/>
      <c r="Z776" s="21" t="str">
        <f>"－"</f>
        <v>－</v>
      </c>
      <c r="AA776" s="21" t="str">
        <f>"－"</f>
        <v>－</v>
      </c>
      <c r="AB776" s="4" t="s">
        <v>268</v>
      </c>
      <c r="AC776" s="22" t="str">
        <f>"－"</f>
        <v>－</v>
      </c>
      <c r="AD776" s="5" t="s">
        <v>268</v>
      </c>
      <c r="AE776" s="23" t="str">
        <f>"－"</f>
        <v>－</v>
      </c>
    </row>
    <row r="777">
      <c r="A777" s="24" t="s">
        <v>1600</v>
      </c>
      <c r="B777" s="25" t="s">
        <v>1601</v>
      </c>
      <c r="C777" s="26"/>
      <c r="D777" s="27"/>
      <c r="E777" s="28" t="s">
        <v>118</v>
      </c>
      <c r="F777" s="20" t="n">
        <f>45</f>
        <v>45.0</v>
      </c>
      <c r="G777" s="21" t="n">
        <f>900516</f>
        <v>900516.0</v>
      </c>
      <c r="H777" s="21"/>
      <c r="I777" s="21" t="n">
        <f>5040</f>
        <v>5040.0</v>
      </c>
      <c r="J777" s="21" t="n">
        <f>20011</f>
        <v>20011.0</v>
      </c>
      <c r="K777" s="21" t="n">
        <f>112</f>
        <v>112.0</v>
      </c>
      <c r="L777" s="4" t="s">
        <v>119</v>
      </c>
      <c r="M777" s="22" t="n">
        <f>64269</f>
        <v>64269.0</v>
      </c>
      <c r="N777" s="5" t="s">
        <v>398</v>
      </c>
      <c r="O777" s="23" t="n">
        <f>3765</f>
        <v>3765.0</v>
      </c>
      <c r="P777" s="3" t="s">
        <v>1602</v>
      </c>
      <c r="Q777" s="21"/>
      <c r="R777" s="3" t="s">
        <v>1603</v>
      </c>
      <c r="S777" s="21" t="n">
        <f>29053509811</f>
        <v>2.9053509811E10</v>
      </c>
      <c r="T777" s="21" t="n">
        <f>162226344</f>
        <v>1.62226344E8</v>
      </c>
      <c r="U777" s="5" t="s">
        <v>406</v>
      </c>
      <c r="V777" s="23" t="n">
        <f>91315533500</f>
        <v>9.13155335E10</v>
      </c>
      <c r="W777" s="5" t="s">
        <v>289</v>
      </c>
      <c r="X777" s="23" t="n">
        <f>5768520500</f>
        <v>5.7685205E9</v>
      </c>
      <c r="Y777" s="23"/>
      <c r="Z777" s="21" t="n">
        <f>25636</f>
        <v>25636.0</v>
      </c>
      <c r="AA777" s="21" t="n">
        <f>155409</f>
        <v>155409.0</v>
      </c>
      <c r="AB777" s="4" t="s">
        <v>853</v>
      </c>
      <c r="AC777" s="22" t="n">
        <f>175294</f>
        <v>175294.0</v>
      </c>
      <c r="AD777" s="5" t="s">
        <v>119</v>
      </c>
      <c r="AE777" s="23" t="n">
        <f>151678</f>
        <v>151678.0</v>
      </c>
    </row>
    <row r="778">
      <c r="A778" s="24" t="s">
        <v>1600</v>
      </c>
      <c r="B778" s="25" t="s">
        <v>1601</v>
      </c>
      <c r="C778" s="26"/>
      <c r="D778" s="27"/>
      <c r="E778" s="28" t="s">
        <v>124</v>
      </c>
      <c r="F778" s="20" t="n">
        <f>123</f>
        <v>123.0</v>
      </c>
      <c r="G778" s="21" t="n">
        <f>2538186</f>
        <v>2538186.0</v>
      </c>
      <c r="H778" s="21"/>
      <c r="I778" s="21" t="n">
        <f>35491</f>
        <v>35491.0</v>
      </c>
      <c r="J778" s="21" t="n">
        <f>20636</f>
        <v>20636.0</v>
      </c>
      <c r="K778" s="21" t="n">
        <f>289</f>
        <v>289.0</v>
      </c>
      <c r="L778" s="4" t="s">
        <v>641</v>
      </c>
      <c r="M778" s="22" t="n">
        <f>64757</f>
        <v>64757.0</v>
      </c>
      <c r="N778" s="5" t="s">
        <v>314</v>
      </c>
      <c r="O778" s="23" t="n">
        <f>3228</f>
        <v>3228.0</v>
      </c>
      <c r="P778" s="3" t="s">
        <v>1604</v>
      </c>
      <c r="Q778" s="21"/>
      <c r="R778" s="3" t="s">
        <v>1605</v>
      </c>
      <c r="S778" s="21" t="n">
        <f>34817438642</f>
        <v>3.4817438642E10</v>
      </c>
      <c r="T778" s="21" t="n">
        <f>470677077</f>
        <v>4.70677077E8</v>
      </c>
      <c r="U778" s="5" t="s">
        <v>155</v>
      </c>
      <c r="V778" s="23" t="n">
        <f>118666304500</f>
        <v>1.186663045E11</v>
      </c>
      <c r="W778" s="5" t="s">
        <v>314</v>
      </c>
      <c r="X778" s="23" t="n">
        <f>5280154500</f>
        <v>5.2801545E9</v>
      </c>
      <c r="Y778" s="23"/>
      <c r="Z778" s="21" t="n">
        <f>66197</f>
        <v>66197.0</v>
      </c>
      <c r="AA778" s="21" t="n">
        <f>120527</f>
        <v>120527.0</v>
      </c>
      <c r="AB778" s="4" t="s">
        <v>669</v>
      </c>
      <c r="AC778" s="22" t="n">
        <f>165227</f>
        <v>165227.0</v>
      </c>
      <c r="AD778" s="5" t="s">
        <v>202</v>
      </c>
      <c r="AE778" s="23" t="n">
        <f>113019</f>
        <v>113019.0</v>
      </c>
    </row>
    <row r="779">
      <c r="A779" s="24" t="s">
        <v>1600</v>
      </c>
      <c r="B779" s="25" t="s">
        <v>1601</v>
      </c>
      <c r="C779" s="26"/>
      <c r="D779" s="27"/>
      <c r="E779" s="28" t="s">
        <v>127</v>
      </c>
      <c r="F779" s="20" t="n">
        <f>122</f>
        <v>122.0</v>
      </c>
      <c r="G779" s="21" t="n">
        <f>1843923</f>
        <v>1843923.0</v>
      </c>
      <c r="H779" s="21"/>
      <c r="I779" s="21" t="n">
        <f>27354</f>
        <v>27354.0</v>
      </c>
      <c r="J779" s="21" t="n">
        <f>15114</f>
        <v>15114.0</v>
      </c>
      <c r="K779" s="21" t="n">
        <f>224</f>
        <v>224.0</v>
      </c>
      <c r="L779" s="4" t="s">
        <v>123</v>
      </c>
      <c r="M779" s="22" t="n">
        <f>45023</f>
        <v>45023.0</v>
      </c>
      <c r="N779" s="5" t="s">
        <v>972</v>
      </c>
      <c r="O779" s="23" t="n">
        <f>3078</f>
        <v>3078.0</v>
      </c>
      <c r="P779" s="3" t="s">
        <v>1606</v>
      </c>
      <c r="Q779" s="21"/>
      <c r="R779" s="3" t="s">
        <v>1607</v>
      </c>
      <c r="S779" s="21" t="n">
        <f>34179355172</f>
        <v>3.4179355172E10</v>
      </c>
      <c r="T779" s="21" t="n">
        <f>509108902</f>
        <v>5.09108902E8</v>
      </c>
      <c r="U779" s="5" t="s">
        <v>174</v>
      </c>
      <c r="V779" s="23" t="n">
        <f>98643164500</f>
        <v>9.86431645E10</v>
      </c>
      <c r="W779" s="5" t="s">
        <v>972</v>
      </c>
      <c r="X779" s="23" t="n">
        <f>7314294000</f>
        <v>7.314294E9</v>
      </c>
      <c r="Y779" s="23"/>
      <c r="Z779" s="21" t="n">
        <f>12785</f>
        <v>12785.0</v>
      </c>
      <c r="AA779" s="21" t="n">
        <f>100467</f>
        <v>100467.0</v>
      </c>
      <c r="AB779" s="4" t="s">
        <v>659</v>
      </c>
      <c r="AC779" s="22" t="n">
        <f>121996</f>
        <v>121996.0</v>
      </c>
      <c r="AD779" s="5" t="s">
        <v>829</v>
      </c>
      <c r="AE779" s="23" t="n">
        <f>87438</f>
        <v>87438.0</v>
      </c>
    </row>
    <row r="780">
      <c r="A780" s="24" t="s">
        <v>1600</v>
      </c>
      <c r="B780" s="25" t="s">
        <v>1601</v>
      </c>
      <c r="C780" s="26"/>
      <c r="D780" s="27"/>
      <c r="E780" s="28" t="s">
        <v>133</v>
      </c>
      <c r="F780" s="20" t="n">
        <f>122</f>
        <v>122.0</v>
      </c>
      <c r="G780" s="21" t="n">
        <f>1773275</f>
        <v>1773275.0</v>
      </c>
      <c r="H780" s="21"/>
      <c r="I780" s="21" t="n">
        <f>38686</f>
        <v>38686.0</v>
      </c>
      <c r="J780" s="21" t="n">
        <f>14535</f>
        <v>14535.0</v>
      </c>
      <c r="K780" s="21" t="n">
        <f>317</f>
        <v>317.0</v>
      </c>
      <c r="L780" s="4" t="s">
        <v>68</v>
      </c>
      <c r="M780" s="22" t="n">
        <f>39863</f>
        <v>39863.0</v>
      </c>
      <c r="N780" s="5" t="s">
        <v>1070</v>
      </c>
      <c r="O780" s="23" t="n">
        <f>2817</f>
        <v>2817.0</v>
      </c>
      <c r="P780" s="3" t="s">
        <v>1608</v>
      </c>
      <c r="Q780" s="21"/>
      <c r="R780" s="3" t="s">
        <v>1609</v>
      </c>
      <c r="S780" s="21" t="n">
        <f>42550591885</f>
        <v>4.2550591885E10</v>
      </c>
      <c r="T780" s="21" t="n">
        <f>966813693</f>
        <v>9.66813693E8</v>
      </c>
      <c r="U780" s="5" t="s">
        <v>68</v>
      </c>
      <c r="V780" s="23" t="n">
        <f>157789576000</f>
        <v>1.57789576E11</v>
      </c>
      <c r="W780" s="5" t="s">
        <v>1070</v>
      </c>
      <c r="X780" s="23" t="n">
        <f>8403972500</f>
        <v>8.4039725E9</v>
      </c>
      <c r="Y780" s="23"/>
      <c r="Z780" s="21" t="n">
        <f>10813</f>
        <v>10813.0</v>
      </c>
      <c r="AA780" s="21" t="n">
        <f>69985</f>
        <v>69985.0</v>
      </c>
      <c r="AB780" s="4" t="s">
        <v>828</v>
      </c>
      <c r="AC780" s="22" t="n">
        <f>108490</f>
        <v>108490.0</v>
      </c>
      <c r="AD780" s="5" t="s">
        <v>330</v>
      </c>
      <c r="AE780" s="23" t="n">
        <f>69985</f>
        <v>69985.0</v>
      </c>
    </row>
    <row r="781">
      <c r="A781" s="24" t="s">
        <v>1600</v>
      </c>
      <c r="B781" s="25" t="s">
        <v>1601</v>
      </c>
      <c r="C781" s="26"/>
      <c r="D781" s="27"/>
      <c r="E781" s="28" t="s">
        <v>139</v>
      </c>
      <c r="F781" s="20" t="n">
        <f>123</f>
        <v>123.0</v>
      </c>
      <c r="G781" s="21" t="n">
        <f>1099032</f>
        <v>1099032.0</v>
      </c>
      <c r="H781" s="21"/>
      <c r="I781" s="21" t="n">
        <f>25095</f>
        <v>25095.0</v>
      </c>
      <c r="J781" s="21" t="n">
        <f>8935</f>
        <v>8935.0</v>
      </c>
      <c r="K781" s="21" t="n">
        <f>204</f>
        <v>204.0</v>
      </c>
      <c r="L781" s="4" t="s">
        <v>123</v>
      </c>
      <c r="M781" s="22" t="n">
        <f>27580</f>
        <v>27580.0</v>
      </c>
      <c r="N781" s="5" t="s">
        <v>924</v>
      </c>
      <c r="O781" s="23" t="n">
        <f>2526</f>
        <v>2526.0</v>
      </c>
      <c r="P781" s="3" t="s">
        <v>1610</v>
      </c>
      <c r="Q781" s="21"/>
      <c r="R781" s="3" t="s">
        <v>1611</v>
      </c>
      <c r="S781" s="21" t="n">
        <f>34375450988</f>
        <v>3.4375450988E10</v>
      </c>
      <c r="T781" s="21" t="n">
        <f>831758894</f>
        <v>8.31758894E8</v>
      </c>
      <c r="U781" s="5" t="s">
        <v>123</v>
      </c>
      <c r="V781" s="23" t="n">
        <f>105399406000</f>
        <v>1.05399406E11</v>
      </c>
      <c r="W781" s="5" t="s">
        <v>924</v>
      </c>
      <c r="X781" s="23" t="n">
        <f>9654153500</f>
        <v>9.6541535E9</v>
      </c>
      <c r="Y781" s="23"/>
      <c r="Z781" s="21" t="str">
        <f>"－"</f>
        <v>－</v>
      </c>
      <c r="AA781" s="21" t="n">
        <f>55378</f>
        <v>55378.0</v>
      </c>
      <c r="AB781" s="4" t="s">
        <v>731</v>
      </c>
      <c r="AC781" s="22" t="n">
        <f>77132</f>
        <v>77132.0</v>
      </c>
      <c r="AD781" s="5" t="s">
        <v>709</v>
      </c>
      <c r="AE781" s="23" t="n">
        <f>49454</f>
        <v>49454.0</v>
      </c>
    </row>
    <row r="782">
      <c r="A782" s="24" t="s">
        <v>1600</v>
      </c>
      <c r="B782" s="25" t="s">
        <v>1601</v>
      </c>
      <c r="C782" s="26"/>
      <c r="D782" s="27"/>
      <c r="E782" s="28" t="s">
        <v>145</v>
      </c>
      <c r="F782" s="20" t="n">
        <f>122</f>
        <v>122.0</v>
      </c>
      <c r="G782" s="21" t="n">
        <f>995684</f>
        <v>995684.0</v>
      </c>
      <c r="H782" s="21"/>
      <c r="I782" s="21" t="n">
        <f>21874</f>
        <v>21874.0</v>
      </c>
      <c r="J782" s="21" t="n">
        <f>8161</f>
        <v>8161.0</v>
      </c>
      <c r="K782" s="21" t="n">
        <f>179</f>
        <v>179.0</v>
      </c>
      <c r="L782" s="4" t="s">
        <v>974</v>
      </c>
      <c r="M782" s="22" t="n">
        <f>21524</f>
        <v>21524.0</v>
      </c>
      <c r="N782" s="5" t="s">
        <v>65</v>
      </c>
      <c r="O782" s="23" t="n">
        <f>2091</f>
        <v>2091.0</v>
      </c>
      <c r="P782" s="3" t="s">
        <v>1612</v>
      </c>
      <c r="Q782" s="21"/>
      <c r="R782" s="3" t="s">
        <v>1613</v>
      </c>
      <c r="S782" s="21" t="n">
        <f>27335250431</f>
        <v>2.7335250431E10</v>
      </c>
      <c r="T782" s="21" t="n">
        <f>630791661</f>
        <v>6.30791661E8</v>
      </c>
      <c r="U782" s="5" t="s">
        <v>194</v>
      </c>
      <c r="V782" s="23" t="n">
        <f>76616858500</f>
        <v>7.66168585E10</v>
      </c>
      <c r="W782" s="5" t="s">
        <v>1256</v>
      </c>
      <c r="X782" s="23" t="n">
        <f>6670375000</f>
        <v>6.670375E9</v>
      </c>
      <c r="Y782" s="23"/>
      <c r="Z782" s="21" t="str">
        <f>"－"</f>
        <v>－</v>
      </c>
      <c r="AA782" s="21" t="n">
        <f>43216</f>
        <v>43216.0</v>
      </c>
      <c r="AB782" s="4" t="s">
        <v>644</v>
      </c>
      <c r="AC782" s="22" t="n">
        <f>56248</f>
        <v>56248.0</v>
      </c>
      <c r="AD782" s="5" t="s">
        <v>323</v>
      </c>
      <c r="AE782" s="23" t="n">
        <f>40868</f>
        <v>40868.0</v>
      </c>
    </row>
    <row r="783">
      <c r="A783" s="24" t="s">
        <v>1600</v>
      </c>
      <c r="B783" s="25" t="s">
        <v>1601</v>
      </c>
      <c r="C783" s="26"/>
      <c r="D783" s="27"/>
      <c r="E783" s="28" t="s">
        <v>150</v>
      </c>
      <c r="F783" s="20" t="n">
        <f>124</f>
        <v>124.0</v>
      </c>
      <c r="G783" s="21" t="n">
        <f>924181</f>
        <v>924181.0</v>
      </c>
      <c r="H783" s="21"/>
      <c r="I783" s="21" t="n">
        <f>22254</f>
        <v>22254.0</v>
      </c>
      <c r="J783" s="21" t="n">
        <f>7453</f>
        <v>7453.0</v>
      </c>
      <c r="K783" s="21" t="n">
        <f>179</f>
        <v>179.0</v>
      </c>
      <c r="L783" s="4" t="s">
        <v>350</v>
      </c>
      <c r="M783" s="22" t="n">
        <f>20607</f>
        <v>20607.0</v>
      </c>
      <c r="N783" s="5" t="s">
        <v>1614</v>
      </c>
      <c r="O783" s="23" t="n">
        <f>1510</f>
        <v>1510.0</v>
      </c>
      <c r="P783" s="3" t="s">
        <v>1615</v>
      </c>
      <c r="Q783" s="21"/>
      <c r="R783" s="3" t="s">
        <v>1616</v>
      </c>
      <c r="S783" s="21" t="n">
        <f>25371343754</f>
        <v>2.5371343754E10</v>
      </c>
      <c r="T783" s="21" t="n">
        <f>647504415</f>
        <v>6.47504415E8</v>
      </c>
      <c r="U783" s="5" t="s">
        <v>909</v>
      </c>
      <c r="V783" s="23" t="n">
        <f>74851341000</f>
        <v>7.4851341E10</v>
      </c>
      <c r="W783" s="5" t="s">
        <v>1614</v>
      </c>
      <c r="X783" s="23" t="n">
        <f>5622689000</f>
        <v>5.622689E9</v>
      </c>
      <c r="Y783" s="23"/>
      <c r="Z783" s="21" t="str">
        <f>"－"</f>
        <v>－</v>
      </c>
      <c r="AA783" s="21" t="n">
        <f>52341</f>
        <v>52341.0</v>
      </c>
      <c r="AB783" s="4" t="s">
        <v>76</v>
      </c>
      <c r="AC783" s="22" t="n">
        <f>55887</f>
        <v>55887.0</v>
      </c>
      <c r="AD783" s="5" t="s">
        <v>390</v>
      </c>
      <c r="AE783" s="23" t="n">
        <f>40256</f>
        <v>40256.0</v>
      </c>
    </row>
    <row r="784">
      <c r="A784" s="24" t="s">
        <v>1600</v>
      </c>
      <c r="B784" s="25" t="s">
        <v>1601</v>
      </c>
      <c r="C784" s="26"/>
      <c r="D784" s="27"/>
      <c r="E784" s="28" t="s">
        <v>154</v>
      </c>
      <c r="F784" s="20" t="n">
        <f>120</f>
        <v>120.0</v>
      </c>
      <c r="G784" s="21" t="n">
        <f>813543</f>
        <v>813543.0</v>
      </c>
      <c r="H784" s="21"/>
      <c r="I784" s="21" t="n">
        <f>4819</f>
        <v>4819.0</v>
      </c>
      <c r="J784" s="21" t="n">
        <f>6780</f>
        <v>6780.0</v>
      </c>
      <c r="K784" s="21" t="n">
        <f>40</f>
        <v>40.0</v>
      </c>
      <c r="L784" s="4" t="s">
        <v>187</v>
      </c>
      <c r="M784" s="22" t="n">
        <f>18836</f>
        <v>18836.0</v>
      </c>
      <c r="N784" s="5" t="s">
        <v>809</v>
      </c>
      <c r="O784" s="23" t="n">
        <f>1923</f>
        <v>1923.0</v>
      </c>
      <c r="P784" s="3" t="s">
        <v>1617</v>
      </c>
      <c r="Q784" s="21"/>
      <c r="R784" s="3" t="s">
        <v>1618</v>
      </c>
      <c r="S784" s="21" t="n">
        <f>24532775298</f>
        <v>2.4532775298E10</v>
      </c>
      <c r="T784" s="21" t="n">
        <f>144301265</f>
        <v>1.44301265E8</v>
      </c>
      <c r="U784" s="5" t="s">
        <v>231</v>
      </c>
      <c r="V784" s="23" t="n">
        <f>70317727500</f>
        <v>7.03177275E10</v>
      </c>
      <c r="W784" s="5" t="s">
        <v>809</v>
      </c>
      <c r="X784" s="23" t="n">
        <f>6985859000</f>
        <v>6.985859E9</v>
      </c>
      <c r="Y784" s="23"/>
      <c r="Z784" s="21" t="str">
        <f>"－"</f>
        <v>－</v>
      </c>
      <c r="AA784" s="21" t="n">
        <f>46636</f>
        <v>46636.0</v>
      </c>
      <c r="AB784" s="4" t="s">
        <v>432</v>
      </c>
      <c r="AC784" s="22" t="n">
        <f>52972</f>
        <v>52972.0</v>
      </c>
      <c r="AD784" s="5" t="s">
        <v>1524</v>
      </c>
      <c r="AE784" s="23" t="n">
        <f>41435</f>
        <v>41435.0</v>
      </c>
    </row>
    <row r="785">
      <c r="A785" s="24" t="s">
        <v>1619</v>
      </c>
      <c r="B785" s="25" t="s">
        <v>1620</v>
      </c>
      <c r="C785" s="26"/>
      <c r="D785" s="27"/>
      <c r="E785" s="28" t="s">
        <v>118</v>
      </c>
      <c r="F785" s="20" t="n">
        <f>45</f>
        <v>45.0</v>
      </c>
      <c r="G785" s="21" t="n">
        <f>436</f>
        <v>436.0</v>
      </c>
      <c r="H785" s="21"/>
      <c r="I785" s="21" t="n">
        <f>434</f>
        <v>434.0</v>
      </c>
      <c r="J785" s="21" t="n">
        <f>10</f>
        <v>10.0</v>
      </c>
      <c r="K785" s="21" t="n">
        <f>10</f>
        <v>10.0</v>
      </c>
      <c r="L785" s="4" t="s">
        <v>1354</v>
      </c>
      <c r="M785" s="22" t="n">
        <f>180</f>
        <v>180.0</v>
      </c>
      <c r="N785" s="5" t="s">
        <v>853</v>
      </c>
      <c r="O785" s="23" t="str">
        <f>"－"</f>
        <v>－</v>
      </c>
      <c r="P785" s="3" t="s">
        <v>1621</v>
      </c>
      <c r="Q785" s="21"/>
      <c r="R785" s="3" t="s">
        <v>1622</v>
      </c>
      <c r="S785" s="21" t="n">
        <f>4666637</f>
        <v>4666637.0</v>
      </c>
      <c r="T785" s="21" t="n">
        <f>4650699</f>
        <v>4650699.0</v>
      </c>
      <c r="U785" s="5" t="s">
        <v>1354</v>
      </c>
      <c r="V785" s="23" t="n">
        <f>84520800</f>
        <v>8.45208E7</v>
      </c>
      <c r="W785" s="5" t="s">
        <v>853</v>
      </c>
      <c r="X785" s="23" t="str">
        <f>"－"</f>
        <v>－</v>
      </c>
      <c r="Y785" s="23"/>
      <c r="Z785" s="21" t="str">
        <f>"－"</f>
        <v>－</v>
      </c>
      <c r="AA785" s="21" t="n">
        <f>2452</f>
        <v>2452.0</v>
      </c>
      <c r="AB785" s="4" t="s">
        <v>1446</v>
      </c>
      <c r="AC785" s="22" t="n">
        <f>2675</f>
        <v>2675.0</v>
      </c>
      <c r="AD785" s="5" t="s">
        <v>709</v>
      </c>
      <c r="AE785" s="23" t="n">
        <f>2422</f>
        <v>2422.0</v>
      </c>
    </row>
    <row r="786">
      <c r="A786" s="24" t="s">
        <v>1619</v>
      </c>
      <c r="B786" s="25" t="s">
        <v>1620</v>
      </c>
      <c r="C786" s="26"/>
      <c r="D786" s="27"/>
      <c r="E786" s="28" t="s">
        <v>124</v>
      </c>
      <c r="F786" s="20" t="n">
        <f>123</f>
        <v>123.0</v>
      </c>
      <c r="G786" s="21" t="n">
        <f>3831</f>
        <v>3831.0</v>
      </c>
      <c r="H786" s="21"/>
      <c r="I786" s="21" t="n">
        <f>3205</f>
        <v>3205.0</v>
      </c>
      <c r="J786" s="21" t="n">
        <f>31</f>
        <v>31.0</v>
      </c>
      <c r="K786" s="21" t="n">
        <f>26</f>
        <v>26.0</v>
      </c>
      <c r="L786" s="4" t="s">
        <v>257</v>
      </c>
      <c r="M786" s="22" t="n">
        <f>409</f>
        <v>409.0</v>
      </c>
      <c r="N786" s="5" t="s">
        <v>279</v>
      </c>
      <c r="O786" s="23" t="str">
        <f>"－"</f>
        <v>－</v>
      </c>
      <c r="P786" s="3" t="s">
        <v>1623</v>
      </c>
      <c r="Q786" s="21"/>
      <c r="R786" s="3" t="s">
        <v>1624</v>
      </c>
      <c r="S786" s="21" t="n">
        <f>25422508</f>
        <v>2.5422508E7</v>
      </c>
      <c r="T786" s="21" t="n">
        <f>22739816</f>
        <v>2.2739816E7</v>
      </c>
      <c r="U786" s="5" t="s">
        <v>167</v>
      </c>
      <c r="V786" s="23" t="n">
        <f>689714784</f>
        <v>6.89714784E8</v>
      </c>
      <c r="W786" s="5" t="s">
        <v>279</v>
      </c>
      <c r="X786" s="23" t="str">
        <f>"－"</f>
        <v>－</v>
      </c>
      <c r="Y786" s="23"/>
      <c r="Z786" s="21" t="str">
        <f>"－"</f>
        <v>－</v>
      </c>
      <c r="AA786" s="21" t="n">
        <f>1101</f>
        <v>1101.0</v>
      </c>
      <c r="AB786" s="4" t="s">
        <v>767</v>
      </c>
      <c r="AC786" s="22" t="n">
        <f>2730</f>
        <v>2730.0</v>
      </c>
      <c r="AD786" s="5" t="s">
        <v>202</v>
      </c>
      <c r="AE786" s="23" t="n">
        <f>933</f>
        <v>933.0</v>
      </c>
    </row>
    <row r="787">
      <c r="A787" s="24" t="s">
        <v>1619</v>
      </c>
      <c r="B787" s="25" t="s">
        <v>1620</v>
      </c>
      <c r="C787" s="26"/>
      <c r="D787" s="27"/>
      <c r="E787" s="28" t="s">
        <v>127</v>
      </c>
      <c r="F787" s="20" t="n">
        <f>122</f>
        <v>122.0</v>
      </c>
      <c r="G787" s="21" t="n">
        <f>4525</f>
        <v>4525.0</v>
      </c>
      <c r="H787" s="21"/>
      <c r="I787" s="21" t="n">
        <f>4069</f>
        <v>4069.0</v>
      </c>
      <c r="J787" s="21" t="n">
        <f>37</f>
        <v>37.0</v>
      </c>
      <c r="K787" s="21" t="n">
        <f>33</f>
        <v>33.0</v>
      </c>
      <c r="L787" s="4" t="s">
        <v>886</v>
      </c>
      <c r="M787" s="22" t="n">
        <f>750</f>
        <v>750.0</v>
      </c>
      <c r="N787" s="5" t="s">
        <v>263</v>
      </c>
      <c r="O787" s="23" t="str">
        <f>"－"</f>
        <v>－</v>
      </c>
      <c r="P787" s="3" t="s">
        <v>1625</v>
      </c>
      <c r="Q787" s="21"/>
      <c r="R787" s="3" t="s">
        <v>1626</v>
      </c>
      <c r="S787" s="21" t="n">
        <f>32093685</f>
        <v>3.2093685E7</v>
      </c>
      <c r="T787" s="21" t="n">
        <f>29008746</f>
        <v>2.9008746E7</v>
      </c>
      <c r="U787" s="5" t="s">
        <v>886</v>
      </c>
      <c r="V787" s="23" t="n">
        <f>611784000</f>
        <v>6.11784E8</v>
      </c>
      <c r="W787" s="5" t="s">
        <v>263</v>
      </c>
      <c r="X787" s="23" t="str">
        <f>"－"</f>
        <v>－</v>
      </c>
      <c r="Y787" s="23"/>
      <c r="Z787" s="21" t="str">
        <f>"－"</f>
        <v>－</v>
      </c>
      <c r="AA787" s="21" t="n">
        <f>2530</f>
        <v>2530.0</v>
      </c>
      <c r="AB787" s="4" t="s">
        <v>129</v>
      </c>
      <c r="AC787" s="22" t="n">
        <f>2843</f>
        <v>2843.0</v>
      </c>
      <c r="AD787" s="5" t="s">
        <v>856</v>
      </c>
      <c r="AE787" s="23" t="n">
        <f>1132</f>
        <v>1132.0</v>
      </c>
    </row>
    <row r="788">
      <c r="A788" s="24" t="s">
        <v>1619</v>
      </c>
      <c r="B788" s="25" t="s">
        <v>1620</v>
      </c>
      <c r="C788" s="26"/>
      <c r="D788" s="27"/>
      <c r="E788" s="28" t="s">
        <v>133</v>
      </c>
      <c r="F788" s="20" t="n">
        <f>122</f>
        <v>122.0</v>
      </c>
      <c r="G788" s="21" t="n">
        <f>4865</f>
        <v>4865.0</v>
      </c>
      <c r="H788" s="21"/>
      <c r="I788" s="21" t="n">
        <f>4255</f>
        <v>4255.0</v>
      </c>
      <c r="J788" s="21" t="n">
        <f>40</f>
        <v>40.0</v>
      </c>
      <c r="K788" s="21" t="n">
        <f>35</f>
        <v>35.0</v>
      </c>
      <c r="L788" s="4" t="s">
        <v>828</v>
      </c>
      <c r="M788" s="22" t="n">
        <f>590</f>
        <v>590.0</v>
      </c>
      <c r="N788" s="5" t="s">
        <v>519</v>
      </c>
      <c r="O788" s="23" t="str">
        <f>"－"</f>
        <v>－</v>
      </c>
      <c r="P788" s="3" t="s">
        <v>1627</v>
      </c>
      <c r="Q788" s="21"/>
      <c r="R788" s="3" t="s">
        <v>1628</v>
      </c>
      <c r="S788" s="21" t="n">
        <f>59630387</f>
        <v>5.9630387E7</v>
      </c>
      <c r="T788" s="21" t="n">
        <f>52806025</f>
        <v>5.2806025E7</v>
      </c>
      <c r="U788" s="5" t="s">
        <v>828</v>
      </c>
      <c r="V788" s="23" t="n">
        <f>644520960</f>
        <v>6.4452096E8</v>
      </c>
      <c r="W788" s="5" t="s">
        <v>519</v>
      </c>
      <c r="X788" s="23" t="str">
        <f>"－"</f>
        <v>－</v>
      </c>
      <c r="Y788" s="23"/>
      <c r="Z788" s="21" t="str">
        <f>"－"</f>
        <v>－</v>
      </c>
      <c r="AA788" s="21" t="n">
        <f>2709</f>
        <v>2709.0</v>
      </c>
      <c r="AB788" s="4" t="s">
        <v>541</v>
      </c>
      <c r="AC788" s="22" t="n">
        <f>3396</f>
        <v>3396.0</v>
      </c>
      <c r="AD788" s="5" t="s">
        <v>260</v>
      </c>
      <c r="AE788" s="23" t="n">
        <f>2134</f>
        <v>2134.0</v>
      </c>
    </row>
    <row r="789">
      <c r="A789" s="24" t="s">
        <v>1619</v>
      </c>
      <c r="B789" s="25" t="s">
        <v>1620</v>
      </c>
      <c r="C789" s="26"/>
      <c r="D789" s="27"/>
      <c r="E789" s="28" t="s">
        <v>139</v>
      </c>
      <c r="F789" s="20" t="n">
        <f>123</f>
        <v>123.0</v>
      </c>
      <c r="G789" s="21" t="n">
        <f>6292</f>
        <v>6292.0</v>
      </c>
      <c r="H789" s="21"/>
      <c r="I789" s="21" t="n">
        <f>5547</f>
        <v>5547.0</v>
      </c>
      <c r="J789" s="21" t="n">
        <f>51</f>
        <v>51.0</v>
      </c>
      <c r="K789" s="21" t="n">
        <f>45</f>
        <v>45.0</v>
      </c>
      <c r="L789" s="4" t="s">
        <v>174</v>
      </c>
      <c r="M789" s="22" t="n">
        <f>1572</f>
        <v>1572.0</v>
      </c>
      <c r="N789" s="5" t="s">
        <v>335</v>
      </c>
      <c r="O789" s="23" t="str">
        <f>"－"</f>
        <v>－</v>
      </c>
      <c r="P789" s="3" t="s">
        <v>1629</v>
      </c>
      <c r="Q789" s="21"/>
      <c r="R789" s="3" t="s">
        <v>1630</v>
      </c>
      <c r="S789" s="21" t="n">
        <f>128535715</f>
        <v>1.28535715E8</v>
      </c>
      <c r="T789" s="21" t="n">
        <f>113436249</f>
        <v>1.13436249E8</v>
      </c>
      <c r="U789" s="5" t="s">
        <v>174</v>
      </c>
      <c r="V789" s="23" t="n">
        <f>3665904960</f>
        <v>3.66590496E9</v>
      </c>
      <c r="W789" s="5" t="s">
        <v>335</v>
      </c>
      <c r="X789" s="23" t="str">
        <f>"－"</f>
        <v>－</v>
      </c>
      <c r="Y789" s="23"/>
      <c r="Z789" s="21" t="n">
        <f>10</f>
        <v>10.0</v>
      </c>
      <c r="AA789" s="21" t="n">
        <f>3136</f>
        <v>3136.0</v>
      </c>
      <c r="AB789" s="4" t="s">
        <v>1148</v>
      </c>
      <c r="AC789" s="22" t="n">
        <f>3359</f>
        <v>3359.0</v>
      </c>
      <c r="AD789" s="5" t="s">
        <v>751</v>
      </c>
      <c r="AE789" s="23" t="n">
        <f>1293</f>
        <v>1293.0</v>
      </c>
    </row>
    <row r="790">
      <c r="A790" s="24" t="s">
        <v>1619</v>
      </c>
      <c r="B790" s="25" t="s">
        <v>1620</v>
      </c>
      <c r="C790" s="26"/>
      <c r="D790" s="27"/>
      <c r="E790" s="28" t="s">
        <v>145</v>
      </c>
      <c r="F790" s="20" t="n">
        <f>122</f>
        <v>122.0</v>
      </c>
      <c r="G790" s="21" t="n">
        <f>7609</f>
        <v>7609.0</v>
      </c>
      <c r="H790" s="21"/>
      <c r="I790" s="21" t="n">
        <f>6890</f>
        <v>6890.0</v>
      </c>
      <c r="J790" s="21" t="n">
        <f>62</f>
        <v>62.0</v>
      </c>
      <c r="K790" s="21" t="n">
        <f>56</f>
        <v>56.0</v>
      </c>
      <c r="L790" s="4" t="s">
        <v>1144</v>
      </c>
      <c r="M790" s="22" t="n">
        <f>905</f>
        <v>905.0</v>
      </c>
      <c r="N790" s="5" t="s">
        <v>82</v>
      </c>
      <c r="O790" s="23" t="str">
        <f>"－"</f>
        <v>－</v>
      </c>
      <c r="P790" s="3" t="s">
        <v>1631</v>
      </c>
      <c r="Q790" s="21"/>
      <c r="R790" s="3" t="s">
        <v>1632</v>
      </c>
      <c r="S790" s="21" t="n">
        <f>119960707</f>
        <v>1.19960707E8</v>
      </c>
      <c r="T790" s="21" t="n">
        <f>110807076</f>
        <v>1.10807076E8</v>
      </c>
      <c r="U790" s="5" t="s">
        <v>1144</v>
      </c>
      <c r="V790" s="23" t="n">
        <f>1978406400</f>
        <v>1.9784064E9</v>
      </c>
      <c r="W790" s="5" t="s">
        <v>82</v>
      </c>
      <c r="X790" s="23" t="str">
        <f>"－"</f>
        <v>－</v>
      </c>
      <c r="Y790" s="23"/>
      <c r="Z790" s="21" t="str">
        <f>"－"</f>
        <v>－</v>
      </c>
      <c r="AA790" s="21" t="n">
        <f>2903</f>
        <v>2903.0</v>
      </c>
      <c r="AB790" s="4" t="s">
        <v>293</v>
      </c>
      <c r="AC790" s="22" t="n">
        <f>4228</f>
        <v>4228.0</v>
      </c>
      <c r="AD790" s="5" t="s">
        <v>323</v>
      </c>
      <c r="AE790" s="23" t="n">
        <f>2470</f>
        <v>2470.0</v>
      </c>
    </row>
    <row r="791">
      <c r="A791" s="24" t="s">
        <v>1619</v>
      </c>
      <c r="B791" s="25" t="s">
        <v>1620</v>
      </c>
      <c r="C791" s="26"/>
      <c r="D791" s="27"/>
      <c r="E791" s="28" t="s">
        <v>150</v>
      </c>
      <c r="F791" s="20" t="n">
        <f>124</f>
        <v>124.0</v>
      </c>
      <c r="G791" s="21" t="n">
        <f>4475</f>
        <v>4475.0</v>
      </c>
      <c r="H791" s="21"/>
      <c r="I791" s="21" t="n">
        <f>2982</f>
        <v>2982.0</v>
      </c>
      <c r="J791" s="21" t="n">
        <f>36</f>
        <v>36.0</v>
      </c>
      <c r="K791" s="21" t="n">
        <f>24</f>
        <v>24.0</v>
      </c>
      <c r="L791" s="4" t="s">
        <v>537</v>
      </c>
      <c r="M791" s="22" t="n">
        <f>820</f>
        <v>820.0</v>
      </c>
      <c r="N791" s="5" t="s">
        <v>510</v>
      </c>
      <c r="O791" s="23" t="str">
        <f>"－"</f>
        <v>－</v>
      </c>
      <c r="P791" s="3" t="s">
        <v>1633</v>
      </c>
      <c r="Q791" s="21"/>
      <c r="R791" s="3" t="s">
        <v>1634</v>
      </c>
      <c r="S791" s="21" t="n">
        <f>41205609</f>
        <v>4.1205609E7</v>
      </c>
      <c r="T791" s="21" t="n">
        <f>28693562</f>
        <v>2.8693562E7</v>
      </c>
      <c r="U791" s="5" t="s">
        <v>537</v>
      </c>
      <c r="V791" s="23" t="n">
        <f>971032800</f>
        <v>9.710328E8</v>
      </c>
      <c r="W791" s="5" t="s">
        <v>510</v>
      </c>
      <c r="X791" s="23" t="str">
        <f>"－"</f>
        <v>－</v>
      </c>
      <c r="Y791" s="23"/>
      <c r="Z791" s="21" t="str">
        <f>"－"</f>
        <v>－</v>
      </c>
      <c r="AA791" s="21" t="n">
        <f>3205</f>
        <v>3205.0</v>
      </c>
      <c r="AB791" s="4" t="s">
        <v>594</v>
      </c>
      <c r="AC791" s="22" t="n">
        <f>3945</f>
        <v>3945.0</v>
      </c>
      <c r="AD791" s="5" t="s">
        <v>265</v>
      </c>
      <c r="AE791" s="23" t="n">
        <f>2380</f>
        <v>2380.0</v>
      </c>
    </row>
    <row r="792">
      <c r="A792" s="24" t="s">
        <v>1619</v>
      </c>
      <c r="B792" s="25" t="s">
        <v>1620</v>
      </c>
      <c r="C792" s="26"/>
      <c r="D792" s="27"/>
      <c r="E792" s="28" t="s">
        <v>154</v>
      </c>
      <c r="F792" s="20" t="n">
        <f>120</f>
        <v>120.0</v>
      </c>
      <c r="G792" s="21" t="n">
        <f>1615</f>
        <v>1615.0</v>
      </c>
      <c r="H792" s="21"/>
      <c r="I792" s="21" t="n">
        <f>733</f>
        <v>733.0</v>
      </c>
      <c r="J792" s="21" t="n">
        <f>13</f>
        <v>13.0</v>
      </c>
      <c r="K792" s="21" t="n">
        <f>6</f>
        <v>6.0</v>
      </c>
      <c r="L792" s="4" t="s">
        <v>504</v>
      </c>
      <c r="M792" s="22" t="n">
        <f>280</f>
        <v>280.0</v>
      </c>
      <c r="N792" s="5" t="s">
        <v>268</v>
      </c>
      <c r="O792" s="23" t="str">
        <f>"－"</f>
        <v>－</v>
      </c>
      <c r="P792" s="3" t="s">
        <v>1635</v>
      </c>
      <c r="Q792" s="21"/>
      <c r="R792" s="3" t="s">
        <v>1636</v>
      </c>
      <c r="S792" s="21" t="n">
        <f>14936279</f>
        <v>1.4936279E7</v>
      </c>
      <c r="T792" s="21" t="n">
        <f>7230083</f>
        <v>7230083.0</v>
      </c>
      <c r="U792" s="5" t="s">
        <v>504</v>
      </c>
      <c r="V792" s="23" t="n">
        <f>342720000</f>
        <v>3.4272E8</v>
      </c>
      <c r="W792" s="5" t="s">
        <v>268</v>
      </c>
      <c r="X792" s="23" t="str">
        <f>"－"</f>
        <v>－</v>
      </c>
      <c r="Y792" s="23"/>
      <c r="Z792" s="21" t="str">
        <f>"－"</f>
        <v>－</v>
      </c>
      <c r="AA792" s="21" t="n">
        <f>936</f>
        <v>936.0</v>
      </c>
      <c r="AB792" s="4" t="s">
        <v>504</v>
      </c>
      <c r="AC792" s="22" t="n">
        <f>3209</f>
        <v>3209.0</v>
      </c>
      <c r="AD792" s="5" t="s">
        <v>658</v>
      </c>
      <c r="AE792" s="23" t="n">
        <f>866</f>
        <v>866.0</v>
      </c>
    </row>
    <row r="793">
      <c r="A793" s="24" t="s">
        <v>1637</v>
      </c>
      <c r="B793" s="25" t="s">
        <v>1638</v>
      </c>
      <c r="C793" s="26"/>
      <c r="D793" s="27"/>
      <c r="E793" s="28" t="s">
        <v>118</v>
      </c>
      <c r="F793" s="20" t="n">
        <f>45</f>
        <v>45.0</v>
      </c>
      <c r="G793" s="21" t="n">
        <f>5</f>
        <v>5.0</v>
      </c>
      <c r="H793" s="21"/>
      <c r="I793" s="21" t="str">
        <f>"－"</f>
        <v>－</v>
      </c>
      <c r="J793" s="21" t="n">
        <f>0</f>
        <v>0.0</v>
      </c>
      <c r="K793" s="21" t="str">
        <f>"－"</f>
        <v>－</v>
      </c>
      <c r="L793" s="4" t="s">
        <v>709</v>
      </c>
      <c r="M793" s="22" t="n">
        <f>5</f>
        <v>5.0</v>
      </c>
      <c r="N793" s="5" t="s">
        <v>853</v>
      </c>
      <c r="O793" s="23" t="str">
        <f>"－"</f>
        <v>－</v>
      </c>
      <c r="P793" s="3" t="s">
        <v>1639</v>
      </c>
      <c r="Q793" s="21"/>
      <c r="R793" s="3" t="s">
        <v>247</v>
      </c>
      <c r="S793" s="21" t="n">
        <f>62480</f>
        <v>62480.0</v>
      </c>
      <c r="T793" s="21" t="str">
        <f>"－"</f>
        <v>－</v>
      </c>
      <c r="U793" s="5" t="s">
        <v>709</v>
      </c>
      <c r="V793" s="23" t="n">
        <f>2811600</f>
        <v>2811600.0</v>
      </c>
      <c r="W793" s="5" t="s">
        <v>853</v>
      </c>
      <c r="X793" s="23" t="str">
        <f>"－"</f>
        <v>－</v>
      </c>
      <c r="Y793" s="23"/>
      <c r="Z793" s="21" t="str">
        <f>"－"</f>
        <v>－</v>
      </c>
      <c r="AA793" s="21" t="n">
        <f>75</f>
        <v>75.0</v>
      </c>
      <c r="AB793" s="4" t="s">
        <v>853</v>
      </c>
      <c r="AC793" s="22" t="n">
        <f>90</f>
        <v>90.0</v>
      </c>
      <c r="AD793" s="5" t="s">
        <v>709</v>
      </c>
      <c r="AE793" s="23" t="n">
        <f>75</f>
        <v>75.0</v>
      </c>
    </row>
    <row r="794">
      <c r="A794" s="24" t="s">
        <v>1637</v>
      </c>
      <c r="B794" s="25" t="s">
        <v>1638</v>
      </c>
      <c r="C794" s="26"/>
      <c r="D794" s="27"/>
      <c r="E794" s="28" t="s">
        <v>124</v>
      </c>
      <c r="F794" s="20" t="n">
        <f>123</f>
        <v>123.0</v>
      </c>
      <c r="G794" s="21" t="n">
        <f>943</f>
        <v>943.0</v>
      </c>
      <c r="H794" s="21"/>
      <c r="I794" s="21" t="n">
        <f>856</f>
        <v>856.0</v>
      </c>
      <c r="J794" s="21" t="n">
        <f>8</f>
        <v>8.0</v>
      </c>
      <c r="K794" s="21" t="n">
        <f>7</f>
        <v>7.0</v>
      </c>
      <c r="L794" s="4" t="s">
        <v>330</v>
      </c>
      <c r="M794" s="22" t="n">
        <f>216</f>
        <v>216.0</v>
      </c>
      <c r="N794" s="5" t="s">
        <v>279</v>
      </c>
      <c r="O794" s="23" t="str">
        <f>"－"</f>
        <v>－</v>
      </c>
      <c r="P794" s="3" t="s">
        <v>1640</v>
      </c>
      <c r="Q794" s="21"/>
      <c r="R794" s="3" t="s">
        <v>1641</v>
      </c>
      <c r="S794" s="21" t="n">
        <f>5265636</f>
        <v>5265636.0</v>
      </c>
      <c r="T794" s="21" t="n">
        <f>4697822</f>
        <v>4697822.0</v>
      </c>
      <c r="U794" s="5" t="s">
        <v>330</v>
      </c>
      <c r="V794" s="23" t="n">
        <f>126144000</f>
        <v>1.26144E8</v>
      </c>
      <c r="W794" s="5" t="s">
        <v>279</v>
      </c>
      <c r="X794" s="23" t="str">
        <f>"－"</f>
        <v>－</v>
      </c>
      <c r="Y794" s="23"/>
      <c r="Z794" s="21" t="str">
        <f>"－"</f>
        <v>－</v>
      </c>
      <c r="AA794" s="21" t="n">
        <f>336</f>
        <v>336.0</v>
      </c>
      <c r="AB794" s="4" t="s">
        <v>1642</v>
      </c>
      <c r="AC794" s="22" t="n">
        <f>415</f>
        <v>415.0</v>
      </c>
      <c r="AD794" s="5" t="s">
        <v>268</v>
      </c>
      <c r="AE794" s="23" t="n">
        <f>60</f>
        <v>60.0</v>
      </c>
    </row>
    <row r="795">
      <c r="A795" s="24" t="s">
        <v>1637</v>
      </c>
      <c r="B795" s="25" t="s">
        <v>1638</v>
      </c>
      <c r="C795" s="26"/>
      <c r="D795" s="27"/>
      <c r="E795" s="28" t="s">
        <v>127</v>
      </c>
      <c r="F795" s="20" t="n">
        <f>122</f>
        <v>122.0</v>
      </c>
      <c r="G795" s="21" t="n">
        <f>1496</f>
        <v>1496.0</v>
      </c>
      <c r="H795" s="21"/>
      <c r="I795" s="21" t="n">
        <f>1009</f>
        <v>1009.0</v>
      </c>
      <c r="J795" s="21" t="n">
        <f>12</f>
        <v>12.0</v>
      </c>
      <c r="K795" s="21" t="n">
        <f>8</f>
        <v>8.0</v>
      </c>
      <c r="L795" s="4" t="s">
        <v>1008</v>
      </c>
      <c r="M795" s="22" t="n">
        <f>300</f>
        <v>300.0</v>
      </c>
      <c r="N795" s="5" t="s">
        <v>335</v>
      </c>
      <c r="O795" s="23" t="str">
        <f>"－"</f>
        <v>－</v>
      </c>
      <c r="P795" s="3" t="s">
        <v>1643</v>
      </c>
      <c r="Q795" s="21"/>
      <c r="R795" s="3" t="s">
        <v>1644</v>
      </c>
      <c r="S795" s="21" t="n">
        <f>10165315</f>
        <v>1.0165315E7</v>
      </c>
      <c r="T795" s="21" t="n">
        <f>7361874</f>
        <v>7361874.0</v>
      </c>
      <c r="U795" s="5" t="s">
        <v>1133</v>
      </c>
      <c r="V795" s="23" t="n">
        <f>298080000</f>
        <v>2.9808E8</v>
      </c>
      <c r="W795" s="5" t="s">
        <v>335</v>
      </c>
      <c r="X795" s="23" t="str">
        <f>"－"</f>
        <v>－</v>
      </c>
      <c r="Y795" s="23"/>
      <c r="Z795" s="21" t="str">
        <f>"－"</f>
        <v>－</v>
      </c>
      <c r="AA795" s="21" t="n">
        <f>888</f>
        <v>888.0</v>
      </c>
      <c r="AB795" s="4" t="s">
        <v>1133</v>
      </c>
      <c r="AC795" s="22" t="n">
        <f>1392</f>
        <v>1392.0</v>
      </c>
      <c r="AD795" s="5" t="s">
        <v>263</v>
      </c>
      <c r="AE795" s="23" t="n">
        <f>336</f>
        <v>336.0</v>
      </c>
    </row>
    <row r="796">
      <c r="A796" s="24" t="s">
        <v>1637</v>
      </c>
      <c r="B796" s="25" t="s">
        <v>1638</v>
      </c>
      <c r="C796" s="26"/>
      <c r="D796" s="27"/>
      <c r="E796" s="28" t="s">
        <v>133</v>
      </c>
      <c r="F796" s="20" t="n">
        <f>122</f>
        <v>122.0</v>
      </c>
      <c r="G796" s="21" t="n">
        <f>2025</f>
        <v>2025.0</v>
      </c>
      <c r="H796" s="21"/>
      <c r="I796" s="21" t="n">
        <f>1862</f>
        <v>1862.0</v>
      </c>
      <c r="J796" s="21" t="n">
        <f>17</f>
        <v>17.0</v>
      </c>
      <c r="K796" s="21" t="n">
        <f>15</f>
        <v>15.0</v>
      </c>
      <c r="L796" s="4" t="s">
        <v>1140</v>
      </c>
      <c r="M796" s="22" t="n">
        <f>360</f>
        <v>360.0</v>
      </c>
      <c r="N796" s="5" t="s">
        <v>279</v>
      </c>
      <c r="O796" s="23" t="str">
        <f>"－"</f>
        <v>－</v>
      </c>
      <c r="P796" s="3" t="s">
        <v>1645</v>
      </c>
      <c r="Q796" s="21"/>
      <c r="R796" s="3" t="s">
        <v>1646</v>
      </c>
      <c r="S796" s="21" t="n">
        <f>25516111</f>
        <v>2.5516111E7</v>
      </c>
      <c r="T796" s="21" t="n">
        <f>23456001</f>
        <v>2.3456001E7</v>
      </c>
      <c r="U796" s="5" t="s">
        <v>644</v>
      </c>
      <c r="V796" s="23" t="n">
        <f>413100000</f>
        <v>4.131E8</v>
      </c>
      <c r="W796" s="5" t="s">
        <v>279</v>
      </c>
      <c r="X796" s="23" t="str">
        <f>"－"</f>
        <v>－</v>
      </c>
      <c r="Y796" s="23"/>
      <c r="Z796" s="21" t="str">
        <f>"－"</f>
        <v>－</v>
      </c>
      <c r="AA796" s="21" t="n">
        <f>743</f>
        <v>743.0</v>
      </c>
      <c r="AB796" s="4" t="s">
        <v>279</v>
      </c>
      <c r="AC796" s="22" t="n">
        <f>888</f>
        <v>888.0</v>
      </c>
      <c r="AD796" s="5" t="s">
        <v>1015</v>
      </c>
      <c r="AE796" s="23" t="n">
        <f>372</f>
        <v>372.0</v>
      </c>
    </row>
    <row r="797">
      <c r="A797" s="24" t="s">
        <v>1637</v>
      </c>
      <c r="B797" s="25" t="s">
        <v>1638</v>
      </c>
      <c r="C797" s="26"/>
      <c r="D797" s="27"/>
      <c r="E797" s="28" t="s">
        <v>139</v>
      </c>
      <c r="F797" s="20" t="n">
        <f>123</f>
        <v>123.0</v>
      </c>
      <c r="G797" s="21" t="n">
        <f>2934</f>
        <v>2934.0</v>
      </c>
      <c r="H797" s="21"/>
      <c r="I797" s="21" t="n">
        <f>2731</f>
        <v>2731.0</v>
      </c>
      <c r="J797" s="21" t="n">
        <f>24</f>
        <v>24.0</v>
      </c>
      <c r="K797" s="21" t="n">
        <f>22</f>
        <v>22.0</v>
      </c>
      <c r="L797" s="4" t="s">
        <v>751</v>
      </c>
      <c r="M797" s="22" t="n">
        <f>550</f>
        <v>550.0</v>
      </c>
      <c r="N797" s="5" t="s">
        <v>335</v>
      </c>
      <c r="O797" s="23" t="str">
        <f>"－"</f>
        <v>－</v>
      </c>
      <c r="P797" s="3" t="s">
        <v>1647</v>
      </c>
      <c r="Q797" s="21"/>
      <c r="R797" s="3" t="s">
        <v>1648</v>
      </c>
      <c r="S797" s="21" t="n">
        <f>55567438</f>
        <v>5.5567438E7</v>
      </c>
      <c r="T797" s="21" t="n">
        <f>52199675</f>
        <v>5.2199675E7</v>
      </c>
      <c r="U797" s="5" t="s">
        <v>751</v>
      </c>
      <c r="V797" s="23" t="n">
        <f>1009800000</f>
        <v>1.0098E9</v>
      </c>
      <c r="W797" s="5" t="s">
        <v>335</v>
      </c>
      <c r="X797" s="23" t="str">
        <f>"－"</f>
        <v>－</v>
      </c>
      <c r="Y797" s="23"/>
      <c r="Z797" s="21" t="str">
        <f>"－"</f>
        <v>－</v>
      </c>
      <c r="AA797" s="21" t="n">
        <f>1333</f>
        <v>1333.0</v>
      </c>
      <c r="AB797" s="4" t="s">
        <v>972</v>
      </c>
      <c r="AC797" s="22" t="n">
        <f>1436</f>
        <v>1436.0</v>
      </c>
      <c r="AD797" s="5" t="s">
        <v>751</v>
      </c>
      <c r="AE797" s="23" t="n">
        <f>470</f>
        <v>470.0</v>
      </c>
    </row>
    <row r="798">
      <c r="A798" s="24" t="s">
        <v>1637</v>
      </c>
      <c r="B798" s="25" t="s">
        <v>1638</v>
      </c>
      <c r="C798" s="26"/>
      <c r="D798" s="27"/>
      <c r="E798" s="28" t="s">
        <v>145</v>
      </c>
      <c r="F798" s="20" t="n">
        <f>122</f>
        <v>122.0</v>
      </c>
      <c r="G798" s="21" t="n">
        <f>1891</f>
        <v>1891.0</v>
      </c>
      <c r="H798" s="21"/>
      <c r="I798" s="21" t="n">
        <f>1787</f>
        <v>1787.0</v>
      </c>
      <c r="J798" s="21" t="n">
        <f>16</f>
        <v>16.0</v>
      </c>
      <c r="K798" s="21" t="n">
        <f>15</f>
        <v>15.0</v>
      </c>
      <c r="L798" s="4" t="s">
        <v>117</v>
      </c>
      <c r="M798" s="22" t="n">
        <f>600</f>
        <v>600.0</v>
      </c>
      <c r="N798" s="5" t="s">
        <v>82</v>
      </c>
      <c r="O798" s="23" t="str">
        <f>"－"</f>
        <v>－</v>
      </c>
      <c r="P798" s="3" t="s">
        <v>1649</v>
      </c>
      <c r="Q798" s="21"/>
      <c r="R798" s="3" t="s">
        <v>1650</v>
      </c>
      <c r="S798" s="21" t="n">
        <f>25876897</f>
        <v>2.5876897E7</v>
      </c>
      <c r="T798" s="21" t="n">
        <f>24336759</f>
        <v>2.4336759E7</v>
      </c>
      <c r="U798" s="5" t="s">
        <v>117</v>
      </c>
      <c r="V798" s="23" t="n">
        <f>1093608000</f>
        <v>1.093608E9</v>
      </c>
      <c r="W798" s="5" t="s">
        <v>82</v>
      </c>
      <c r="X798" s="23" t="str">
        <f>"－"</f>
        <v>－</v>
      </c>
      <c r="Y798" s="23"/>
      <c r="Z798" s="21" t="str">
        <f>"－"</f>
        <v>－</v>
      </c>
      <c r="AA798" s="21" t="n">
        <f>1058</f>
        <v>1058.0</v>
      </c>
      <c r="AB798" s="4" t="s">
        <v>134</v>
      </c>
      <c r="AC798" s="22" t="n">
        <f>1853</f>
        <v>1853.0</v>
      </c>
      <c r="AD798" s="5" t="s">
        <v>202</v>
      </c>
      <c r="AE798" s="23" t="n">
        <f>864</f>
        <v>864.0</v>
      </c>
    </row>
    <row r="799">
      <c r="A799" s="24" t="s">
        <v>1637</v>
      </c>
      <c r="B799" s="25" t="s">
        <v>1638</v>
      </c>
      <c r="C799" s="26"/>
      <c r="D799" s="27"/>
      <c r="E799" s="28" t="s">
        <v>150</v>
      </c>
      <c r="F799" s="20" t="n">
        <f>124</f>
        <v>124.0</v>
      </c>
      <c r="G799" s="21" t="n">
        <f>1250</f>
        <v>1250.0</v>
      </c>
      <c r="H799" s="21"/>
      <c r="I799" s="21" t="n">
        <f>882</f>
        <v>882.0</v>
      </c>
      <c r="J799" s="21" t="n">
        <f>10</f>
        <v>10.0</v>
      </c>
      <c r="K799" s="21" t="n">
        <f>7</f>
        <v>7.0</v>
      </c>
      <c r="L799" s="4" t="s">
        <v>675</v>
      </c>
      <c r="M799" s="22" t="n">
        <f>360</f>
        <v>360.0</v>
      </c>
      <c r="N799" s="5" t="s">
        <v>751</v>
      </c>
      <c r="O799" s="23" t="str">
        <f>"－"</f>
        <v>－</v>
      </c>
      <c r="P799" s="3" t="s">
        <v>1651</v>
      </c>
      <c r="Q799" s="21"/>
      <c r="R799" s="3" t="s">
        <v>1652</v>
      </c>
      <c r="S799" s="21" t="n">
        <f>8721747</f>
        <v>8721747.0</v>
      </c>
      <c r="T799" s="21" t="n">
        <f>6432122</f>
        <v>6432122.0</v>
      </c>
      <c r="U799" s="5" t="s">
        <v>675</v>
      </c>
      <c r="V799" s="23" t="n">
        <f>326764800</f>
        <v>3.267648E8</v>
      </c>
      <c r="W799" s="5" t="s">
        <v>751</v>
      </c>
      <c r="X799" s="23" t="str">
        <f>"－"</f>
        <v>－</v>
      </c>
      <c r="Y799" s="23"/>
      <c r="Z799" s="21" t="str">
        <f>"－"</f>
        <v>－</v>
      </c>
      <c r="AA799" s="21" t="n">
        <f>886</f>
        <v>886.0</v>
      </c>
      <c r="AB799" s="4" t="s">
        <v>1108</v>
      </c>
      <c r="AC799" s="22" t="n">
        <f>1257</f>
        <v>1257.0</v>
      </c>
      <c r="AD799" s="5" t="s">
        <v>302</v>
      </c>
      <c r="AE799" s="23" t="n">
        <f>861</f>
        <v>861.0</v>
      </c>
    </row>
    <row r="800">
      <c r="A800" s="24" t="s">
        <v>1637</v>
      </c>
      <c r="B800" s="25" t="s">
        <v>1638</v>
      </c>
      <c r="C800" s="26"/>
      <c r="D800" s="27"/>
      <c r="E800" s="28" t="s">
        <v>154</v>
      </c>
      <c r="F800" s="20" t="n">
        <f>120</f>
        <v>120.0</v>
      </c>
      <c r="G800" s="21" t="n">
        <f>617</f>
        <v>617.0</v>
      </c>
      <c r="H800" s="21"/>
      <c r="I800" s="21" t="n">
        <f>153</f>
        <v>153.0</v>
      </c>
      <c r="J800" s="21" t="n">
        <f>5</f>
        <v>5.0</v>
      </c>
      <c r="K800" s="21" t="n">
        <f>1</f>
        <v>1.0</v>
      </c>
      <c r="L800" s="4" t="s">
        <v>175</v>
      </c>
      <c r="M800" s="22" t="n">
        <f>110</f>
        <v>110.0</v>
      </c>
      <c r="N800" s="5" t="s">
        <v>268</v>
      </c>
      <c r="O800" s="23" t="str">
        <f>"－"</f>
        <v>－</v>
      </c>
      <c r="P800" s="3" t="s">
        <v>1653</v>
      </c>
      <c r="Q800" s="21"/>
      <c r="R800" s="3" t="s">
        <v>1654</v>
      </c>
      <c r="S800" s="21" t="n">
        <f>4348862</f>
        <v>4348862.0</v>
      </c>
      <c r="T800" s="21" t="n">
        <f>1272830</f>
        <v>1272830.0</v>
      </c>
      <c r="U800" s="5" t="s">
        <v>175</v>
      </c>
      <c r="V800" s="23" t="n">
        <f>106764000</f>
        <v>1.06764E8</v>
      </c>
      <c r="W800" s="5" t="s">
        <v>268</v>
      </c>
      <c r="X800" s="23" t="str">
        <f>"－"</f>
        <v>－</v>
      </c>
      <c r="Y800" s="23"/>
      <c r="Z800" s="21" t="str">
        <f>"－"</f>
        <v>－</v>
      </c>
      <c r="AA800" s="21" t="n">
        <f>136</f>
        <v>136.0</v>
      </c>
      <c r="AB800" s="4" t="s">
        <v>268</v>
      </c>
      <c r="AC800" s="22" t="n">
        <f>886</f>
        <v>886.0</v>
      </c>
      <c r="AD800" s="5" t="s">
        <v>658</v>
      </c>
      <c r="AE800" s="23" t="n">
        <f>82</f>
        <v>82.0</v>
      </c>
    </row>
    <row r="801">
      <c r="A801" s="24" t="s">
        <v>1655</v>
      </c>
      <c r="B801" s="25" t="s">
        <v>1656</v>
      </c>
      <c r="C801" s="26"/>
      <c r="D801" s="27"/>
      <c r="E801" s="28" t="s">
        <v>118</v>
      </c>
      <c r="F801" s="20" t="n">
        <f>45</f>
        <v>45.0</v>
      </c>
      <c r="G801" s="21" t="n">
        <f>467</f>
        <v>467.0</v>
      </c>
      <c r="H801" s="21"/>
      <c r="I801" s="21" t="n">
        <f>310</f>
        <v>310.0</v>
      </c>
      <c r="J801" s="21" t="n">
        <f>10</f>
        <v>10.0</v>
      </c>
      <c r="K801" s="21" t="n">
        <f>7</f>
        <v>7.0</v>
      </c>
      <c r="L801" s="4" t="s">
        <v>183</v>
      </c>
      <c r="M801" s="22" t="n">
        <f>200</f>
        <v>200.0</v>
      </c>
      <c r="N801" s="5" t="s">
        <v>853</v>
      </c>
      <c r="O801" s="23" t="str">
        <f>"－"</f>
        <v>－</v>
      </c>
      <c r="P801" s="3" t="s">
        <v>1657</v>
      </c>
      <c r="Q801" s="21"/>
      <c r="R801" s="3" t="s">
        <v>1658</v>
      </c>
      <c r="S801" s="21" t="n">
        <f>2303128</f>
        <v>2303128.0</v>
      </c>
      <c r="T801" s="21" t="n">
        <f>1498400</f>
        <v>1498400.0</v>
      </c>
      <c r="U801" s="5" t="s">
        <v>183</v>
      </c>
      <c r="V801" s="23" t="n">
        <f>49440000</f>
        <v>4.944E7</v>
      </c>
      <c r="W801" s="5" t="s">
        <v>853</v>
      </c>
      <c r="X801" s="23" t="str">
        <f>"－"</f>
        <v>－</v>
      </c>
      <c r="Y801" s="23"/>
      <c r="Z801" s="21" t="str">
        <f>"－"</f>
        <v>－</v>
      </c>
      <c r="AA801" s="21" t="n">
        <f>790</f>
        <v>790.0</v>
      </c>
      <c r="AB801" s="4" t="s">
        <v>100</v>
      </c>
      <c r="AC801" s="22" t="n">
        <f>841</f>
        <v>841.0</v>
      </c>
      <c r="AD801" s="5" t="s">
        <v>709</v>
      </c>
      <c r="AE801" s="23" t="n">
        <f>640</f>
        <v>640.0</v>
      </c>
    </row>
    <row r="802">
      <c r="A802" s="24" t="s">
        <v>1655</v>
      </c>
      <c r="B802" s="25" t="s">
        <v>1656</v>
      </c>
      <c r="C802" s="26"/>
      <c r="D802" s="27"/>
      <c r="E802" s="28" t="s">
        <v>124</v>
      </c>
      <c r="F802" s="20" t="n">
        <f>123</f>
        <v>123.0</v>
      </c>
      <c r="G802" s="21" t="n">
        <f>1764</f>
        <v>1764.0</v>
      </c>
      <c r="H802" s="21"/>
      <c r="I802" s="21" t="n">
        <f>1650</f>
        <v>1650.0</v>
      </c>
      <c r="J802" s="21" t="n">
        <f>14</f>
        <v>14.0</v>
      </c>
      <c r="K802" s="21" t="n">
        <f>13</f>
        <v>13.0</v>
      </c>
      <c r="L802" s="4" t="s">
        <v>921</v>
      </c>
      <c r="M802" s="22" t="n">
        <f>600</f>
        <v>600.0</v>
      </c>
      <c r="N802" s="5" t="s">
        <v>279</v>
      </c>
      <c r="O802" s="23" t="str">
        <f>"－"</f>
        <v>－</v>
      </c>
      <c r="P802" s="3" t="s">
        <v>1659</v>
      </c>
      <c r="Q802" s="21"/>
      <c r="R802" s="3" t="s">
        <v>1660</v>
      </c>
      <c r="S802" s="21" t="n">
        <f>3716993</f>
        <v>3716993.0</v>
      </c>
      <c r="T802" s="21" t="n">
        <f>3546605</f>
        <v>3546605.0</v>
      </c>
      <c r="U802" s="5" t="s">
        <v>396</v>
      </c>
      <c r="V802" s="23" t="n">
        <f>153090000</f>
        <v>1.5309E8</v>
      </c>
      <c r="W802" s="5" t="s">
        <v>279</v>
      </c>
      <c r="X802" s="23" t="str">
        <f>"－"</f>
        <v>－</v>
      </c>
      <c r="Y802" s="23"/>
      <c r="Z802" s="21" t="str">
        <f>"－"</f>
        <v>－</v>
      </c>
      <c r="AA802" s="21" t="n">
        <f>1205</f>
        <v>1205.0</v>
      </c>
      <c r="AB802" s="4" t="s">
        <v>698</v>
      </c>
      <c r="AC802" s="22" t="n">
        <f>1375</f>
        <v>1375.0</v>
      </c>
      <c r="AD802" s="5" t="s">
        <v>1015</v>
      </c>
      <c r="AE802" s="23" t="n">
        <f>214</f>
        <v>214.0</v>
      </c>
    </row>
    <row r="803">
      <c r="A803" s="24" t="s">
        <v>1655</v>
      </c>
      <c r="B803" s="25" t="s">
        <v>1656</v>
      </c>
      <c r="C803" s="26"/>
      <c r="D803" s="27"/>
      <c r="E803" s="28" t="s">
        <v>127</v>
      </c>
      <c r="F803" s="20" t="n">
        <f>122</f>
        <v>122.0</v>
      </c>
      <c r="G803" s="21" t="n">
        <f>1400</f>
        <v>1400.0</v>
      </c>
      <c r="H803" s="21"/>
      <c r="I803" s="21" t="n">
        <f>950</f>
        <v>950.0</v>
      </c>
      <c r="J803" s="21" t="n">
        <f>11</f>
        <v>11.0</v>
      </c>
      <c r="K803" s="21" t="n">
        <f>8</f>
        <v>8.0</v>
      </c>
      <c r="L803" s="4" t="s">
        <v>1162</v>
      </c>
      <c r="M803" s="22" t="n">
        <f>400</f>
        <v>400.0</v>
      </c>
      <c r="N803" s="5" t="s">
        <v>263</v>
      </c>
      <c r="O803" s="23" t="str">
        <f>"－"</f>
        <v>－</v>
      </c>
      <c r="P803" s="3" t="s">
        <v>1661</v>
      </c>
      <c r="Q803" s="21"/>
      <c r="R803" s="3" t="s">
        <v>1662</v>
      </c>
      <c r="S803" s="21" t="n">
        <f>4322157</f>
        <v>4322157.0</v>
      </c>
      <c r="T803" s="21" t="n">
        <f>3108979</f>
        <v>3108979.0</v>
      </c>
      <c r="U803" s="5" t="s">
        <v>1162</v>
      </c>
      <c r="V803" s="23" t="n">
        <f>172200000</f>
        <v>1.722E8</v>
      </c>
      <c r="W803" s="5" t="s">
        <v>263</v>
      </c>
      <c r="X803" s="23" t="str">
        <f>"－"</f>
        <v>－</v>
      </c>
      <c r="Y803" s="23"/>
      <c r="Z803" s="21" t="str">
        <f>"－"</f>
        <v>－</v>
      </c>
      <c r="AA803" s="21" t="n">
        <f>1178</f>
        <v>1178.0</v>
      </c>
      <c r="AB803" s="4" t="s">
        <v>501</v>
      </c>
      <c r="AC803" s="22" t="n">
        <f>1766</f>
        <v>1766.0</v>
      </c>
      <c r="AD803" s="5" t="s">
        <v>709</v>
      </c>
      <c r="AE803" s="23" t="n">
        <f>1174</f>
        <v>1174.0</v>
      </c>
    </row>
    <row r="804">
      <c r="A804" s="24" t="s">
        <v>1655</v>
      </c>
      <c r="B804" s="25" t="s">
        <v>1656</v>
      </c>
      <c r="C804" s="26"/>
      <c r="D804" s="27"/>
      <c r="E804" s="28" t="s">
        <v>133</v>
      </c>
      <c r="F804" s="20" t="n">
        <f>122</f>
        <v>122.0</v>
      </c>
      <c r="G804" s="21" t="n">
        <f>840</f>
        <v>840.0</v>
      </c>
      <c r="H804" s="21"/>
      <c r="I804" s="21" t="n">
        <f>686</f>
        <v>686.0</v>
      </c>
      <c r="J804" s="21" t="n">
        <f>7</f>
        <v>7.0</v>
      </c>
      <c r="K804" s="21" t="n">
        <f>6</f>
        <v>6.0</v>
      </c>
      <c r="L804" s="4" t="s">
        <v>1064</v>
      </c>
      <c r="M804" s="22" t="n">
        <f>300</f>
        <v>300.0</v>
      </c>
      <c r="N804" s="5" t="s">
        <v>519</v>
      </c>
      <c r="O804" s="23" t="str">
        <f>"－"</f>
        <v>－</v>
      </c>
      <c r="P804" s="3" t="s">
        <v>1663</v>
      </c>
      <c r="Q804" s="21"/>
      <c r="R804" s="3" t="s">
        <v>1664</v>
      </c>
      <c r="S804" s="21" t="n">
        <f>4092258</f>
        <v>4092258.0</v>
      </c>
      <c r="T804" s="21" t="n">
        <f>3348161</f>
        <v>3348161.0</v>
      </c>
      <c r="U804" s="5" t="s">
        <v>1064</v>
      </c>
      <c r="V804" s="23" t="n">
        <f>148632000</f>
        <v>1.48632E8</v>
      </c>
      <c r="W804" s="5" t="s">
        <v>519</v>
      </c>
      <c r="X804" s="23" t="str">
        <f>"－"</f>
        <v>－</v>
      </c>
      <c r="Y804" s="23"/>
      <c r="Z804" s="21" t="str">
        <f>"－"</f>
        <v>－</v>
      </c>
      <c r="AA804" s="21" t="n">
        <f>462</f>
        <v>462.0</v>
      </c>
      <c r="AB804" s="4" t="s">
        <v>279</v>
      </c>
      <c r="AC804" s="22" t="n">
        <f>1183</f>
        <v>1183.0</v>
      </c>
      <c r="AD804" s="5" t="s">
        <v>1015</v>
      </c>
      <c r="AE804" s="23" t="n">
        <f>278</f>
        <v>278.0</v>
      </c>
    </row>
    <row r="805">
      <c r="A805" s="24" t="s">
        <v>1655</v>
      </c>
      <c r="B805" s="25" t="s">
        <v>1656</v>
      </c>
      <c r="C805" s="26"/>
      <c r="D805" s="27"/>
      <c r="E805" s="28" t="s">
        <v>139</v>
      </c>
      <c r="F805" s="20" t="n">
        <f>123</f>
        <v>123.0</v>
      </c>
      <c r="G805" s="21" t="n">
        <f>3692</f>
        <v>3692.0</v>
      </c>
      <c r="H805" s="21"/>
      <c r="I805" s="21" t="n">
        <f>3584</f>
        <v>3584.0</v>
      </c>
      <c r="J805" s="21" t="n">
        <f>30</f>
        <v>30.0</v>
      </c>
      <c r="K805" s="21" t="n">
        <f>29</f>
        <v>29.0</v>
      </c>
      <c r="L805" s="4" t="s">
        <v>174</v>
      </c>
      <c r="M805" s="22" t="n">
        <f>1247</f>
        <v>1247.0</v>
      </c>
      <c r="N805" s="5" t="s">
        <v>335</v>
      </c>
      <c r="O805" s="23" t="str">
        <f>"－"</f>
        <v>－</v>
      </c>
      <c r="P805" s="3" t="s">
        <v>1665</v>
      </c>
      <c r="Q805" s="21"/>
      <c r="R805" s="3" t="s">
        <v>1666</v>
      </c>
      <c r="S805" s="21" t="n">
        <f>31636077</f>
        <v>3.1636077E7</v>
      </c>
      <c r="T805" s="21" t="n">
        <f>30677654</f>
        <v>3.0677654E7</v>
      </c>
      <c r="U805" s="5" t="s">
        <v>174</v>
      </c>
      <c r="V805" s="23" t="n">
        <f>1198613556</f>
        <v>1.198613556E9</v>
      </c>
      <c r="W805" s="5" t="s">
        <v>335</v>
      </c>
      <c r="X805" s="23" t="str">
        <f>"－"</f>
        <v>－</v>
      </c>
      <c r="Y805" s="23"/>
      <c r="Z805" s="21" t="str">
        <f>"－"</f>
        <v>－</v>
      </c>
      <c r="AA805" s="21" t="n">
        <f>1686</f>
        <v>1686.0</v>
      </c>
      <c r="AB805" s="4" t="s">
        <v>1667</v>
      </c>
      <c r="AC805" s="22" t="n">
        <f>1820</f>
        <v>1820.0</v>
      </c>
      <c r="AD805" s="5" t="s">
        <v>751</v>
      </c>
      <c r="AE805" s="23" t="n">
        <f>22</f>
        <v>22.0</v>
      </c>
    </row>
    <row r="806">
      <c r="A806" s="24" t="s">
        <v>1655</v>
      </c>
      <c r="B806" s="25" t="s">
        <v>1656</v>
      </c>
      <c r="C806" s="26"/>
      <c r="D806" s="27"/>
      <c r="E806" s="28" t="s">
        <v>145</v>
      </c>
      <c r="F806" s="20" t="n">
        <f>122</f>
        <v>122.0</v>
      </c>
      <c r="G806" s="21" t="n">
        <f>899</f>
        <v>899.0</v>
      </c>
      <c r="H806" s="21"/>
      <c r="I806" s="21" t="n">
        <f>878</f>
        <v>878.0</v>
      </c>
      <c r="J806" s="21" t="n">
        <f>7</f>
        <v>7.0</v>
      </c>
      <c r="K806" s="21" t="n">
        <f>7</f>
        <v>7.0</v>
      </c>
      <c r="L806" s="4" t="s">
        <v>504</v>
      </c>
      <c r="M806" s="22" t="n">
        <f>200</f>
        <v>200.0</v>
      </c>
      <c r="N806" s="5" t="s">
        <v>82</v>
      </c>
      <c r="O806" s="23" t="str">
        <f>"－"</f>
        <v>－</v>
      </c>
      <c r="P806" s="3" t="s">
        <v>1668</v>
      </c>
      <c r="Q806" s="21"/>
      <c r="R806" s="3" t="s">
        <v>1669</v>
      </c>
      <c r="S806" s="21" t="n">
        <f>6499419</f>
        <v>6499419.0</v>
      </c>
      <c r="T806" s="21" t="n">
        <f>6421357</f>
        <v>6421357.0</v>
      </c>
      <c r="U806" s="5" t="s">
        <v>504</v>
      </c>
      <c r="V806" s="23" t="n">
        <f>216493200</f>
        <v>2.164932E8</v>
      </c>
      <c r="W806" s="5" t="s">
        <v>82</v>
      </c>
      <c r="X806" s="23" t="str">
        <f>"－"</f>
        <v>－</v>
      </c>
      <c r="Y806" s="23"/>
      <c r="Z806" s="21" t="str">
        <f>"－"</f>
        <v>－</v>
      </c>
      <c r="AA806" s="21" t="n">
        <f>176</f>
        <v>176.0</v>
      </c>
      <c r="AB806" s="4" t="s">
        <v>82</v>
      </c>
      <c r="AC806" s="22" t="n">
        <f>1686</f>
        <v>1686.0</v>
      </c>
      <c r="AD806" s="5" t="s">
        <v>202</v>
      </c>
      <c r="AE806" s="23" t="n">
        <f>172</f>
        <v>172.0</v>
      </c>
    </row>
    <row r="807">
      <c r="A807" s="24" t="s">
        <v>1655</v>
      </c>
      <c r="B807" s="25" t="s">
        <v>1656</v>
      </c>
      <c r="C807" s="26"/>
      <c r="D807" s="27"/>
      <c r="E807" s="28" t="s">
        <v>150</v>
      </c>
      <c r="F807" s="20" t="n">
        <f>124</f>
        <v>124.0</v>
      </c>
      <c r="G807" s="21" t="n">
        <f>2089</f>
        <v>2089.0</v>
      </c>
      <c r="H807" s="21"/>
      <c r="I807" s="21" t="n">
        <f>1650</f>
        <v>1650.0</v>
      </c>
      <c r="J807" s="21" t="n">
        <f>17</f>
        <v>17.0</v>
      </c>
      <c r="K807" s="21" t="n">
        <f>13</f>
        <v>13.0</v>
      </c>
      <c r="L807" s="4" t="s">
        <v>419</v>
      </c>
      <c r="M807" s="22" t="n">
        <f>600</f>
        <v>600.0</v>
      </c>
      <c r="N807" s="5" t="s">
        <v>666</v>
      </c>
      <c r="O807" s="23" t="str">
        <f>"－"</f>
        <v>－</v>
      </c>
      <c r="P807" s="3" t="s">
        <v>1670</v>
      </c>
      <c r="Q807" s="21"/>
      <c r="R807" s="3" t="s">
        <v>1671</v>
      </c>
      <c r="S807" s="21" t="n">
        <f>6586039</f>
        <v>6586039.0</v>
      </c>
      <c r="T807" s="21" t="n">
        <f>5249868</f>
        <v>5249868.0</v>
      </c>
      <c r="U807" s="5" t="s">
        <v>419</v>
      </c>
      <c r="V807" s="23" t="n">
        <f>245520000</f>
        <v>2.4552E8</v>
      </c>
      <c r="W807" s="5" t="s">
        <v>666</v>
      </c>
      <c r="X807" s="23" t="str">
        <f>"－"</f>
        <v>－</v>
      </c>
      <c r="Y807" s="23"/>
      <c r="Z807" s="21" t="str">
        <f>"－"</f>
        <v>－</v>
      </c>
      <c r="AA807" s="21" t="n">
        <f>439</f>
        <v>439.0</v>
      </c>
      <c r="AB807" s="4" t="s">
        <v>731</v>
      </c>
      <c r="AC807" s="22" t="n">
        <f>1231</f>
        <v>1231.0</v>
      </c>
      <c r="AD807" s="5" t="s">
        <v>666</v>
      </c>
      <c r="AE807" s="23" t="n">
        <f>176</f>
        <v>176.0</v>
      </c>
    </row>
    <row r="808">
      <c r="A808" s="24" t="s">
        <v>1655</v>
      </c>
      <c r="B808" s="25" t="s">
        <v>1656</v>
      </c>
      <c r="C808" s="26"/>
      <c r="D808" s="27"/>
      <c r="E808" s="28" t="s">
        <v>154</v>
      </c>
      <c r="F808" s="20" t="n">
        <f>120</f>
        <v>120.0</v>
      </c>
      <c r="G808" s="21" t="n">
        <f>654</f>
        <v>654.0</v>
      </c>
      <c r="H808" s="21"/>
      <c r="I808" s="21" t="n">
        <f>340</f>
        <v>340.0</v>
      </c>
      <c r="J808" s="21" t="n">
        <f>5</f>
        <v>5.0</v>
      </c>
      <c r="K808" s="21" t="n">
        <f>3</f>
        <v>3.0</v>
      </c>
      <c r="L808" s="4" t="s">
        <v>921</v>
      </c>
      <c r="M808" s="22" t="n">
        <f>200</f>
        <v>200.0</v>
      </c>
      <c r="N808" s="5" t="s">
        <v>268</v>
      </c>
      <c r="O808" s="23" t="str">
        <f>"－"</f>
        <v>－</v>
      </c>
      <c r="P808" s="3" t="s">
        <v>1672</v>
      </c>
      <c r="Q808" s="21"/>
      <c r="R808" s="3" t="s">
        <v>1673</v>
      </c>
      <c r="S808" s="21" t="n">
        <f>1947863</f>
        <v>1947863.0</v>
      </c>
      <c r="T808" s="21" t="n">
        <f>1053448</f>
        <v>1053448.0</v>
      </c>
      <c r="U808" s="5" t="s">
        <v>921</v>
      </c>
      <c r="V808" s="23" t="n">
        <f>68400000</f>
        <v>6.84E7</v>
      </c>
      <c r="W808" s="5" t="s">
        <v>268</v>
      </c>
      <c r="X808" s="23" t="str">
        <f>"－"</f>
        <v>－</v>
      </c>
      <c r="Y808" s="23"/>
      <c r="Z808" s="21" t="str">
        <f>"－"</f>
        <v>－</v>
      </c>
      <c r="AA808" s="21" t="n">
        <f>455</f>
        <v>455.0</v>
      </c>
      <c r="AB808" s="4" t="s">
        <v>511</v>
      </c>
      <c r="AC808" s="22" t="n">
        <f>455</f>
        <v>455.0</v>
      </c>
      <c r="AD808" s="5" t="s">
        <v>276</v>
      </c>
      <c r="AE808" s="23" t="n">
        <f>98</f>
        <v>98.0</v>
      </c>
    </row>
    <row r="809">
      <c r="A809" s="24" t="s">
        <v>1674</v>
      </c>
      <c r="B809" s="25" t="s">
        <v>1675</v>
      </c>
      <c r="C809" s="26"/>
      <c r="D809" s="27"/>
      <c r="E809" s="28" t="s">
        <v>118</v>
      </c>
      <c r="F809" s="20" t="n">
        <f>45</f>
        <v>45.0</v>
      </c>
      <c r="G809" s="21" t="n">
        <f>362</f>
        <v>362.0</v>
      </c>
      <c r="H809" s="21"/>
      <c r="I809" s="21" t="n">
        <f>350</f>
        <v>350.0</v>
      </c>
      <c r="J809" s="21" t="n">
        <f>8</f>
        <v>8.0</v>
      </c>
      <c r="K809" s="21" t="n">
        <f>8</f>
        <v>8.0</v>
      </c>
      <c r="L809" s="4" t="s">
        <v>183</v>
      </c>
      <c r="M809" s="22" t="n">
        <f>200</f>
        <v>200.0</v>
      </c>
      <c r="N809" s="5" t="s">
        <v>853</v>
      </c>
      <c r="O809" s="23" t="str">
        <f>"－"</f>
        <v>－</v>
      </c>
      <c r="P809" s="3" t="s">
        <v>1676</v>
      </c>
      <c r="Q809" s="21"/>
      <c r="R809" s="3" t="s">
        <v>1677</v>
      </c>
      <c r="S809" s="21" t="n">
        <f>2005403</f>
        <v>2005403.0</v>
      </c>
      <c r="T809" s="21" t="n">
        <f>1937333</f>
        <v>1937333.0</v>
      </c>
      <c r="U809" s="5" t="s">
        <v>183</v>
      </c>
      <c r="V809" s="23" t="n">
        <f>54000000</f>
        <v>5.4E7</v>
      </c>
      <c r="W809" s="5" t="s">
        <v>853</v>
      </c>
      <c r="X809" s="23" t="str">
        <f>"－"</f>
        <v>－</v>
      </c>
      <c r="Y809" s="23"/>
      <c r="Z809" s="21" t="str">
        <f>"－"</f>
        <v>－</v>
      </c>
      <c r="AA809" s="21" t="n">
        <f>303</f>
        <v>303.0</v>
      </c>
      <c r="AB809" s="4" t="s">
        <v>100</v>
      </c>
      <c r="AC809" s="22" t="n">
        <f>303</f>
        <v>303.0</v>
      </c>
      <c r="AD809" s="5" t="s">
        <v>282</v>
      </c>
      <c r="AE809" s="23" t="str">
        <f>"－"</f>
        <v>－</v>
      </c>
    </row>
    <row r="810">
      <c r="A810" s="24" t="s">
        <v>1674</v>
      </c>
      <c r="B810" s="25" t="s">
        <v>1675</v>
      </c>
      <c r="C810" s="26"/>
      <c r="D810" s="27"/>
      <c r="E810" s="28" t="s">
        <v>124</v>
      </c>
      <c r="F810" s="20" t="n">
        <f>123</f>
        <v>123.0</v>
      </c>
      <c r="G810" s="21" t="n">
        <f>234</f>
        <v>234.0</v>
      </c>
      <c r="H810" s="21"/>
      <c r="I810" s="21" t="n">
        <f>155</f>
        <v>155.0</v>
      </c>
      <c r="J810" s="21" t="n">
        <f>2</f>
        <v>2.0</v>
      </c>
      <c r="K810" s="21" t="n">
        <f>1</f>
        <v>1.0</v>
      </c>
      <c r="L810" s="4" t="s">
        <v>1642</v>
      </c>
      <c r="M810" s="22" t="n">
        <f>66</f>
        <v>66.0</v>
      </c>
      <c r="N810" s="5" t="s">
        <v>279</v>
      </c>
      <c r="O810" s="23" t="str">
        <f>"－"</f>
        <v>－</v>
      </c>
      <c r="P810" s="3" t="s">
        <v>1678</v>
      </c>
      <c r="Q810" s="21"/>
      <c r="R810" s="3" t="s">
        <v>1679</v>
      </c>
      <c r="S810" s="21" t="n">
        <f>372173</f>
        <v>372173.0</v>
      </c>
      <c r="T810" s="21" t="n">
        <f>242244</f>
        <v>242244.0</v>
      </c>
      <c r="U810" s="5" t="s">
        <v>1642</v>
      </c>
      <c r="V810" s="23" t="n">
        <f>13481400</f>
        <v>1.34814E7</v>
      </c>
      <c r="W810" s="5" t="s">
        <v>279</v>
      </c>
      <c r="X810" s="23" t="str">
        <f>"－"</f>
        <v>－</v>
      </c>
      <c r="Y810" s="23"/>
      <c r="Z810" s="21" t="str">
        <f>"－"</f>
        <v>－</v>
      </c>
      <c r="AA810" s="21" t="n">
        <f>30</f>
        <v>30.0</v>
      </c>
      <c r="AB810" s="4" t="s">
        <v>113</v>
      </c>
      <c r="AC810" s="22" t="n">
        <f>188</f>
        <v>188.0</v>
      </c>
      <c r="AD810" s="5" t="s">
        <v>279</v>
      </c>
      <c r="AE810" s="23" t="n">
        <f>1</f>
        <v>1.0</v>
      </c>
    </row>
    <row r="811">
      <c r="A811" s="24" t="s">
        <v>1674</v>
      </c>
      <c r="B811" s="25" t="s">
        <v>1675</v>
      </c>
      <c r="C811" s="26"/>
      <c r="D811" s="27"/>
      <c r="E811" s="28" t="s">
        <v>127</v>
      </c>
      <c r="F811" s="20" t="n">
        <f>122</f>
        <v>122.0</v>
      </c>
      <c r="G811" s="21" t="n">
        <f>1729</f>
        <v>1729.0</v>
      </c>
      <c r="H811" s="21"/>
      <c r="I811" s="21" t="n">
        <f>1114</f>
        <v>1114.0</v>
      </c>
      <c r="J811" s="21" t="n">
        <f>14</f>
        <v>14.0</v>
      </c>
      <c r="K811" s="21" t="n">
        <f>9</f>
        <v>9.0</v>
      </c>
      <c r="L811" s="4" t="s">
        <v>1148</v>
      </c>
      <c r="M811" s="22" t="n">
        <f>300</f>
        <v>300.0</v>
      </c>
      <c r="N811" s="5" t="s">
        <v>335</v>
      </c>
      <c r="O811" s="23" t="str">
        <f>"－"</f>
        <v>－</v>
      </c>
      <c r="P811" s="3" t="s">
        <v>1680</v>
      </c>
      <c r="Q811" s="21"/>
      <c r="R811" s="3" t="s">
        <v>1681</v>
      </c>
      <c r="S811" s="21" t="n">
        <f>4320623</f>
        <v>4320623.0</v>
      </c>
      <c r="T811" s="21" t="n">
        <f>3030100</f>
        <v>3030100.0</v>
      </c>
      <c r="U811" s="5" t="s">
        <v>1148</v>
      </c>
      <c r="V811" s="23" t="n">
        <f>115320000</f>
        <v>1.1532E8</v>
      </c>
      <c r="W811" s="5" t="s">
        <v>335</v>
      </c>
      <c r="X811" s="23" t="str">
        <f>"－"</f>
        <v>－</v>
      </c>
      <c r="Y811" s="23"/>
      <c r="Z811" s="21" t="str">
        <f>"－"</f>
        <v>－</v>
      </c>
      <c r="AA811" s="21" t="n">
        <f>783</f>
        <v>783.0</v>
      </c>
      <c r="AB811" s="4" t="s">
        <v>944</v>
      </c>
      <c r="AC811" s="22" t="n">
        <f>1450</f>
        <v>1450.0</v>
      </c>
      <c r="AD811" s="5" t="s">
        <v>263</v>
      </c>
      <c r="AE811" s="23" t="n">
        <f>30</f>
        <v>30.0</v>
      </c>
    </row>
    <row r="812">
      <c r="A812" s="24" t="s">
        <v>1674</v>
      </c>
      <c r="B812" s="25" t="s">
        <v>1675</v>
      </c>
      <c r="C812" s="26"/>
      <c r="D812" s="27"/>
      <c r="E812" s="28" t="s">
        <v>133</v>
      </c>
      <c r="F812" s="20" t="n">
        <f>122</f>
        <v>122.0</v>
      </c>
      <c r="G812" s="21" t="n">
        <f>59</f>
        <v>59.0</v>
      </c>
      <c r="H812" s="21"/>
      <c r="I812" s="21" t="n">
        <f>22</f>
        <v>22.0</v>
      </c>
      <c r="J812" s="21" t="n">
        <f>0</f>
        <v>0.0</v>
      </c>
      <c r="K812" s="21" t="n">
        <f>0</f>
        <v>0.0</v>
      </c>
      <c r="L812" s="4" t="s">
        <v>1000</v>
      </c>
      <c r="M812" s="22" t="n">
        <f>22</f>
        <v>22.0</v>
      </c>
      <c r="N812" s="5" t="s">
        <v>279</v>
      </c>
      <c r="O812" s="23" t="str">
        <f>"－"</f>
        <v>－</v>
      </c>
      <c r="P812" s="3" t="s">
        <v>1682</v>
      </c>
      <c r="Q812" s="21"/>
      <c r="R812" s="3" t="s">
        <v>1683</v>
      </c>
      <c r="S812" s="21" t="n">
        <f>289943</f>
        <v>289943.0</v>
      </c>
      <c r="T812" s="21" t="n">
        <f>117123</f>
        <v>117123.0</v>
      </c>
      <c r="U812" s="5" t="s">
        <v>1000</v>
      </c>
      <c r="V812" s="23" t="n">
        <f>14922000</f>
        <v>1.4922E7</v>
      </c>
      <c r="W812" s="5" t="s">
        <v>279</v>
      </c>
      <c r="X812" s="23" t="str">
        <f>"－"</f>
        <v>－</v>
      </c>
      <c r="Y812" s="23"/>
      <c r="Z812" s="21" t="str">
        <f>"－"</f>
        <v>－</v>
      </c>
      <c r="AA812" s="21" t="n">
        <f>10</f>
        <v>10.0</v>
      </c>
      <c r="AB812" s="4" t="s">
        <v>279</v>
      </c>
      <c r="AC812" s="22" t="n">
        <f>783</f>
        <v>783.0</v>
      </c>
      <c r="AD812" s="5" t="s">
        <v>202</v>
      </c>
      <c r="AE812" s="23" t="n">
        <f>10</f>
        <v>10.0</v>
      </c>
    </row>
    <row r="813">
      <c r="A813" s="24" t="s">
        <v>1674</v>
      </c>
      <c r="B813" s="25" t="s">
        <v>1675</v>
      </c>
      <c r="C813" s="26"/>
      <c r="D813" s="27"/>
      <c r="E813" s="28" t="s">
        <v>139</v>
      </c>
      <c r="F813" s="20" t="n">
        <f>123</f>
        <v>123.0</v>
      </c>
      <c r="G813" s="21" t="n">
        <f>3350</f>
        <v>3350.0</v>
      </c>
      <c r="H813" s="21"/>
      <c r="I813" s="21" t="n">
        <f>3350</f>
        <v>3350.0</v>
      </c>
      <c r="J813" s="21" t="n">
        <f>27</f>
        <v>27.0</v>
      </c>
      <c r="K813" s="21" t="n">
        <f>27</f>
        <v>27.0</v>
      </c>
      <c r="L813" s="4" t="s">
        <v>469</v>
      </c>
      <c r="M813" s="22" t="n">
        <f>820</f>
        <v>820.0</v>
      </c>
      <c r="N813" s="5" t="s">
        <v>672</v>
      </c>
      <c r="O813" s="23" t="str">
        <f>"－"</f>
        <v>－</v>
      </c>
      <c r="P813" s="3" t="s">
        <v>1684</v>
      </c>
      <c r="Q813" s="21"/>
      <c r="R813" s="3" t="s">
        <v>1684</v>
      </c>
      <c r="S813" s="21" t="n">
        <f>23217702</f>
        <v>2.3217702E7</v>
      </c>
      <c r="T813" s="21" t="n">
        <f>23217702</f>
        <v>2.3217702E7</v>
      </c>
      <c r="U813" s="5" t="s">
        <v>469</v>
      </c>
      <c r="V813" s="23" t="n">
        <f>736032000</f>
        <v>7.36032E8</v>
      </c>
      <c r="W813" s="5" t="s">
        <v>672</v>
      </c>
      <c r="X813" s="23" t="str">
        <f>"－"</f>
        <v>－</v>
      </c>
      <c r="Y813" s="23"/>
      <c r="Z813" s="21" t="str">
        <f>"－"</f>
        <v>－</v>
      </c>
      <c r="AA813" s="21" t="n">
        <f>790</f>
        <v>790.0</v>
      </c>
      <c r="AB813" s="4" t="s">
        <v>88</v>
      </c>
      <c r="AC813" s="22" t="n">
        <f>2270</f>
        <v>2270.0</v>
      </c>
      <c r="AD813" s="5" t="s">
        <v>709</v>
      </c>
      <c r="AE813" s="23" t="n">
        <f>620</f>
        <v>620.0</v>
      </c>
    </row>
    <row r="814">
      <c r="A814" s="24" t="s">
        <v>1674</v>
      </c>
      <c r="B814" s="25" t="s">
        <v>1675</v>
      </c>
      <c r="C814" s="26"/>
      <c r="D814" s="27"/>
      <c r="E814" s="28" t="s">
        <v>145</v>
      </c>
      <c r="F814" s="20" t="n">
        <f>122</f>
        <v>122.0</v>
      </c>
      <c r="G814" s="21" t="n">
        <f>61</f>
        <v>61.0</v>
      </c>
      <c r="H814" s="21"/>
      <c r="I814" s="21" t="n">
        <f>36</f>
        <v>36.0</v>
      </c>
      <c r="J814" s="21" t="n">
        <f>1</f>
        <v>1.0</v>
      </c>
      <c r="K814" s="21" t="n">
        <f>0</f>
        <v>0.0</v>
      </c>
      <c r="L814" s="4" t="s">
        <v>55</v>
      </c>
      <c r="M814" s="22" t="n">
        <f>40</f>
        <v>40.0</v>
      </c>
      <c r="N814" s="5" t="s">
        <v>82</v>
      </c>
      <c r="O814" s="23" t="str">
        <f>"－"</f>
        <v>－</v>
      </c>
      <c r="P814" s="3" t="s">
        <v>1685</v>
      </c>
      <c r="Q814" s="21"/>
      <c r="R814" s="3" t="s">
        <v>1686</v>
      </c>
      <c r="S814" s="21" t="n">
        <f>277417</f>
        <v>277417.0</v>
      </c>
      <c r="T814" s="21" t="n">
        <f>149877</f>
        <v>149877.0</v>
      </c>
      <c r="U814" s="5" t="s">
        <v>55</v>
      </c>
      <c r="V814" s="23" t="n">
        <f>19480860</f>
        <v>1.948086E7</v>
      </c>
      <c r="W814" s="5" t="s">
        <v>82</v>
      </c>
      <c r="X814" s="23" t="str">
        <f>"－"</f>
        <v>－</v>
      </c>
      <c r="Y814" s="23"/>
      <c r="Z814" s="21" t="str">
        <f>"－"</f>
        <v>－</v>
      </c>
      <c r="AA814" s="21" t="n">
        <f>70</f>
        <v>70.0</v>
      </c>
      <c r="AB814" s="4" t="s">
        <v>82</v>
      </c>
      <c r="AC814" s="22" t="n">
        <f>790</f>
        <v>790.0</v>
      </c>
      <c r="AD814" s="5" t="s">
        <v>202</v>
      </c>
      <c r="AE814" s="23" t="n">
        <f>30</f>
        <v>30.0</v>
      </c>
    </row>
    <row r="815">
      <c r="A815" s="24" t="s">
        <v>1674</v>
      </c>
      <c r="B815" s="25" t="s">
        <v>1675</v>
      </c>
      <c r="C815" s="26"/>
      <c r="D815" s="27"/>
      <c r="E815" s="28" t="s">
        <v>150</v>
      </c>
      <c r="F815" s="20" t="n">
        <f>124</f>
        <v>124.0</v>
      </c>
      <c r="G815" s="21" t="n">
        <f>350</f>
        <v>350.0</v>
      </c>
      <c r="H815" s="21"/>
      <c r="I815" s="21" t="n">
        <f>110</f>
        <v>110.0</v>
      </c>
      <c r="J815" s="21" t="n">
        <f>3</f>
        <v>3.0</v>
      </c>
      <c r="K815" s="21" t="n">
        <f>1</f>
        <v>1.0</v>
      </c>
      <c r="L815" s="4" t="s">
        <v>764</v>
      </c>
      <c r="M815" s="22" t="n">
        <f>110</f>
        <v>110.0</v>
      </c>
      <c r="N815" s="5" t="s">
        <v>751</v>
      </c>
      <c r="O815" s="23" t="str">
        <f>"－"</f>
        <v>－</v>
      </c>
      <c r="P815" s="3" t="s">
        <v>1687</v>
      </c>
      <c r="Q815" s="21"/>
      <c r="R815" s="3" t="s">
        <v>1688</v>
      </c>
      <c r="S815" s="21" t="n">
        <f>940419</f>
        <v>940419.0</v>
      </c>
      <c r="T815" s="21" t="n">
        <f>343742</f>
        <v>343742.0</v>
      </c>
      <c r="U815" s="5" t="s">
        <v>764</v>
      </c>
      <c r="V815" s="23" t="n">
        <f>42624000</f>
        <v>4.2624E7</v>
      </c>
      <c r="W815" s="5" t="s">
        <v>751</v>
      </c>
      <c r="X815" s="23" t="str">
        <f>"－"</f>
        <v>－</v>
      </c>
      <c r="Y815" s="23"/>
      <c r="Z815" s="21" t="str">
        <f>"－"</f>
        <v>－</v>
      </c>
      <c r="AA815" s="21" t="n">
        <f>145</f>
        <v>145.0</v>
      </c>
      <c r="AB815" s="4" t="s">
        <v>764</v>
      </c>
      <c r="AC815" s="22" t="n">
        <f>163</f>
        <v>163.0</v>
      </c>
      <c r="AD815" s="5" t="s">
        <v>751</v>
      </c>
      <c r="AE815" s="23" t="n">
        <f>50</f>
        <v>50.0</v>
      </c>
    </row>
    <row r="816">
      <c r="A816" s="24" t="s">
        <v>1674</v>
      </c>
      <c r="B816" s="25" t="s">
        <v>1675</v>
      </c>
      <c r="C816" s="26"/>
      <c r="D816" s="27"/>
      <c r="E816" s="28" t="s">
        <v>154</v>
      </c>
      <c r="F816" s="20" t="n">
        <f>120</f>
        <v>120.0</v>
      </c>
      <c r="G816" s="21" t="n">
        <f>307</f>
        <v>307.0</v>
      </c>
      <c r="H816" s="21"/>
      <c r="I816" s="21" t="n">
        <f>52</f>
        <v>52.0</v>
      </c>
      <c r="J816" s="21" t="n">
        <f>3</f>
        <v>3.0</v>
      </c>
      <c r="K816" s="21" t="n">
        <f>0</f>
        <v>0.0</v>
      </c>
      <c r="L816" s="4" t="s">
        <v>212</v>
      </c>
      <c r="M816" s="22" t="n">
        <f>30</f>
        <v>30.0</v>
      </c>
      <c r="N816" s="5" t="s">
        <v>268</v>
      </c>
      <c r="O816" s="23" t="str">
        <f>"－"</f>
        <v>－</v>
      </c>
      <c r="P816" s="3" t="s">
        <v>1689</v>
      </c>
      <c r="Q816" s="21"/>
      <c r="R816" s="3" t="s">
        <v>1690</v>
      </c>
      <c r="S816" s="21" t="n">
        <f>704333</f>
        <v>704333.0</v>
      </c>
      <c r="T816" s="21" t="n">
        <f>129390</f>
        <v>129390.0</v>
      </c>
      <c r="U816" s="5" t="s">
        <v>1140</v>
      </c>
      <c r="V816" s="23" t="n">
        <f>9507600</f>
        <v>9507600.0</v>
      </c>
      <c r="W816" s="5" t="s">
        <v>268</v>
      </c>
      <c r="X816" s="23" t="str">
        <f>"－"</f>
        <v>－</v>
      </c>
      <c r="Y816" s="23"/>
      <c r="Z816" s="21" t="str">
        <f>"－"</f>
        <v>－</v>
      </c>
      <c r="AA816" s="21" t="n">
        <f>84</f>
        <v>84.0</v>
      </c>
      <c r="AB816" s="4" t="s">
        <v>268</v>
      </c>
      <c r="AC816" s="22" t="n">
        <f>145</f>
        <v>145.0</v>
      </c>
      <c r="AD816" s="5" t="s">
        <v>1015</v>
      </c>
      <c r="AE816" s="23" t="n">
        <f>47</f>
        <v>47.0</v>
      </c>
    </row>
    <row r="817">
      <c r="A817" s="24" t="s">
        <v>1691</v>
      </c>
      <c r="B817" s="25" t="s">
        <v>1692</v>
      </c>
      <c r="C817" s="26"/>
      <c r="D817" s="27"/>
      <c r="E817" s="28" t="s">
        <v>154</v>
      </c>
      <c r="F817" s="20" t="n">
        <f>9</f>
        <v>9.0</v>
      </c>
      <c r="G817" s="21" t="n">
        <f>8</f>
        <v>8.0</v>
      </c>
      <c r="H817" s="21"/>
      <c r="I817" s="21" t="str">
        <f>"－"</f>
        <v>－</v>
      </c>
      <c r="J817" s="21" t="n">
        <f>1</f>
        <v>1.0</v>
      </c>
      <c r="K817" s="21" t="str">
        <f>"－"</f>
        <v>－</v>
      </c>
      <c r="L817" s="4" t="s">
        <v>440</v>
      </c>
      <c r="M817" s="22" t="n">
        <f>4</f>
        <v>4.0</v>
      </c>
      <c r="N817" s="5" t="s">
        <v>586</v>
      </c>
      <c r="O817" s="23" t="str">
        <f>"－"</f>
        <v>－</v>
      </c>
      <c r="P817" s="3" t="s">
        <v>1693</v>
      </c>
      <c r="Q817" s="21"/>
      <c r="R817" s="3" t="s">
        <v>247</v>
      </c>
      <c r="S817" s="21" t="n">
        <f>168373</f>
        <v>168373.0</v>
      </c>
      <c r="T817" s="21" t="str">
        <f>"－"</f>
        <v>－</v>
      </c>
      <c r="U817" s="5" t="s">
        <v>568</v>
      </c>
      <c r="V817" s="23" t="n">
        <f>772800</f>
        <v>772800.0</v>
      </c>
      <c r="W817" s="5" t="s">
        <v>586</v>
      </c>
      <c r="X817" s="23" t="str">
        <f>"－"</f>
        <v>－</v>
      </c>
      <c r="Y817" s="23"/>
      <c r="Z817" s="21" t="str">
        <f>"－"</f>
        <v>－</v>
      </c>
      <c r="AA817" s="21" t="n">
        <f>4</f>
        <v>4.0</v>
      </c>
      <c r="AB817" s="4" t="s">
        <v>568</v>
      </c>
      <c r="AC817" s="22" t="n">
        <f>8</f>
        <v>8.0</v>
      </c>
      <c r="AD817" s="5" t="s">
        <v>440</v>
      </c>
      <c r="AE817" s="23" t="n">
        <f>4</f>
        <v>4.0</v>
      </c>
    </row>
    <row r="818">
      <c r="A818" s="24" t="s">
        <v>1694</v>
      </c>
      <c r="B818" s="25" t="s">
        <v>1695</v>
      </c>
      <c r="C818" s="26"/>
      <c r="D818" s="27"/>
      <c r="E818" s="28" t="s">
        <v>154</v>
      </c>
      <c r="F818" s="20" t="n">
        <f>9</f>
        <v>9.0</v>
      </c>
      <c r="G818" s="21" t="n">
        <f>6</f>
        <v>6.0</v>
      </c>
      <c r="H818" s="21"/>
      <c r="I818" s="21" t="str">
        <f>"－"</f>
        <v>－</v>
      </c>
      <c r="J818" s="21" t="n">
        <f>1</f>
        <v>1.0</v>
      </c>
      <c r="K818" s="21" t="str">
        <f>"－"</f>
        <v>－</v>
      </c>
      <c r="L818" s="4" t="s">
        <v>234</v>
      </c>
      <c r="M818" s="22" t="n">
        <f>4</f>
        <v>4.0</v>
      </c>
      <c r="N818" s="5" t="s">
        <v>586</v>
      </c>
      <c r="O818" s="23" t="str">
        <f>"－"</f>
        <v>－</v>
      </c>
      <c r="P818" s="3" t="s">
        <v>1696</v>
      </c>
      <c r="Q818" s="21"/>
      <c r="R818" s="3" t="s">
        <v>247</v>
      </c>
      <c r="S818" s="21" t="n">
        <f>110171</f>
        <v>110171.0</v>
      </c>
      <c r="T818" s="21" t="str">
        <f>"－"</f>
        <v>－</v>
      </c>
      <c r="U818" s="5" t="s">
        <v>234</v>
      </c>
      <c r="V818" s="23" t="n">
        <f>689136</f>
        <v>689136.0</v>
      </c>
      <c r="W818" s="5" t="s">
        <v>586</v>
      </c>
      <c r="X818" s="23" t="str">
        <f>"－"</f>
        <v>－</v>
      </c>
      <c r="Y818" s="23"/>
      <c r="Z818" s="21" t="str">
        <f>"－"</f>
        <v>－</v>
      </c>
      <c r="AA818" s="21" t="str">
        <f>"－"</f>
        <v>－</v>
      </c>
      <c r="AB818" s="4" t="s">
        <v>234</v>
      </c>
      <c r="AC818" s="22" t="n">
        <f>4</f>
        <v>4.0</v>
      </c>
      <c r="AD818" s="5" t="s">
        <v>440</v>
      </c>
      <c r="AE818" s="23" t="n">
        <f>2</f>
        <v>2.0</v>
      </c>
    </row>
    <row r="819">
      <c r="A819" s="24" t="s">
        <v>1697</v>
      </c>
      <c r="B819" s="25" t="s">
        <v>1698</v>
      </c>
      <c r="C819" s="26"/>
      <c r="D819" s="27"/>
      <c r="E819" s="28" t="s">
        <v>154</v>
      </c>
      <c r="F819" s="20" t="n">
        <f>9</f>
        <v>9.0</v>
      </c>
      <c r="G819" s="21" t="str">
        <f>"－"</f>
        <v>－</v>
      </c>
      <c r="H819" s="21"/>
      <c r="I819" s="21" t="str">
        <f>"－"</f>
        <v>－</v>
      </c>
      <c r="J819" s="21" t="str">
        <f>"－"</f>
        <v>－</v>
      </c>
      <c r="K819" s="21" t="str">
        <f>"－"</f>
        <v>－</v>
      </c>
      <c r="L819" s="4" t="s">
        <v>440</v>
      </c>
      <c r="M819" s="22" t="str">
        <f>"－"</f>
        <v>－</v>
      </c>
      <c r="N819" s="5" t="s">
        <v>440</v>
      </c>
      <c r="O819" s="23" t="str">
        <f>"－"</f>
        <v>－</v>
      </c>
      <c r="P819" s="3" t="s">
        <v>247</v>
      </c>
      <c r="Q819" s="21"/>
      <c r="R819" s="3" t="s">
        <v>247</v>
      </c>
      <c r="S819" s="21" t="str">
        <f>"－"</f>
        <v>－</v>
      </c>
      <c r="T819" s="21" t="str">
        <f>"－"</f>
        <v>－</v>
      </c>
      <c r="U819" s="5" t="s">
        <v>440</v>
      </c>
      <c r="V819" s="23" t="str">
        <f>"－"</f>
        <v>－</v>
      </c>
      <c r="W819" s="5" t="s">
        <v>440</v>
      </c>
      <c r="X819" s="23" t="str">
        <f>"－"</f>
        <v>－</v>
      </c>
      <c r="Y819" s="23"/>
      <c r="Z819" s="21" t="str">
        <f>"－"</f>
        <v>－</v>
      </c>
      <c r="AA819" s="21" t="str">
        <f>"－"</f>
        <v>－</v>
      </c>
      <c r="AB819" s="4" t="s">
        <v>440</v>
      </c>
      <c r="AC819" s="22" t="str">
        <f>"－"</f>
        <v>－</v>
      </c>
      <c r="AD819" s="5" t="s">
        <v>440</v>
      </c>
      <c r="AE819" s="23" t="str">
        <f>"－"</f>
        <v>－</v>
      </c>
    </row>
    <row r="820">
      <c r="A820" s="24" t="s">
        <v>1699</v>
      </c>
      <c r="B820" s="25" t="s">
        <v>1700</v>
      </c>
      <c r="C820" s="26"/>
      <c r="D820" s="27"/>
      <c r="E820" s="28" t="s">
        <v>154</v>
      </c>
      <c r="F820" s="20" t="n">
        <f>9</f>
        <v>9.0</v>
      </c>
      <c r="G820" s="21" t="n">
        <f>6</f>
        <v>6.0</v>
      </c>
      <c r="H820" s="21"/>
      <c r="I820" s="21" t="str">
        <f>"－"</f>
        <v>－</v>
      </c>
      <c r="J820" s="21" t="n">
        <f>1</f>
        <v>1.0</v>
      </c>
      <c r="K820" s="21" t="str">
        <f>"－"</f>
        <v>－</v>
      </c>
      <c r="L820" s="4" t="s">
        <v>234</v>
      </c>
      <c r="M820" s="22" t="n">
        <f>6</f>
        <v>6.0</v>
      </c>
      <c r="N820" s="5" t="s">
        <v>440</v>
      </c>
      <c r="O820" s="23" t="str">
        <f>"－"</f>
        <v>－</v>
      </c>
      <c r="P820" s="3" t="s">
        <v>1701</v>
      </c>
      <c r="Q820" s="21"/>
      <c r="R820" s="3" t="s">
        <v>247</v>
      </c>
      <c r="S820" s="21" t="n">
        <f>38667</f>
        <v>38667.0</v>
      </c>
      <c r="T820" s="21" t="str">
        <f>"－"</f>
        <v>－</v>
      </c>
      <c r="U820" s="5" t="s">
        <v>234</v>
      </c>
      <c r="V820" s="23" t="n">
        <f>348000</f>
        <v>348000.0</v>
      </c>
      <c r="W820" s="5" t="s">
        <v>440</v>
      </c>
      <c r="X820" s="23" t="str">
        <f>"－"</f>
        <v>－</v>
      </c>
      <c r="Y820" s="23"/>
      <c r="Z820" s="21" t="str">
        <f>"－"</f>
        <v>－</v>
      </c>
      <c r="AA820" s="21" t="str">
        <f>"－"</f>
        <v>－</v>
      </c>
      <c r="AB820" s="4" t="s">
        <v>234</v>
      </c>
      <c r="AC820" s="22" t="n">
        <f>2</f>
        <v>2.0</v>
      </c>
      <c r="AD820" s="5" t="s">
        <v>440</v>
      </c>
      <c r="AE820" s="23" t="str">
        <f>"－"</f>
        <v>－</v>
      </c>
    </row>
    <row r="821">
      <c r="A821" s="24" t="s">
        <v>1702</v>
      </c>
      <c r="B821" s="25" t="s">
        <v>1703</v>
      </c>
      <c r="C821" s="26"/>
      <c r="D821" s="27"/>
      <c r="E821" s="28" t="s">
        <v>139</v>
      </c>
      <c r="F821" s="20" t="n">
        <f>122</f>
        <v>122.0</v>
      </c>
      <c r="G821" s="21" t="n">
        <f>4</f>
        <v>4.0</v>
      </c>
      <c r="H821" s="21"/>
      <c r="I821" s="21" t="n">
        <f>1</f>
        <v>1.0</v>
      </c>
      <c r="J821" s="21" t="n">
        <f>0</f>
        <v>0.0</v>
      </c>
      <c r="K821" s="21" t="n">
        <f>0</f>
        <v>0.0</v>
      </c>
      <c r="L821" s="4" t="s">
        <v>751</v>
      </c>
      <c r="M821" s="22" t="n">
        <f>1</f>
        <v>1.0</v>
      </c>
      <c r="N821" s="5" t="s">
        <v>672</v>
      </c>
      <c r="O821" s="23" t="str">
        <f>"－"</f>
        <v>－</v>
      </c>
      <c r="P821" s="3" t="s">
        <v>1704</v>
      </c>
      <c r="Q821" s="21"/>
      <c r="R821" s="3" t="s">
        <v>1705</v>
      </c>
      <c r="S821" s="21" t="n">
        <f>149180</f>
        <v>149180.0</v>
      </c>
      <c r="T821" s="21" t="n">
        <f>29098</f>
        <v>29098.0</v>
      </c>
      <c r="U821" s="5" t="s">
        <v>829</v>
      </c>
      <c r="V821" s="23" t="n">
        <f>6300000</f>
        <v>6300000.0</v>
      </c>
      <c r="W821" s="5" t="s">
        <v>672</v>
      </c>
      <c r="X821" s="23" t="str">
        <f>"－"</f>
        <v>－</v>
      </c>
      <c r="Y821" s="23"/>
      <c r="Z821" s="21" t="str">
        <f>"－"</f>
        <v>－</v>
      </c>
      <c r="AA821" s="21" t="str">
        <f>"－"</f>
        <v>－</v>
      </c>
      <c r="AB821" s="4" t="s">
        <v>751</v>
      </c>
      <c r="AC821" s="22" t="n">
        <f>1</f>
        <v>1.0</v>
      </c>
      <c r="AD821" s="5" t="s">
        <v>731</v>
      </c>
      <c r="AE821" s="23" t="str">
        <f>"－"</f>
        <v>－</v>
      </c>
    </row>
    <row r="822">
      <c r="A822" s="24" t="s">
        <v>1702</v>
      </c>
      <c r="B822" s="25" t="s">
        <v>1703</v>
      </c>
      <c r="C822" s="26"/>
      <c r="D822" s="27"/>
      <c r="E822" s="28" t="s">
        <v>145</v>
      </c>
      <c r="F822" s="20" t="n">
        <f>122</f>
        <v>122.0</v>
      </c>
      <c r="G822" s="21" t="str">
        <f>"－"</f>
        <v>－</v>
      </c>
      <c r="H822" s="21"/>
      <c r="I822" s="21" t="str">
        <f>"－"</f>
        <v>－</v>
      </c>
      <c r="J822" s="21" t="str">
        <f>"－"</f>
        <v>－</v>
      </c>
      <c r="K822" s="21" t="str">
        <f>"－"</f>
        <v>－</v>
      </c>
      <c r="L822" s="4" t="s">
        <v>82</v>
      </c>
      <c r="M822" s="22" t="str">
        <f>"－"</f>
        <v>－</v>
      </c>
      <c r="N822" s="5" t="s">
        <v>82</v>
      </c>
      <c r="O822" s="23" t="str">
        <f>"－"</f>
        <v>－</v>
      </c>
      <c r="P822" s="3" t="s">
        <v>247</v>
      </c>
      <c r="Q822" s="21"/>
      <c r="R822" s="3" t="s">
        <v>247</v>
      </c>
      <c r="S822" s="21" t="str">
        <f>"－"</f>
        <v>－</v>
      </c>
      <c r="T822" s="21" t="str">
        <f>"－"</f>
        <v>－</v>
      </c>
      <c r="U822" s="5" t="s">
        <v>82</v>
      </c>
      <c r="V822" s="23" t="str">
        <f>"－"</f>
        <v>－</v>
      </c>
      <c r="W822" s="5" t="s">
        <v>82</v>
      </c>
      <c r="X822" s="23" t="str">
        <f>"－"</f>
        <v>－</v>
      </c>
      <c r="Y822" s="23"/>
      <c r="Z822" s="21" t="str">
        <f>"－"</f>
        <v>－</v>
      </c>
      <c r="AA822" s="21" t="str">
        <f>"－"</f>
        <v>－</v>
      </c>
      <c r="AB822" s="4" t="s">
        <v>82</v>
      </c>
      <c r="AC822" s="22" t="str">
        <f>"－"</f>
        <v>－</v>
      </c>
      <c r="AD822" s="5" t="s">
        <v>82</v>
      </c>
      <c r="AE822" s="23" t="str">
        <f>"－"</f>
        <v>－</v>
      </c>
    </row>
    <row r="823">
      <c r="A823" s="24" t="s">
        <v>1702</v>
      </c>
      <c r="B823" s="25" t="s">
        <v>1703</v>
      </c>
      <c r="C823" s="26"/>
      <c r="D823" s="27"/>
      <c r="E823" s="28" t="s">
        <v>150</v>
      </c>
      <c r="F823" s="20" t="n">
        <f>124</f>
        <v>124.0</v>
      </c>
      <c r="G823" s="21" t="str">
        <f>"－"</f>
        <v>－</v>
      </c>
      <c r="H823" s="21"/>
      <c r="I823" s="21" t="str">
        <f>"－"</f>
        <v>－</v>
      </c>
      <c r="J823" s="21" t="str">
        <f>"－"</f>
        <v>－</v>
      </c>
      <c r="K823" s="21" t="str">
        <f>"－"</f>
        <v>－</v>
      </c>
      <c r="L823" s="4" t="s">
        <v>666</v>
      </c>
      <c r="M823" s="22" t="str">
        <f>"－"</f>
        <v>－</v>
      </c>
      <c r="N823" s="5" t="s">
        <v>666</v>
      </c>
      <c r="O823" s="23" t="str">
        <f>"－"</f>
        <v>－</v>
      </c>
      <c r="P823" s="3" t="s">
        <v>247</v>
      </c>
      <c r="Q823" s="21"/>
      <c r="R823" s="3" t="s">
        <v>247</v>
      </c>
      <c r="S823" s="21" t="str">
        <f>"－"</f>
        <v>－</v>
      </c>
      <c r="T823" s="21" t="str">
        <f>"－"</f>
        <v>－</v>
      </c>
      <c r="U823" s="5" t="s">
        <v>666</v>
      </c>
      <c r="V823" s="23" t="str">
        <f>"－"</f>
        <v>－</v>
      </c>
      <c r="W823" s="5" t="s">
        <v>666</v>
      </c>
      <c r="X823" s="23" t="str">
        <f>"－"</f>
        <v>－</v>
      </c>
      <c r="Y823" s="23"/>
      <c r="Z823" s="21" t="str">
        <f>"－"</f>
        <v>－</v>
      </c>
      <c r="AA823" s="21" t="str">
        <f>"－"</f>
        <v>－</v>
      </c>
      <c r="AB823" s="4" t="s">
        <v>666</v>
      </c>
      <c r="AC823" s="22" t="str">
        <f>"－"</f>
        <v>－</v>
      </c>
      <c r="AD823" s="5" t="s">
        <v>666</v>
      </c>
      <c r="AE823" s="23" t="str">
        <f>"－"</f>
        <v>－</v>
      </c>
    </row>
    <row r="824">
      <c r="A824" s="24" t="s">
        <v>1702</v>
      </c>
      <c r="B824" s="25" t="s">
        <v>1703</v>
      </c>
      <c r="C824" s="26"/>
      <c r="D824" s="27"/>
      <c r="E824" s="28" t="s">
        <v>154</v>
      </c>
      <c r="F824" s="20" t="n">
        <f>120</f>
        <v>120.0</v>
      </c>
      <c r="G824" s="21" t="str">
        <f>"－"</f>
        <v>－</v>
      </c>
      <c r="H824" s="21"/>
      <c r="I824" s="21" t="str">
        <f>"－"</f>
        <v>－</v>
      </c>
      <c r="J824" s="21" t="str">
        <f>"－"</f>
        <v>－</v>
      </c>
      <c r="K824" s="21" t="str">
        <f>"－"</f>
        <v>－</v>
      </c>
      <c r="L824" s="4" t="s">
        <v>268</v>
      </c>
      <c r="M824" s="22" t="str">
        <f>"－"</f>
        <v>－</v>
      </c>
      <c r="N824" s="5" t="s">
        <v>268</v>
      </c>
      <c r="O824" s="23" t="str">
        <f>"－"</f>
        <v>－</v>
      </c>
      <c r="P824" s="3" t="s">
        <v>247</v>
      </c>
      <c r="Q824" s="21"/>
      <c r="R824" s="3" t="s">
        <v>247</v>
      </c>
      <c r="S824" s="21" t="str">
        <f>"－"</f>
        <v>－</v>
      </c>
      <c r="T824" s="21" t="str">
        <f>"－"</f>
        <v>－</v>
      </c>
      <c r="U824" s="5" t="s">
        <v>268</v>
      </c>
      <c r="V824" s="23" t="str">
        <f>"－"</f>
        <v>－</v>
      </c>
      <c r="W824" s="5" t="s">
        <v>268</v>
      </c>
      <c r="X824" s="23" t="str">
        <f>"－"</f>
        <v>－</v>
      </c>
      <c r="Y824" s="23"/>
      <c r="Z824" s="21" t="str">
        <f>"－"</f>
        <v>－</v>
      </c>
      <c r="AA824" s="21" t="str">
        <f>"－"</f>
        <v>－</v>
      </c>
      <c r="AB824" s="4" t="s">
        <v>268</v>
      </c>
      <c r="AC824" s="22" t="str">
        <f>"－"</f>
        <v>－</v>
      </c>
      <c r="AD824" s="5" t="s">
        <v>268</v>
      </c>
      <c r="AE824" s="23" t="str">
        <f>"－"</f>
        <v>－</v>
      </c>
    </row>
    <row r="825">
      <c r="A825" s="24" t="s">
        <v>1706</v>
      </c>
      <c r="B825" s="25" t="s">
        <v>1707</v>
      </c>
      <c r="C825" s="26"/>
      <c r="D825" s="27"/>
      <c r="E825" s="28" t="s">
        <v>118</v>
      </c>
      <c r="F825" s="20" t="n">
        <f>45</f>
        <v>45.0</v>
      </c>
      <c r="G825" s="21" t="n">
        <f>2761</f>
        <v>2761.0</v>
      </c>
      <c r="H825" s="21"/>
      <c r="I825" s="21" t="n">
        <f>438</f>
        <v>438.0</v>
      </c>
      <c r="J825" s="21" t="n">
        <f>61</f>
        <v>61.0</v>
      </c>
      <c r="K825" s="21" t="n">
        <f>10</f>
        <v>10.0</v>
      </c>
      <c r="L825" s="4" t="s">
        <v>237</v>
      </c>
      <c r="M825" s="22" t="n">
        <f>761</f>
        <v>761.0</v>
      </c>
      <c r="N825" s="5" t="s">
        <v>853</v>
      </c>
      <c r="O825" s="23" t="str">
        <f>"－"</f>
        <v>－</v>
      </c>
      <c r="P825" s="3" t="s">
        <v>1708</v>
      </c>
      <c r="Q825" s="21"/>
      <c r="R825" s="3" t="s">
        <v>1709</v>
      </c>
      <c r="S825" s="21" t="n">
        <f>25787980</f>
        <v>2.578798E7</v>
      </c>
      <c r="T825" s="21" t="n">
        <f>4075773</f>
        <v>4075773.0</v>
      </c>
      <c r="U825" s="5" t="s">
        <v>237</v>
      </c>
      <c r="V825" s="23" t="n">
        <f>323400000</f>
        <v>3.234E8</v>
      </c>
      <c r="W825" s="5" t="s">
        <v>853</v>
      </c>
      <c r="X825" s="23" t="str">
        <f>"－"</f>
        <v>－</v>
      </c>
      <c r="Y825" s="23"/>
      <c r="Z825" s="21" t="str">
        <f>"－"</f>
        <v>－</v>
      </c>
      <c r="AA825" s="21" t="n">
        <f>978</f>
        <v>978.0</v>
      </c>
      <c r="AB825" s="4" t="s">
        <v>57</v>
      </c>
      <c r="AC825" s="22" t="n">
        <f>1594</f>
        <v>1594.0</v>
      </c>
      <c r="AD825" s="5" t="s">
        <v>853</v>
      </c>
      <c r="AE825" s="23" t="n">
        <f>319</f>
        <v>319.0</v>
      </c>
    </row>
    <row r="826">
      <c r="A826" s="24" t="s">
        <v>1706</v>
      </c>
      <c r="B826" s="25" t="s">
        <v>1707</v>
      </c>
      <c r="C826" s="26"/>
      <c r="D826" s="27"/>
      <c r="E826" s="28" t="s">
        <v>124</v>
      </c>
      <c r="F826" s="20" t="n">
        <f>123</f>
        <v>123.0</v>
      </c>
      <c r="G826" s="21" t="n">
        <f>3204</f>
        <v>3204.0</v>
      </c>
      <c r="H826" s="21"/>
      <c r="I826" s="21" t="n">
        <f>832</f>
        <v>832.0</v>
      </c>
      <c r="J826" s="21" t="n">
        <f>26</f>
        <v>26.0</v>
      </c>
      <c r="K826" s="21" t="n">
        <f>7</f>
        <v>7.0</v>
      </c>
      <c r="L826" s="4" t="s">
        <v>593</v>
      </c>
      <c r="M826" s="22" t="n">
        <f>238</f>
        <v>238.0</v>
      </c>
      <c r="N826" s="5" t="s">
        <v>279</v>
      </c>
      <c r="O826" s="23" t="str">
        <f>"－"</f>
        <v>－</v>
      </c>
      <c r="P826" s="3" t="s">
        <v>1710</v>
      </c>
      <c r="Q826" s="21"/>
      <c r="R826" s="3" t="s">
        <v>1711</v>
      </c>
      <c r="S826" s="21" t="n">
        <f>12775337</f>
        <v>1.2775337E7</v>
      </c>
      <c r="T826" s="21" t="n">
        <f>3372920</f>
        <v>3372920.0</v>
      </c>
      <c r="U826" s="5" t="s">
        <v>511</v>
      </c>
      <c r="V826" s="23" t="n">
        <f>109060000</f>
        <v>1.0906E8</v>
      </c>
      <c r="W826" s="5" t="s">
        <v>279</v>
      </c>
      <c r="X826" s="23" t="str">
        <f>"－"</f>
        <v>－</v>
      </c>
      <c r="Y826" s="23"/>
      <c r="Z826" s="21" t="str">
        <f>"－"</f>
        <v>－</v>
      </c>
      <c r="AA826" s="21" t="n">
        <f>114</f>
        <v>114.0</v>
      </c>
      <c r="AB826" s="4" t="s">
        <v>447</v>
      </c>
      <c r="AC826" s="22" t="n">
        <f>1285</f>
        <v>1285.0</v>
      </c>
      <c r="AD826" s="5" t="s">
        <v>921</v>
      </c>
      <c r="AE826" s="23" t="n">
        <f>13</f>
        <v>13.0</v>
      </c>
    </row>
    <row r="827">
      <c r="A827" s="24" t="s">
        <v>1706</v>
      </c>
      <c r="B827" s="25" t="s">
        <v>1707</v>
      </c>
      <c r="C827" s="26"/>
      <c r="D827" s="27"/>
      <c r="E827" s="28" t="s">
        <v>127</v>
      </c>
      <c r="F827" s="20" t="n">
        <f>122</f>
        <v>122.0</v>
      </c>
      <c r="G827" s="21" t="n">
        <f>3714</f>
        <v>3714.0</v>
      </c>
      <c r="H827" s="21"/>
      <c r="I827" s="21" t="n">
        <f>1107</f>
        <v>1107.0</v>
      </c>
      <c r="J827" s="21" t="n">
        <f>30</f>
        <v>30.0</v>
      </c>
      <c r="K827" s="21" t="n">
        <f>9</f>
        <v>9.0</v>
      </c>
      <c r="L827" s="4" t="s">
        <v>924</v>
      </c>
      <c r="M827" s="22" t="n">
        <f>284</f>
        <v>284.0</v>
      </c>
      <c r="N827" s="5" t="s">
        <v>672</v>
      </c>
      <c r="O827" s="23" t="str">
        <f>"－"</f>
        <v>－</v>
      </c>
      <c r="P827" s="3" t="s">
        <v>1712</v>
      </c>
      <c r="Q827" s="21"/>
      <c r="R827" s="3" t="s">
        <v>1713</v>
      </c>
      <c r="S827" s="21" t="n">
        <f>19193939</f>
        <v>1.9193939E7</v>
      </c>
      <c r="T827" s="21" t="n">
        <f>5760601</f>
        <v>5760601.0</v>
      </c>
      <c r="U827" s="5" t="s">
        <v>924</v>
      </c>
      <c r="V827" s="23" t="n">
        <f>181909200</f>
        <v>1.819092E8</v>
      </c>
      <c r="W827" s="5" t="s">
        <v>672</v>
      </c>
      <c r="X827" s="23" t="str">
        <f>"－"</f>
        <v>－</v>
      </c>
      <c r="Y827" s="23"/>
      <c r="Z827" s="21" t="str">
        <f>"－"</f>
        <v>－</v>
      </c>
      <c r="AA827" s="21" t="n">
        <f>25</f>
        <v>25.0</v>
      </c>
      <c r="AB827" s="4" t="s">
        <v>537</v>
      </c>
      <c r="AC827" s="22" t="n">
        <f>559</f>
        <v>559.0</v>
      </c>
      <c r="AD827" s="5" t="s">
        <v>904</v>
      </c>
      <c r="AE827" s="23" t="n">
        <f>10</f>
        <v>10.0</v>
      </c>
    </row>
    <row r="828">
      <c r="A828" s="24" t="s">
        <v>1706</v>
      </c>
      <c r="B828" s="25" t="s">
        <v>1707</v>
      </c>
      <c r="C828" s="26"/>
      <c r="D828" s="27"/>
      <c r="E828" s="28" t="s">
        <v>133</v>
      </c>
      <c r="F828" s="20" t="n">
        <f>122</f>
        <v>122.0</v>
      </c>
      <c r="G828" s="21" t="n">
        <f>1865</f>
        <v>1865.0</v>
      </c>
      <c r="H828" s="21"/>
      <c r="I828" s="21" t="n">
        <f>771</f>
        <v>771.0</v>
      </c>
      <c r="J828" s="21" t="n">
        <f>15</f>
        <v>15.0</v>
      </c>
      <c r="K828" s="21" t="n">
        <f>6</f>
        <v>6.0</v>
      </c>
      <c r="L828" s="4" t="s">
        <v>1116</v>
      </c>
      <c r="M828" s="22" t="n">
        <f>204</f>
        <v>204.0</v>
      </c>
      <c r="N828" s="5" t="s">
        <v>279</v>
      </c>
      <c r="O828" s="23" t="str">
        <f>"－"</f>
        <v>－</v>
      </c>
      <c r="P828" s="3" t="s">
        <v>1714</v>
      </c>
      <c r="Q828" s="21"/>
      <c r="R828" s="3" t="s">
        <v>1715</v>
      </c>
      <c r="S828" s="21" t="n">
        <f>11613541</f>
        <v>1.1613541E7</v>
      </c>
      <c r="T828" s="21" t="n">
        <f>4839441</f>
        <v>4839441.0</v>
      </c>
      <c r="U828" s="5" t="s">
        <v>1116</v>
      </c>
      <c r="V828" s="23" t="n">
        <f>158449000</f>
        <v>1.58449E8</v>
      </c>
      <c r="W828" s="5" t="s">
        <v>279</v>
      </c>
      <c r="X828" s="23" t="str">
        <f>"－"</f>
        <v>－</v>
      </c>
      <c r="Y828" s="23"/>
      <c r="Z828" s="21" t="str">
        <f>"－"</f>
        <v>－</v>
      </c>
      <c r="AA828" s="21" t="n">
        <f>4</f>
        <v>4.0</v>
      </c>
      <c r="AB828" s="4" t="s">
        <v>1116</v>
      </c>
      <c r="AC828" s="22" t="n">
        <f>342</f>
        <v>342.0</v>
      </c>
      <c r="AD828" s="5" t="s">
        <v>585</v>
      </c>
      <c r="AE828" s="23" t="n">
        <f>4</f>
        <v>4.0</v>
      </c>
    </row>
    <row r="829">
      <c r="A829" s="24" t="s">
        <v>1706</v>
      </c>
      <c r="B829" s="25" t="s">
        <v>1707</v>
      </c>
      <c r="C829" s="26"/>
      <c r="D829" s="27"/>
      <c r="E829" s="28" t="s">
        <v>139</v>
      </c>
      <c r="F829" s="20" t="n">
        <f>123</f>
        <v>123.0</v>
      </c>
      <c r="G829" s="21" t="n">
        <f>808</f>
        <v>808.0</v>
      </c>
      <c r="H829" s="21"/>
      <c r="I829" s="21" t="n">
        <f>203</f>
        <v>203.0</v>
      </c>
      <c r="J829" s="21" t="n">
        <f>7</f>
        <v>7.0</v>
      </c>
      <c r="K829" s="21" t="n">
        <f>2</f>
        <v>2.0</v>
      </c>
      <c r="L829" s="4" t="s">
        <v>57</v>
      </c>
      <c r="M829" s="22" t="n">
        <f>90</f>
        <v>90.0</v>
      </c>
      <c r="N829" s="5" t="s">
        <v>335</v>
      </c>
      <c r="O829" s="23" t="str">
        <f>"－"</f>
        <v>－</v>
      </c>
      <c r="P829" s="3" t="s">
        <v>1716</v>
      </c>
      <c r="Q829" s="21"/>
      <c r="R829" s="3" t="s">
        <v>1717</v>
      </c>
      <c r="S829" s="21" t="n">
        <f>5029568</f>
        <v>5029568.0</v>
      </c>
      <c r="T829" s="21" t="n">
        <f>1258967</f>
        <v>1258967.0</v>
      </c>
      <c r="U829" s="5" t="s">
        <v>57</v>
      </c>
      <c r="V829" s="23" t="n">
        <f>70351000</f>
        <v>7.0351E7</v>
      </c>
      <c r="W829" s="5" t="s">
        <v>335</v>
      </c>
      <c r="X829" s="23" t="str">
        <f>"－"</f>
        <v>－</v>
      </c>
      <c r="Y829" s="23"/>
      <c r="Z829" s="21" t="str">
        <f>"－"</f>
        <v>－</v>
      </c>
      <c r="AA829" s="21" t="n">
        <f>24</f>
        <v>24.0</v>
      </c>
      <c r="AB829" s="4" t="s">
        <v>999</v>
      </c>
      <c r="AC829" s="22" t="n">
        <f>215</f>
        <v>215.0</v>
      </c>
      <c r="AD829" s="5" t="s">
        <v>129</v>
      </c>
      <c r="AE829" s="23" t="str">
        <f>"－"</f>
        <v>－</v>
      </c>
    </row>
    <row r="830">
      <c r="A830" s="24" t="s">
        <v>1706</v>
      </c>
      <c r="B830" s="25" t="s">
        <v>1707</v>
      </c>
      <c r="C830" s="26"/>
      <c r="D830" s="27"/>
      <c r="E830" s="28" t="s">
        <v>145</v>
      </c>
      <c r="F830" s="20" t="n">
        <f>122</f>
        <v>122.0</v>
      </c>
      <c r="G830" s="21" t="n">
        <f>619</f>
        <v>619.0</v>
      </c>
      <c r="H830" s="21"/>
      <c r="I830" s="21" t="n">
        <f>268</f>
        <v>268.0</v>
      </c>
      <c r="J830" s="21" t="n">
        <f>5</f>
        <v>5.0</v>
      </c>
      <c r="K830" s="21" t="n">
        <f>2</f>
        <v>2.0</v>
      </c>
      <c r="L830" s="4" t="s">
        <v>379</v>
      </c>
      <c r="M830" s="22" t="n">
        <f>91</f>
        <v>91.0</v>
      </c>
      <c r="N830" s="5" t="s">
        <v>82</v>
      </c>
      <c r="O830" s="23" t="str">
        <f>"－"</f>
        <v>－</v>
      </c>
      <c r="P830" s="3" t="s">
        <v>1718</v>
      </c>
      <c r="Q830" s="21"/>
      <c r="R830" s="3" t="s">
        <v>1719</v>
      </c>
      <c r="S830" s="21" t="n">
        <f>3650820</f>
        <v>3650820.0</v>
      </c>
      <c r="T830" s="21" t="n">
        <f>1569030</f>
        <v>1569030.0</v>
      </c>
      <c r="U830" s="5" t="s">
        <v>379</v>
      </c>
      <c r="V830" s="23" t="n">
        <f>65294200</f>
        <v>6.52942E7</v>
      </c>
      <c r="W830" s="5" t="s">
        <v>82</v>
      </c>
      <c r="X830" s="23" t="str">
        <f>"－"</f>
        <v>－</v>
      </c>
      <c r="Y830" s="23"/>
      <c r="Z830" s="21" t="str">
        <f>"－"</f>
        <v>－</v>
      </c>
      <c r="AA830" s="21" t="str">
        <f>"－"</f>
        <v>－</v>
      </c>
      <c r="AB830" s="4" t="s">
        <v>593</v>
      </c>
      <c r="AC830" s="22" t="n">
        <f>116</f>
        <v>116.0</v>
      </c>
      <c r="AD830" s="5" t="s">
        <v>809</v>
      </c>
      <c r="AE830" s="23" t="str">
        <f>"－"</f>
        <v>－</v>
      </c>
    </row>
    <row r="831">
      <c r="A831" s="24" t="s">
        <v>1706</v>
      </c>
      <c r="B831" s="25" t="s">
        <v>1707</v>
      </c>
      <c r="C831" s="26"/>
      <c r="D831" s="27"/>
      <c r="E831" s="28" t="s">
        <v>150</v>
      </c>
      <c r="F831" s="20" t="n">
        <f>124</f>
        <v>124.0</v>
      </c>
      <c r="G831" s="21" t="n">
        <f>937</f>
        <v>937.0</v>
      </c>
      <c r="H831" s="21"/>
      <c r="I831" s="21" t="n">
        <f>450</f>
        <v>450.0</v>
      </c>
      <c r="J831" s="21" t="n">
        <f>8</f>
        <v>8.0</v>
      </c>
      <c r="K831" s="21" t="n">
        <f>4</f>
        <v>4.0</v>
      </c>
      <c r="L831" s="4" t="s">
        <v>944</v>
      </c>
      <c r="M831" s="22" t="n">
        <f>174</f>
        <v>174.0</v>
      </c>
      <c r="N831" s="5" t="s">
        <v>666</v>
      </c>
      <c r="O831" s="23" t="str">
        <f>"－"</f>
        <v>－</v>
      </c>
      <c r="P831" s="3" t="s">
        <v>1720</v>
      </c>
      <c r="Q831" s="21"/>
      <c r="R831" s="3" t="s">
        <v>1721</v>
      </c>
      <c r="S831" s="21" t="n">
        <f>6089540</f>
        <v>6089540.0</v>
      </c>
      <c r="T831" s="21" t="n">
        <f>2868998</f>
        <v>2868998.0</v>
      </c>
      <c r="U831" s="5" t="s">
        <v>944</v>
      </c>
      <c r="V831" s="23" t="n">
        <f>136105500</f>
        <v>1.361055E8</v>
      </c>
      <c r="W831" s="5" t="s">
        <v>666</v>
      </c>
      <c r="X831" s="23" t="str">
        <f>"－"</f>
        <v>－</v>
      </c>
      <c r="Y831" s="23"/>
      <c r="Z831" s="21" t="str">
        <f>"－"</f>
        <v>－</v>
      </c>
      <c r="AA831" s="21" t="str">
        <f>"－"</f>
        <v>－</v>
      </c>
      <c r="AB831" s="4" t="s">
        <v>944</v>
      </c>
      <c r="AC831" s="22" t="n">
        <f>238</f>
        <v>238.0</v>
      </c>
      <c r="AD831" s="5" t="s">
        <v>666</v>
      </c>
      <c r="AE831" s="23" t="str">
        <f>"－"</f>
        <v>－</v>
      </c>
    </row>
    <row r="832">
      <c r="A832" s="24" t="s">
        <v>1706</v>
      </c>
      <c r="B832" s="25" t="s">
        <v>1707</v>
      </c>
      <c r="C832" s="26"/>
      <c r="D832" s="27"/>
      <c r="E832" s="28" t="s">
        <v>154</v>
      </c>
      <c r="F832" s="20" t="n">
        <f>120</f>
        <v>120.0</v>
      </c>
      <c r="G832" s="21" t="n">
        <f>684</f>
        <v>684.0</v>
      </c>
      <c r="H832" s="21"/>
      <c r="I832" s="21" t="n">
        <f>442</f>
        <v>442.0</v>
      </c>
      <c r="J832" s="21" t="n">
        <f>6</f>
        <v>6.0</v>
      </c>
      <c r="K832" s="21" t="n">
        <f>4</f>
        <v>4.0</v>
      </c>
      <c r="L832" s="4" t="s">
        <v>1144</v>
      </c>
      <c r="M832" s="22" t="n">
        <f>122</f>
        <v>122.0</v>
      </c>
      <c r="N832" s="5" t="s">
        <v>268</v>
      </c>
      <c r="O832" s="23" t="str">
        <f>"－"</f>
        <v>－</v>
      </c>
      <c r="P832" s="3" t="s">
        <v>1722</v>
      </c>
      <c r="Q832" s="21"/>
      <c r="R832" s="3" t="s">
        <v>1723</v>
      </c>
      <c r="S832" s="21" t="n">
        <f>4429435</f>
        <v>4429435.0</v>
      </c>
      <c r="T832" s="21" t="n">
        <f>2855408</f>
        <v>2855408.0</v>
      </c>
      <c r="U832" s="5" t="s">
        <v>1144</v>
      </c>
      <c r="V832" s="23" t="n">
        <f>94728100</f>
        <v>9.47281E7</v>
      </c>
      <c r="W832" s="5" t="s">
        <v>268</v>
      </c>
      <c r="X832" s="23" t="str">
        <f>"－"</f>
        <v>－</v>
      </c>
      <c r="Y832" s="23"/>
      <c r="Z832" s="21" t="str">
        <f>"－"</f>
        <v>－</v>
      </c>
      <c r="AA832" s="21" t="str">
        <f>"－"</f>
        <v>－</v>
      </c>
      <c r="AB832" s="4" t="s">
        <v>113</v>
      </c>
      <c r="AC832" s="22" t="n">
        <f>128</f>
        <v>128.0</v>
      </c>
      <c r="AD832" s="5" t="s">
        <v>268</v>
      </c>
      <c r="AE832" s="23" t="str">
        <f>"－"</f>
        <v>－</v>
      </c>
    </row>
    <row r="833">
      <c r="A833" s="24" t="s">
        <v>1724</v>
      </c>
      <c r="B833" s="25" t="s">
        <v>1725</v>
      </c>
      <c r="C833" s="26"/>
      <c r="D833" s="27"/>
      <c r="E833" s="28" t="s">
        <v>118</v>
      </c>
      <c r="F833" s="20" t="n">
        <f>45</f>
        <v>45.0</v>
      </c>
      <c r="G833" s="21" t="n">
        <f>1535</f>
        <v>1535.0</v>
      </c>
      <c r="H833" s="21"/>
      <c r="I833" s="21" t="n">
        <f>224</f>
        <v>224.0</v>
      </c>
      <c r="J833" s="21" t="n">
        <f>34</f>
        <v>34.0</v>
      </c>
      <c r="K833" s="21" t="n">
        <f>5</f>
        <v>5.0</v>
      </c>
      <c r="L833" s="4" t="s">
        <v>1446</v>
      </c>
      <c r="M833" s="22" t="n">
        <f>270</f>
        <v>270.0</v>
      </c>
      <c r="N833" s="5" t="s">
        <v>853</v>
      </c>
      <c r="O833" s="23" t="str">
        <f>"－"</f>
        <v>－</v>
      </c>
      <c r="P833" s="3" t="s">
        <v>1726</v>
      </c>
      <c r="Q833" s="21"/>
      <c r="R833" s="3" t="s">
        <v>1727</v>
      </c>
      <c r="S833" s="21" t="n">
        <f>15226820</f>
        <v>1.522682E7</v>
      </c>
      <c r="T833" s="21" t="n">
        <f>2192811</f>
        <v>2192811.0</v>
      </c>
      <c r="U833" s="5" t="s">
        <v>1446</v>
      </c>
      <c r="V833" s="23" t="n">
        <f>124200000</f>
        <v>1.242E8</v>
      </c>
      <c r="W833" s="5" t="s">
        <v>853</v>
      </c>
      <c r="X833" s="23" t="str">
        <f>"－"</f>
        <v>－</v>
      </c>
      <c r="Y833" s="23"/>
      <c r="Z833" s="21" t="str">
        <f>"－"</f>
        <v>－</v>
      </c>
      <c r="AA833" s="21" t="n">
        <f>1336</f>
        <v>1336.0</v>
      </c>
      <c r="AB833" s="4" t="s">
        <v>450</v>
      </c>
      <c r="AC833" s="22" t="n">
        <f>1618</f>
        <v>1618.0</v>
      </c>
      <c r="AD833" s="5" t="s">
        <v>853</v>
      </c>
      <c r="AE833" s="23" t="n">
        <f>700</f>
        <v>700.0</v>
      </c>
    </row>
    <row r="834">
      <c r="A834" s="24" t="s">
        <v>1724</v>
      </c>
      <c r="B834" s="25" t="s">
        <v>1725</v>
      </c>
      <c r="C834" s="26"/>
      <c r="D834" s="27"/>
      <c r="E834" s="28" t="s">
        <v>124</v>
      </c>
      <c r="F834" s="20" t="n">
        <f>123</f>
        <v>123.0</v>
      </c>
      <c r="G834" s="21" t="n">
        <f>6524</f>
        <v>6524.0</v>
      </c>
      <c r="H834" s="21"/>
      <c r="I834" s="21" t="n">
        <f>1820</f>
        <v>1820.0</v>
      </c>
      <c r="J834" s="21" t="n">
        <f>53</f>
        <v>53.0</v>
      </c>
      <c r="K834" s="21" t="n">
        <f>15</f>
        <v>15.0</v>
      </c>
      <c r="L834" s="4" t="s">
        <v>954</v>
      </c>
      <c r="M834" s="22" t="n">
        <f>898</f>
        <v>898.0</v>
      </c>
      <c r="N834" s="5" t="s">
        <v>644</v>
      </c>
      <c r="O834" s="23" t="str">
        <f>"－"</f>
        <v>－</v>
      </c>
      <c r="P834" s="3" t="s">
        <v>1728</v>
      </c>
      <c r="Q834" s="21"/>
      <c r="R834" s="3" t="s">
        <v>1729</v>
      </c>
      <c r="S834" s="21" t="n">
        <f>25180914</f>
        <v>2.5180914E7</v>
      </c>
      <c r="T834" s="21" t="n">
        <f>7129248</f>
        <v>7129248.0</v>
      </c>
      <c r="U834" s="5" t="s">
        <v>954</v>
      </c>
      <c r="V834" s="23" t="n">
        <f>385764000</f>
        <v>3.85764E8</v>
      </c>
      <c r="W834" s="5" t="s">
        <v>644</v>
      </c>
      <c r="X834" s="23" t="str">
        <f>"－"</f>
        <v>－</v>
      </c>
      <c r="Y834" s="23"/>
      <c r="Z834" s="21" t="str">
        <f>"－"</f>
        <v>－</v>
      </c>
      <c r="AA834" s="21" t="n">
        <f>48</f>
        <v>48.0</v>
      </c>
      <c r="AB834" s="4" t="s">
        <v>466</v>
      </c>
      <c r="AC834" s="22" t="n">
        <f>2730</f>
        <v>2730.0</v>
      </c>
      <c r="AD834" s="5" t="s">
        <v>921</v>
      </c>
      <c r="AE834" s="23" t="n">
        <f>12</f>
        <v>12.0</v>
      </c>
    </row>
    <row r="835">
      <c r="A835" s="24" t="s">
        <v>1724</v>
      </c>
      <c r="B835" s="25" t="s">
        <v>1725</v>
      </c>
      <c r="C835" s="26"/>
      <c r="D835" s="27"/>
      <c r="E835" s="28" t="s">
        <v>127</v>
      </c>
      <c r="F835" s="20" t="n">
        <f>122</f>
        <v>122.0</v>
      </c>
      <c r="G835" s="21" t="n">
        <f>2370</f>
        <v>2370.0</v>
      </c>
      <c r="H835" s="21"/>
      <c r="I835" s="21" t="n">
        <f>613</f>
        <v>613.0</v>
      </c>
      <c r="J835" s="21" t="n">
        <f>19</f>
        <v>19.0</v>
      </c>
      <c r="K835" s="21" t="n">
        <f>5</f>
        <v>5.0</v>
      </c>
      <c r="L835" s="4" t="s">
        <v>895</v>
      </c>
      <c r="M835" s="22" t="n">
        <f>292</f>
        <v>292.0</v>
      </c>
      <c r="N835" s="5" t="s">
        <v>335</v>
      </c>
      <c r="O835" s="23" t="str">
        <f>"－"</f>
        <v>－</v>
      </c>
      <c r="P835" s="3" t="s">
        <v>1730</v>
      </c>
      <c r="Q835" s="21"/>
      <c r="R835" s="3" t="s">
        <v>1731</v>
      </c>
      <c r="S835" s="21" t="n">
        <f>12342535</f>
        <v>1.2342535E7</v>
      </c>
      <c r="T835" s="21" t="n">
        <f>3238039</f>
        <v>3238039.0</v>
      </c>
      <c r="U835" s="5" t="s">
        <v>895</v>
      </c>
      <c r="V835" s="23" t="n">
        <f>197743000</f>
        <v>1.97743E8</v>
      </c>
      <c r="W835" s="5" t="s">
        <v>335</v>
      </c>
      <c r="X835" s="23" t="str">
        <f>"－"</f>
        <v>－</v>
      </c>
      <c r="Y835" s="23"/>
      <c r="Z835" s="21" t="str">
        <f>"－"</f>
        <v>－</v>
      </c>
      <c r="AA835" s="21" t="n">
        <f>210</f>
        <v>210.0</v>
      </c>
      <c r="AB835" s="4" t="s">
        <v>895</v>
      </c>
      <c r="AC835" s="22" t="n">
        <f>628</f>
        <v>628.0</v>
      </c>
      <c r="AD835" s="5" t="s">
        <v>163</v>
      </c>
      <c r="AE835" s="23" t="n">
        <f>17</f>
        <v>17.0</v>
      </c>
    </row>
    <row r="836">
      <c r="A836" s="24" t="s">
        <v>1724</v>
      </c>
      <c r="B836" s="25" t="s">
        <v>1725</v>
      </c>
      <c r="C836" s="26"/>
      <c r="D836" s="27"/>
      <c r="E836" s="28" t="s">
        <v>133</v>
      </c>
      <c r="F836" s="20" t="n">
        <f>122</f>
        <v>122.0</v>
      </c>
      <c r="G836" s="21" t="n">
        <f>3327</f>
        <v>3327.0</v>
      </c>
      <c r="H836" s="21"/>
      <c r="I836" s="21" t="n">
        <f>1126</f>
        <v>1126.0</v>
      </c>
      <c r="J836" s="21" t="n">
        <f>27</f>
        <v>27.0</v>
      </c>
      <c r="K836" s="21" t="n">
        <f>9</f>
        <v>9.0</v>
      </c>
      <c r="L836" s="4" t="s">
        <v>1116</v>
      </c>
      <c r="M836" s="22" t="n">
        <f>528</f>
        <v>528.0</v>
      </c>
      <c r="N836" s="5" t="s">
        <v>519</v>
      </c>
      <c r="O836" s="23" t="str">
        <f>"－"</f>
        <v>－</v>
      </c>
      <c r="P836" s="3" t="s">
        <v>1732</v>
      </c>
      <c r="Q836" s="21"/>
      <c r="R836" s="3" t="s">
        <v>1733</v>
      </c>
      <c r="S836" s="21" t="n">
        <f>20748443</f>
        <v>2.0748443E7</v>
      </c>
      <c r="T836" s="21" t="n">
        <f>7049889</f>
        <v>7049889.0</v>
      </c>
      <c r="U836" s="5" t="s">
        <v>1116</v>
      </c>
      <c r="V836" s="23" t="n">
        <f>412883000</f>
        <v>4.12883E8</v>
      </c>
      <c r="W836" s="5" t="s">
        <v>519</v>
      </c>
      <c r="X836" s="23" t="str">
        <f>"－"</f>
        <v>－</v>
      </c>
      <c r="Y836" s="23"/>
      <c r="Z836" s="21" t="str">
        <f>"－"</f>
        <v>－</v>
      </c>
      <c r="AA836" s="21" t="n">
        <f>4</f>
        <v>4.0</v>
      </c>
      <c r="AB836" s="4" t="s">
        <v>1116</v>
      </c>
      <c r="AC836" s="22" t="n">
        <f>866</f>
        <v>866.0</v>
      </c>
      <c r="AD836" s="5" t="s">
        <v>585</v>
      </c>
      <c r="AE836" s="23" t="n">
        <f>4</f>
        <v>4.0</v>
      </c>
    </row>
    <row r="837">
      <c r="A837" s="24" t="s">
        <v>1724</v>
      </c>
      <c r="B837" s="25" t="s">
        <v>1725</v>
      </c>
      <c r="C837" s="26"/>
      <c r="D837" s="27"/>
      <c r="E837" s="28" t="s">
        <v>139</v>
      </c>
      <c r="F837" s="20" t="n">
        <f>123</f>
        <v>123.0</v>
      </c>
      <c r="G837" s="21" t="n">
        <f>344</f>
        <v>344.0</v>
      </c>
      <c r="H837" s="21"/>
      <c r="I837" s="21" t="n">
        <f>41</f>
        <v>41.0</v>
      </c>
      <c r="J837" s="21" t="n">
        <f>3</f>
        <v>3.0</v>
      </c>
      <c r="K837" s="21" t="n">
        <f>0</f>
        <v>0.0</v>
      </c>
      <c r="L837" s="4" t="s">
        <v>254</v>
      </c>
      <c r="M837" s="22" t="n">
        <f>46</f>
        <v>46.0</v>
      </c>
      <c r="N837" s="5" t="s">
        <v>335</v>
      </c>
      <c r="O837" s="23" t="str">
        <f>"－"</f>
        <v>－</v>
      </c>
      <c r="P837" s="3" t="s">
        <v>1734</v>
      </c>
      <c r="Q837" s="21"/>
      <c r="R837" s="3" t="s">
        <v>1735</v>
      </c>
      <c r="S837" s="21" t="n">
        <f>2168488</f>
        <v>2168488.0</v>
      </c>
      <c r="T837" s="21" t="n">
        <f>261870</f>
        <v>261870.0</v>
      </c>
      <c r="U837" s="5" t="s">
        <v>254</v>
      </c>
      <c r="V837" s="23" t="n">
        <f>35675000</f>
        <v>3.5675E7</v>
      </c>
      <c r="W837" s="5" t="s">
        <v>335</v>
      </c>
      <c r="X837" s="23" t="str">
        <f>"－"</f>
        <v>－</v>
      </c>
      <c r="Y837" s="23"/>
      <c r="Z837" s="21" t="str">
        <f>"－"</f>
        <v>－</v>
      </c>
      <c r="AA837" s="21" t="n">
        <f>28</f>
        <v>28.0</v>
      </c>
      <c r="AB837" s="4" t="s">
        <v>999</v>
      </c>
      <c r="AC837" s="22" t="n">
        <f>97</f>
        <v>97.0</v>
      </c>
      <c r="AD837" s="5" t="s">
        <v>129</v>
      </c>
      <c r="AE837" s="23" t="str">
        <f>"－"</f>
        <v>－</v>
      </c>
    </row>
    <row r="838">
      <c r="A838" s="24" t="s">
        <v>1724</v>
      </c>
      <c r="B838" s="25" t="s">
        <v>1725</v>
      </c>
      <c r="C838" s="26"/>
      <c r="D838" s="27"/>
      <c r="E838" s="28" t="s">
        <v>145</v>
      </c>
      <c r="F838" s="20" t="n">
        <f>122</f>
        <v>122.0</v>
      </c>
      <c r="G838" s="21" t="n">
        <f>315</f>
        <v>315.0</v>
      </c>
      <c r="H838" s="21"/>
      <c r="I838" s="21" t="n">
        <f>151</f>
        <v>151.0</v>
      </c>
      <c r="J838" s="21" t="n">
        <f>3</f>
        <v>3.0</v>
      </c>
      <c r="K838" s="21" t="n">
        <f>1</f>
        <v>1.0</v>
      </c>
      <c r="L838" s="4" t="s">
        <v>593</v>
      </c>
      <c r="M838" s="22" t="n">
        <f>61</f>
        <v>61.0</v>
      </c>
      <c r="N838" s="5" t="s">
        <v>82</v>
      </c>
      <c r="O838" s="23" t="str">
        <f>"－"</f>
        <v>－</v>
      </c>
      <c r="P838" s="3" t="s">
        <v>1736</v>
      </c>
      <c r="Q838" s="21"/>
      <c r="R838" s="3" t="s">
        <v>1737</v>
      </c>
      <c r="S838" s="21" t="n">
        <f>2045244</f>
        <v>2045244.0</v>
      </c>
      <c r="T838" s="21" t="n">
        <f>983818</f>
        <v>983818.0</v>
      </c>
      <c r="U838" s="5" t="s">
        <v>593</v>
      </c>
      <c r="V838" s="23" t="n">
        <f>48640000</f>
        <v>4.864E7</v>
      </c>
      <c r="W838" s="5" t="s">
        <v>82</v>
      </c>
      <c r="X838" s="23" t="str">
        <f>"－"</f>
        <v>－</v>
      </c>
      <c r="Y838" s="23"/>
      <c r="Z838" s="21" t="str">
        <f>"－"</f>
        <v>－</v>
      </c>
      <c r="AA838" s="21" t="str">
        <f>"－"</f>
        <v>－</v>
      </c>
      <c r="AB838" s="4" t="s">
        <v>593</v>
      </c>
      <c r="AC838" s="22" t="n">
        <f>95</f>
        <v>95.0</v>
      </c>
      <c r="AD838" s="5" t="s">
        <v>809</v>
      </c>
      <c r="AE838" s="23" t="str">
        <f>"－"</f>
        <v>－</v>
      </c>
    </row>
    <row r="839">
      <c r="A839" s="24" t="s">
        <v>1724</v>
      </c>
      <c r="B839" s="25" t="s">
        <v>1725</v>
      </c>
      <c r="C839" s="26"/>
      <c r="D839" s="27"/>
      <c r="E839" s="28" t="s">
        <v>150</v>
      </c>
      <c r="F839" s="20" t="n">
        <f>124</f>
        <v>124.0</v>
      </c>
      <c r="G839" s="21" t="n">
        <f>207</f>
        <v>207.0</v>
      </c>
      <c r="H839" s="21"/>
      <c r="I839" s="21" t="n">
        <f>30</f>
        <v>30.0</v>
      </c>
      <c r="J839" s="21" t="n">
        <f>2</f>
        <v>2.0</v>
      </c>
      <c r="K839" s="21" t="n">
        <f>0</f>
        <v>0.0</v>
      </c>
      <c r="L839" s="4" t="s">
        <v>57</v>
      </c>
      <c r="M839" s="22" t="n">
        <f>36</f>
        <v>36.0</v>
      </c>
      <c r="N839" s="5" t="s">
        <v>666</v>
      </c>
      <c r="O839" s="23" t="str">
        <f>"－"</f>
        <v>－</v>
      </c>
      <c r="P839" s="3" t="s">
        <v>1738</v>
      </c>
      <c r="Q839" s="21"/>
      <c r="R839" s="3" t="s">
        <v>1739</v>
      </c>
      <c r="S839" s="21" t="n">
        <f>1418919</f>
        <v>1418919.0</v>
      </c>
      <c r="T839" s="21" t="n">
        <f>220161</f>
        <v>220161.0</v>
      </c>
      <c r="U839" s="5" t="s">
        <v>57</v>
      </c>
      <c r="V839" s="23" t="n">
        <f>32760000</f>
        <v>3.276E7</v>
      </c>
      <c r="W839" s="5" t="s">
        <v>666</v>
      </c>
      <c r="X839" s="23" t="str">
        <f>"－"</f>
        <v>－</v>
      </c>
      <c r="Y839" s="23"/>
      <c r="Z839" s="21" t="str">
        <f>"－"</f>
        <v>－</v>
      </c>
      <c r="AA839" s="21" t="str">
        <f>"－"</f>
        <v>－</v>
      </c>
      <c r="AB839" s="4" t="s">
        <v>57</v>
      </c>
      <c r="AC839" s="22" t="n">
        <f>56</f>
        <v>56.0</v>
      </c>
      <c r="AD839" s="5" t="s">
        <v>666</v>
      </c>
      <c r="AE839" s="23" t="str">
        <f>"－"</f>
        <v>－</v>
      </c>
    </row>
    <row r="840">
      <c r="A840" s="24" t="s">
        <v>1724</v>
      </c>
      <c r="B840" s="25" t="s">
        <v>1725</v>
      </c>
      <c r="C840" s="26"/>
      <c r="D840" s="27"/>
      <c r="E840" s="28" t="s">
        <v>154</v>
      </c>
      <c r="F840" s="20" t="n">
        <f>120</f>
        <v>120.0</v>
      </c>
      <c r="G840" s="21" t="n">
        <f>203</f>
        <v>203.0</v>
      </c>
      <c r="H840" s="21"/>
      <c r="I840" s="21" t="n">
        <f>34</f>
        <v>34.0</v>
      </c>
      <c r="J840" s="21" t="n">
        <f>2</f>
        <v>2.0</v>
      </c>
      <c r="K840" s="21" t="n">
        <f>0</f>
        <v>0.0</v>
      </c>
      <c r="L840" s="4" t="s">
        <v>1116</v>
      </c>
      <c r="M840" s="22" t="n">
        <f>26</f>
        <v>26.0</v>
      </c>
      <c r="N840" s="5" t="s">
        <v>268</v>
      </c>
      <c r="O840" s="23" t="str">
        <f>"－"</f>
        <v>－</v>
      </c>
      <c r="P840" s="3" t="s">
        <v>1740</v>
      </c>
      <c r="Q840" s="21"/>
      <c r="R840" s="3" t="s">
        <v>1741</v>
      </c>
      <c r="S840" s="21" t="n">
        <f>1384120</f>
        <v>1384120.0</v>
      </c>
      <c r="T840" s="21" t="n">
        <f>228658</f>
        <v>228658.0</v>
      </c>
      <c r="U840" s="5" t="s">
        <v>1116</v>
      </c>
      <c r="V840" s="23" t="n">
        <f>20135000</f>
        <v>2.0135E7</v>
      </c>
      <c r="W840" s="5" t="s">
        <v>268</v>
      </c>
      <c r="X840" s="23" t="str">
        <f>"－"</f>
        <v>－</v>
      </c>
      <c r="Y840" s="23"/>
      <c r="Z840" s="21" t="str">
        <f>"－"</f>
        <v>－</v>
      </c>
      <c r="AA840" s="21" t="str">
        <f>"－"</f>
        <v>－</v>
      </c>
      <c r="AB840" s="4" t="s">
        <v>113</v>
      </c>
      <c r="AC840" s="22" t="n">
        <f>47</f>
        <v>47.0</v>
      </c>
      <c r="AD840" s="5" t="s">
        <v>268</v>
      </c>
      <c r="AE840" s="23" t="str">
        <f>"－"</f>
        <v>－</v>
      </c>
    </row>
    <row r="841">
      <c r="A841" s="24" t="s">
        <v>1742</v>
      </c>
      <c r="B841" s="25" t="s">
        <v>1743</v>
      </c>
      <c r="C841" s="26" t="s">
        <v>1744</v>
      </c>
      <c r="D841" s="27" t="s">
        <v>1745</v>
      </c>
      <c r="E841" s="28" t="s">
        <v>48</v>
      </c>
      <c r="F841" s="20" t="n">
        <f>81</f>
        <v>81.0</v>
      </c>
      <c r="G841" s="21" t="n">
        <f>6940943</f>
        <v>6940943.0</v>
      </c>
      <c r="H841" s="21"/>
      <c r="I841" s="21" t="n">
        <f>2535631</f>
        <v>2535631.0</v>
      </c>
      <c r="J841" s="21" t="n">
        <f>85691</f>
        <v>85691.0</v>
      </c>
      <c r="K841" s="21" t="n">
        <f>31304</f>
        <v>31304.0</v>
      </c>
      <c r="L841" s="4" t="s">
        <v>49</v>
      </c>
      <c r="M841" s="22" t="n">
        <f>245400</f>
        <v>245400.0</v>
      </c>
      <c r="N841" s="5" t="s">
        <v>50</v>
      </c>
      <c r="O841" s="23" t="n">
        <f>30295</f>
        <v>30295.0</v>
      </c>
      <c r="P841" s="3" t="s">
        <v>1746</v>
      </c>
      <c r="Q841" s="21"/>
      <c r="R841" s="3" t="s">
        <v>1747</v>
      </c>
      <c r="S841" s="21" t="n">
        <f>13189629728</f>
        <v>1.3189629728E10</v>
      </c>
      <c r="T841" s="21" t="n">
        <f>9445985593</f>
        <v>9.445985593E9</v>
      </c>
      <c r="U841" s="5" t="s">
        <v>90</v>
      </c>
      <c r="V841" s="23" t="n">
        <f>31569265000</f>
        <v>3.1569265E10</v>
      </c>
      <c r="W841" s="5" t="s">
        <v>50</v>
      </c>
      <c r="X841" s="23" t="n">
        <f>2870383000</f>
        <v>2.870383E9</v>
      </c>
      <c r="Y841" s="23" t="n">
        <f>69235</f>
        <v>69235.0</v>
      </c>
      <c r="Z841" s="21" t="n">
        <f>523113</f>
        <v>523113.0</v>
      </c>
      <c r="AA841" s="21" t="n">
        <f>1397347</f>
        <v>1397347.0</v>
      </c>
      <c r="AB841" s="4" t="s">
        <v>241</v>
      </c>
      <c r="AC841" s="22" t="n">
        <f>1983765</f>
        <v>1983765.0</v>
      </c>
      <c r="AD841" s="5" t="s">
        <v>178</v>
      </c>
      <c r="AE841" s="23" t="n">
        <f>1067913</f>
        <v>1067913.0</v>
      </c>
    </row>
    <row r="842">
      <c r="A842" s="24" t="s">
        <v>1742</v>
      </c>
      <c r="B842" s="25" t="s">
        <v>1743</v>
      </c>
      <c r="C842" s="26" t="s">
        <v>1748</v>
      </c>
      <c r="D842" s="27" t="s">
        <v>1749</v>
      </c>
      <c r="E842" s="28" t="s">
        <v>48</v>
      </c>
      <c r="F842" s="20" t="n">
        <f>81</f>
        <v>81.0</v>
      </c>
      <c r="G842" s="21" t="n">
        <f>5927588</f>
        <v>5927588.0</v>
      </c>
      <c r="H842" s="21"/>
      <c r="I842" s="21" t="n">
        <f>2324873</f>
        <v>2324873.0</v>
      </c>
      <c r="J842" s="21" t="n">
        <f>73180</f>
        <v>73180.0</v>
      </c>
      <c r="K842" s="21" t="n">
        <f>28702</f>
        <v>28702.0</v>
      </c>
      <c r="L842" s="4" t="s">
        <v>241</v>
      </c>
      <c r="M842" s="22" t="n">
        <f>144603</f>
        <v>144603.0</v>
      </c>
      <c r="N842" s="5" t="s">
        <v>50</v>
      </c>
      <c r="O842" s="23" t="n">
        <f>23816</f>
        <v>23816.0</v>
      </c>
      <c r="P842" s="3" t="s">
        <v>1750</v>
      </c>
      <c r="Q842" s="21"/>
      <c r="R842" s="3" t="s">
        <v>1751</v>
      </c>
      <c r="S842" s="21" t="n">
        <f>16417820765</f>
        <v>1.6417820765E10</v>
      </c>
      <c r="T842" s="21" t="n">
        <f>12442840099</f>
        <v>1.2442840099E10</v>
      </c>
      <c r="U842" s="5" t="s">
        <v>49</v>
      </c>
      <c r="V842" s="23" t="n">
        <f>54520748000</f>
        <v>5.4520748E10</v>
      </c>
      <c r="W842" s="5" t="s">
        <v>50</v>
      </c>
      <c r="X842" s="23" t="n">
        <f>2549557000</f>
        <v>2.549557E9</v>
      </c>
      <c r="Y842" s="23" t="n">
        <f>852843</f>
        <v>852843.0</v>
      </c>
      <c r="Z842" s="21" t="n">
        <f>660446</f>
        <v>660446.0</v>
      </c>
      <c r="AA842" s="21" t="n">
        <f>1043687</f>
        <v>1043687.0</v>
      </c>
      <c r="AB842" s="4" t="s">
        <v>241</v>
      </c>
      <c r="AC842" s="22" t="n">
        <f>1827599</f>
        <v>1827599.0</v>
      </c>
      <c r="AD842" s="5" t="s">
        <v>178</v>
      </c>
      <c r="AE842" s="23" t="n">
        <f>958004</f>
        <v>958004.0</v>
      </c>
    </row>
    <row r="843">
      <c r="A843" s="24" t="s">
        <v>1742</v>
      </c>
      <c r="B843" s="25" t="s">
        <v>1743</v>
      </c>
      <c r="C843" s="26" t="s">
        <v>1752</v>
      </c>
      <c r="D843" s="27" t="s">
        <v>1753</v>
      </c>
      <c r="E843" s="28" t="s">
        <v>48</v>
      </c>
      <c r="F843" s="20" t="n">
        <f>81</f>
        <v>81.0</v>
      </c>
      <c r="G843" s="21" t="n">
        <f>12868531</f>
        <v>1.2868531E7</v>
      </c>
      <c r="H843" s="21"/>
      <c r="I843" s="21" t="n">
        <f>4860504</f>
        <v>4860504.0</v>
      </c>
      <c r="J843" s="21" t="n">
        <f>158871</f>
        <v>158871.0</v>
      </c>
      <c r="K843" s="21" t="n">
        <f>60006</f>
        <v>60006.0</v>
      </c>
      <c r="L843" s="4" t="s">
        <v>49</v>
      </c>
      <c r="M843" s="22" t="n">
        <f>373700</f>
        <v>373700.0</v>
      </c>
      <c r="N843" s="5" t="s">
        <v>50</v>
      </c>
      <c r="O843" s="23" t="n">
        <f>54111</f>
        <v>54111.0</v>
      </c>
      <c r="P843" s="3" t="s">
        <v>1754</v>
      </c>
      <c r="Q843" s="21"/>
      <c r="R843" s="3" t="s">
        <v>1755</v>
      </c>
      <c r="S843" s="21" t="n">
        <f>29607450494</f>
        <v>2.9607450494E10</v>
      </c>
      <c r="T843" s="21" t="n">
        <f>21888825691</f>
        <v>2.1888825691E10</v>
      </c>
      <c r="U843" s="5" t="s">
        <v>49</v>
      </c>
      <c r="V843" s="23" t="n">
        <f>85478179000</f>
        <v>8.5478179E10</v>
      </c>
      <c r="W843" s="5" t="s">
        <v>50</v>
      </c>
      <c r="X843" s="23" t="n">
        <f>5419940000</f>
        <v>5.41994E9</v>
      </c>
      <c r="Y843" s="23" t="n">
        <f>922078</f>
        <v>922078.0</v>
      </c>
      <c r="Z843" s="21" t="n">
        <f>1183559</f>
        <v>1183559.0</v>
      </c>
      <c r="AA843" s="21" t="n">
        <f>2441034</f>
        <v>2441034.0</v>
      </c>
      <c r="AB843" s="4" t="s">
        <v>241</v>
      </c>
      <c r="AC843" s="22" t="n">
        <f>3811364</f>
        <v>3811364.0</v>
      </c>
      <c r="AD843" s="5" t="s">
        <v>178</v>
      </c>
      <c r="AE843" s="23" t="n">
        <f>2025917</f>
        <v>2025917.0</v>
      </c>
    </row>
    <row r="844">
      <c r="A844" s="24" t="s">
        <v>1742</v>
      </c>
      <c r="B844" s="25" t="s">
        <v>1743</v>
      </c>
      <c r="C844" s="26" t="s">
        <v>1744</v>
      </c>
      <c r="D844" s="27" t="s">
        <v>1745</v>
      </c>
      <c r="E844" s="28" t="s">
        <v>56</v>
      </c>
      <c r="F844" s="20" t="n">
        <f>123</f>
        <v>123.0</v>
      </c>
      <c r="G844" s="21" t="n">
        <f>11390868</f>
        <v>1.1390868E7</v>
      </c>
      <c r="H844" s="21"/>
      <c r="I844" s="21" t="n">
        <f>3406750</f>
        <v>3406750.0</v>
      </c>
      <c r="J844" s="21" t="n">
        <f>92609</f>
        <v>92609.0</v>
      </c>
      <c r="K844" s="21" t="n">
        <f>27697</f>
        <v>27697.0</v>
      </c>
      <c r="L844" s="4" t="s">
        <v>57</v>
      </c>
      <c r="M844" s="22" t="n">
        <f>351057</f>
        <v>351057.0</v>
      </c>
      <c r="N844" s="5" t="s">
        <v>192</v>
      </c>
      <c r="O844" s="23" t="n">
        <f>42980</f>
        <v>42980.0</v>
      </c>
      <c r="P844" s="3" t="s">
        <v>1756</v>
      </c>
      <c r="Q844" s="21"/>
      <c r="R844" s="3" t="s">
        <v>1757</v>
      </c>
      <c r="S844" s="21" t="n">
        <f>16470467016</f>
        <v>1.6470467016E10</v>
      </c>
      <c r="T844" s="21" t="n">
        <f>10257188780</f>
        <v>1.025718878E10</v>
      </c>
      <c r="U844" s="5" t="s">
        <v>57</v>
      </c>
      <c r="V844" s="23" t="n">
        <f>119943442000</f>
        <v>1.19943442E11</v>
      </c>
      <c r="W844" s="5" t="s">
        <v>282</v>
      </c>
      <c r="X844" s="23" t="n">
        <f>4192508000</f>
        <v>4.192508E9</v>
      </c>
      <c r="Y844" s="23" t="n">
        <f>215072</f>
        <v>215072.0</v>
      </c>
      <c r="Z844" s="21" t="n">
        <f>858812</f>
        <v>858812.0</v>
      </c>
      <c r="AA844" s="21" t="n">
        <f>1393617</f>
        <v>1393617.0</v>
      </c>
      <c r="AB844" s="4" t="s">
        <v>193</v>
      </c>
      <c r="AC844" s="22" t="n">
        <f>1564804</f>
        <v>1564804.0</v>
      </c>
      <c r="AD844" s="5" t="s">
        <v>107</v>
      </c>
      <c r="AE844" s="23" t="n">
        <f>1138137</f>
        <v>1138137.0</v>
      </c>
    </row>
    <row r="845">
      <c r="A845" s="24" t="s">
        <v>1742</v>
      </c>
      <c r="B845" s="25" t="s">
        <v>1743</v>
      </c>
      <c r="C845" s="26" t="s">
        <v>1748</v>
      </c>
      <c r="D845" s="27" t="s">
        <v>1749</v>
      </c>
      <c r="E845" s="28" t="s">
        <v>56</v>
      </c>
      <c r="F845" s="20" t="n">
        <f>123</f>
        <v>123.0</v>
      </c>
      <c r="G845" s="21" t="n">
        <f>8774828</f>
        <v>8774828.0</v>
      </c>
      <c r="H845" s="21"/>
      <c r="I845" s="21" t="n">
        <f>2660466</f>
        <v>2660466.0</v>
      </c>
      <c r="J845" s="21" t="n">
        <f>71340</f>
        <v>71340.0</v>
      </c>
      <c r="K845" s="21" t="n">
        <f>21630</f>
        <v>21630.0</v>
      </c>
      <c r="L845" s="4" t="s">
        <v>57</v>
      </c>
      <c r="M845" s="22" t="n">
        <f>196094</f>
        <v>196094.0</v>
      </c>
      <c r="N845" s="5" t="s">
        <v>1758</v>
      </c>
      <c r="O845" s="23" t="n">
        <f>27931</f>
        <v>27931.0</v>
      </c>
      <c r="P845" s="3" t="s">
        <v>1759</v>
      </c>
      <c r="Q845" s="21"/>
      <c r="R845" s="3" t="s">
        <v>1760</v>
      </c>
      <c r="S845" s="21" t="n">
        <f>12872387382</f>
        <v>1.2872387382E10</v>
      </c>
      <c r="T845" s="21" t="n">
        <f>8545819724</f>
        <v>8.545819724E9</v>
      </c>
      <c r="U845" s="5" t="s">
        <v>75</v>
      </c>
      <c r="V845" s="23" t="n">
        <f>37917636000</f>
        <v>3.7917636E10</v>
      </c>
      <c r="W845" s="5" t="s">
        <v>230</v>
      </c>
      <c r="X845" s="23" t="n">
        <f>4115718000</f>
        <v>4.115718E9</v>
      </c>
      <c r="Y845" s="23" t="n">
        <f>388443</f>
        <v>388443.0</v>
      </c>
      <c r="Z845" s="21" t="n">
        <f>821963</f>
        <v>821963.0</v>
      </c>
      <c r="AA845" s="21" t="n">
        <f>1141861</f>
        <v>1141861.0</v>
      </c>
      <c r="AB845" s="4" t="s">
        <v>281</v>
      </c>
      <c r="AC845" s="22" t="n">
        <f>1272179</f>
        <v>1272179.0</v>
      </c>
      <c r="AD845" s="5" t="s">
        <v>107</v>
      </c>
      <c r="AE845" s="23" t="n">
        <f>880853</f>
        <v>880853.0</v>
      </c>
    </row>
    <row r="846">
      <c r="A846" s="24" t="s">
        <v>1742</v>
      </c>
      <c r="B846" s="25" t="s">
        <v>1743</v>
      </c>
      <c r="C846" s="26" t="s">
        <v>1752</v>
      </c>
      <c r="D846" s="27" t="s">
        <v>1753</v>
      </c>
      <c r="E846" s="28" t="s">
        <v>56</v>
      </c>
      <c r="F846" s="20" t="n">
        <f>123</f>
        <v>123.0</v>
      </c>
      <c r="G846" s="21" t="n">
        <f>20165696</f>
        <v>2.0165696E7</v>
      </c>
      <c r="H846" s="21"/>
      <c r="I846" s="21" t="n">
        <f>6067216</f>
        <v>6067216.0</v>
      </c>
      <c r="J846" s="21" t="n">
        <f>163949</f>
        <v>163949.0</v>
      </c>
      <c r="K846" s="21" t="n">
        <f>49327</f>
        <v>49327.0</v>
      </c>
      <c r="L846" s="4" t="s">
        <v>57</v>
      </c>
      <c r="M846" s="22" t="n">
        <f>547151</f>
        <v>547151.0</v>
      </c>
      <c r="N846" s="5" t="s">
        <v>1758</v>
      </c>
      <c r="O846" s="23" t="n">
        <f>71605</f>
        <v>71605.0</v>
      </c>
      <c r="P846" s="3" t="s">
        <v>1761</v>
      </c>
      <c r="Q846" s="21"/>
      <c r="R846" s="3" t="s">
        <v>1762</v>
      </c>
      <c r="S846" s="21" t="n">
        <f>29342854398</f>
        <v>2.9342854398E10</v>
      </c>
      <c r="T846" s="21" t="n">
        <f>18803008504</f>
        <v>1.8803008504E10</v>
      </c>
      <c r="U846" s="5" t="s">
        <v>57</v>
      </c>
      <c r="V846" s="23" t="n">
        <f>153902168000</f>
        <v>1.53902168E11</v>
      </c>
      <c r="W846" s="5" t="s">
        <v>282</v>
      </c>
      <c r="X846" s="23" t="n">
        <f>8411476000</f>
        <v>8.411476E9</v>
      </c>
      <c r="Y846" s="23" t="n">
        <f>603515</f>
        <v>603515.0</v>
      </c>
      <c r="Z846" s="21" t="n">
        <f>1680775</f>
        <v>1680775.0</v>
      </c>
      <c r="AA846" s="21" t="n">
        <f>2535478</f>
        <v>2535478.0</v>
      </c>
      <c r="AB846" s="4" t="s">
        <v>281</v>
      </c>
      <c r="AC846" s="22" t="n">
        <f>2808545</f>
        <v>2808545.0</v>
      </c>
      <c r="AD846" s="5" t="s">
        <v>107</v>
      </c>
      <c r="AE846" s="23" t="n">
        <f>2018990</f>
        <v>2018990.0</v>
      </c>
    </row>
    <row r="847">
      <c r="A847" s="24" t="s">
        <v>1742</v>
      </c>
      <c r="B847" s="25" t="s">
        <v>1743</v>
      </c>
      <c r="C847" s="26" t="s">
        <v>1744</v>
      </c>
      <c r="D847" s="27" t="s">
        <v>1745</v>
      </c>
      <c r="E847" s="28" t="s">
        <v>63</v>
      </c>
      <c r="F847" s="20" t="n">
        <f>122</f>
        <v>122.0</v>
      </c>
      <c r="G847" s="21" t="n">
        <f>9273505</f>
        <v>9273505.0</v>
      </c>
      <c r="H847" s="21"/>
      <c r="I847" s="21" t="n">
        <f>2919790</f>
        <v>2919790.0</v>
      </c>
      <c r="J847" s="21" t="n">
        <f>76012</f>
        <v>76012.0</v>
      </c>
      <c r="K847" s="21" t="n">
        <f>23933</f>
        <v>23933.0</v>
      </c>
      <c r="L847" s="4" t="s">
        <v>1009</v>
      </c>
      <c r="M847" s="22" t="n">
        <f>184340</f>
        <v>184340.0</v>
      </c>
      <c r="N847" s="5" t="s">
        <v>113</v>
      </c>
      <c r="O847" s="23" t="n">
        <f>30069</f>
        <v>30069.0</v>
      </c>
      <c r="P847" s="3" t="s">
        <v>1763</v>
      </c>
      <c r="Q847" s="21"/>
      <c r="R847" s="3" t="s">
        <v>1764</v>
      </c>
      <c r="S847" s="21" t="n">
        <f>17888334402</f>
        <v>1.7888334402E10</v>
      </c>
      <c r="T847" s="21" t="n">
        <f>12515788590</f>
        <v>1.251578859E10</v>
      </c>
      <c r="U847" s="5" t="s">
        <v>170</v>
      </c>
      <c r="V847" s="23" t="n">
        <f>89686905000</f>
        <v>8.9686905E10</v>
      </c>
      <c r="W847" s="5" t="s">
        <v>113</v>
      </c>
      <c r="X847" s="23" t="n">
        <f>3749772000</f>
        <v>3.749772E9</v>
      </c>
      <c r="Y847" s="23" t="n">
        <f>458225</f>
        <v>458225.0</v>
      </c>
      <c r="Z847" s="21" t="n">
        <f>790951</f>
        <v>790951.0</v>
      </c>
      <c r="AA847" s="21" t="n">
        <f>1079131</f>
        <v>1079131.0</v>
      </c>
      <c r="AB847" s="4" t="s">
        <v>49</v>
      </c>
      <c r="AC847" s="22" t="n">
        <f>1505645</f>
        <v>1505645.0</v>
      </c>
      <c r="AD847" s="5" t="s">
        <v>241</v>
      </c>
      <c r="AE847" s="23" t="n">
        <f>829056</f>
        <v>829056.0</v>
      </c>
    </row>
    <row r="848">
      <c r="A848" s="24" t="s">
        <v>1742</v>
      </c>
      <c r="B848" s="25" t="s">
        <v>1743</v>
      </c>
      <c r="C848" s="26" t="s">
        <v>1748</v>
      </c>
      <c r="D848" s="27" t="s">
        <v>1749</v>
      </c>
      <c r="E848" s="28" t="s">
        <v>63</v>
      </c>
      <c r="F848" s="20" t="n">
        <f>122</f>
        <v>122.0</v>
      </c>
      <c r="G848" s="21" t="n">
        <f>8968428</f>
        <v>8968428.0</v>
      </c>
      <c r="H848" s="21"/>
      <c r="I848" s="21" t="n">
        <f>3123285</f>
        <v>3123285.0</v>
      </c>
      <c r="J848" s="21" t="n">
        <f>73512</f>
        <v>73512.0</v>
      </c>
      <c r="K848" s="21" t="n">
        <f>25601</f>
        <v>25601.0</v>
      </c>
      <c r="L848" s="4" t="s">
        <v>287</v>
      </c>
      <c r="M848" s="22" t="n">
        <f>153685</f>
        <v>153685.0</v>
      </c>
      <c r="N848" s="5" t="s">
        <v>994</v>
      </c>
      <c r="O848" s="23" t="n">
        <f>25260</f>
        <v>25260.0</v>
      </c>
      <c r="P848" s="3" t="s">
        <v>1765</v>
      </c>
      <c r="Q848" s="21"/>
      <c r="R848" s="3" t="s">
        <v>1766</v>
      </c>
      <c r="S848" s="21" t="n">
        <f>14160034500</f>
        <v>1.41600345E10</v>
      </c>
      <c r="T848" s="21" t="n">
        <f>9805985721</f>
        <v>9.805985721E9</v>
      </c>
      <c r="U848" s="5" t="s">
        <v>1767</v>
      </c>
      <c r="V848" s="23" t="n">
        <f>35876797000</f>
        <v>3.5876797E10</v>
      </c>
      <c r="W848" s="5" t="s">
        <v>65</v>
      </c>
      <c r="X848" s="23" t="n">
        <f>1551753000</f>
        <v>1.551753E9</v>
      </c>
      <c r="Y848" s="23" t="n">
        <f>372020</f>
        <v>372020.0</v>
      </c>
      <c r="Z848" s="21" t="n">
        <f>1078647</f>
        <v>1078647.0</v>
      </c>
      <c r="AA848" s="21" t="n">
        <f>932060</f>
        <v>932060.0</v>
      </c>
      <c r="AB848" s="4" t="s">
        <v>49</v>
      </c>
      <c r="AC848" s="22" t="n">
        <f>1223080</f>
        <v>1223080.0</v>
      </c>
      <c r="AD848" s="5" t="s">
        <v>241</v>
      </c>
      <c r="AE848" s="23" t="n">
        <f>680939</f>
        <v>680939.0</v>
      </c>
    </row>
    <row r="849">
      <c r="A849" s="24" t="s">
        <v>1742</v>
      </c>
      <c r="B849" s="25" t="s">
        <v>1743</v>
      </c>
      <c r="C849" s="26" t="s">
        <v>1752</v>
      </c>
      <c r="D849" s="27" t="s">
        <v>1753</v>
      </c>
      <c r="E849" s="28" t="s">
        <v>63</v>
      </c>
      <c r="F849" s="20" t="n">
        <f>122</f>
        <v>122.0</v>
      </c>
      <c r="G849" s="21" t="n">
        <f>18241933</f>
        <v>1.8241933E7</v>
      </c>
      <c r="H849" s="21"/>
      <c r="I849" s="21" t="n">
        <f>6043075</f>
        <v>6043075.0</v>
      </c>
      <c r="J849" s="21" t="n">
        <f>149524</f>
        <v>149524.0</v>
      </c>
      <c r="K849" s="21" t="n">
        <f>49533</f>
        <v>49533.0</v>
      </c>
      <c r="L849" s="4" t="s">
        <v>1009</v>
      </c>
      <c r="M849" s="22" t="n">
        <f>319894</f>
        <v>319894.0</v>
      </c>
      <c r="N849" s="5" t="s">
        <v>113</v>
      </c>
      <c r="O849" s="23" t="n">
        <f>58611</f>
        <v>58611.0</v>
      </c>
      <c r="P849" s="3" t="s">
        <v>1768</v>
      </c>
      <c r="Q849" s="21"/>
      <c r="R849" s="3" t="s">
        <v>1769</v>
      </c>
      <c r="S849" s="21" t="n">
        <f>32048368902</f>
        <v>3.2048368902E10</v>
      </c>
      <c r="T849" s="21" t="n">
        <f>22321774311</f>
        <v>2.2321774311E10</v>
      </c>
      <c r="U849" s="5" t="s">
        <v>170</v>
      </c>
      <c r="V849" s="23" t="n">
        <f>119601130000</f>
        <v>1.1960113E11</v>
      </c>
      <c r="W849" s="5" t="s">
        <v>113</v>
      </c>
      <c r="X849" s="23" t="n">
        <f>6366780000</f>
        <v>6.36678E9</v>
      </c>
      <c r="Y849" s="23" t="n">
        <f>830245</f>
        <v>830245.0</v>
      </c>
      <c r="Z849" s="21" t="n">
        <f>1869598</f>
        <v>1869598.0</v>
      </c>
      <c r="AA849" s="21" t="n">
        <f>2011191</f>
        <v>2011191.0</v>
      </c>
      <c r="AB849" s="4" t="s">
        <v>49</v>
      </c>
      <c r="AC849" s="22" t="n">
        <f>2728725</f>
        <v>2728725.0</v>
      </c>
      <c r="AD849" s="5" t="s">
        <v>241</v>
      </c>
      <c r="AE849" s="23" t="n">
        <f>1509995</f>
        <v>1509995.0</v>
      </c>
    </row>
    <row r="850">
      <c r="A850" s="24" t="s">
        <v>1742</v>
      </c>
      <c r="B850" s="25" t="s">
        <v>1743</v>
      </c>
      <c r="C850" s="26" t="s">
        <v>1744</v>
      </c>
      <c r="D850" s="27" t="s">
        <v>1745</v>
      </c>
      <c r="E850" s="28" t="s">
        <v>70</v>
      </c>
      <c r="F850" s="20" t="n">
        <f>123</f>
        <v>123.0</v>
      </c>
      <c r="G850" s="21" t="n">
        <f>7886034</f>
        <v>7886034.0</v>
      </c>
      <c r="H850" s="21"/>
      <c r="I850" s="21" t="n">
        <f>2530083</f>
        <v>2530083.0</v>
      </c>
      <c r="J850" s="21" t="n">
        <f>64114</f>
        <v>64114.0</v>
      </c>
      <c r="K850" s="21" t="n">
        <f>20570</f>
        <v>20570.0</v>
      </c>
      <c r="L850" s="4" t="s">
        <v>335</v>
      </c>
      <c r="M850" s="22" t="n">
        <f>155462</f>
        <v>155462.0</v>
      </c>
      <c r="N850" s="5" t="s">
        <v>217</v>
      </c>
      <c r="O850" s="23" t="n">
        <f>24855</f>
        <v>24855.0</v>
      </c>
      <c r="P850" s="3" t="s">
        <v>1770</v>
      </c>
      <c r="Q850" s="21"/>
      <c r="R850" s="3" t="s">
        <v>1771</v>
      </c>
      <c r="S850" s="21" t="n">
        <f>12860064195</f>
        <v>1.2860064195E10</v>
      </c>
      <c r="T850" s="21" t="n">
        <f>9106043544</f>
        <v>9.106043544E9</v>
      </c>
      <c r="U850" s="5" t="s">
        <v>784</v>
      </c>
      <c r="V850" s="23" t="n">
        <f>42693843000</f>
        <v>4.2693843E10</v>
      </c>
      <c r="W850" s="5" t="s">
        <v>217</v>
      </c>
      <c r="X850" s="23" t="n">
        <f>2855198030</f>
        <v>2.85519803E9</v>
      </c>
      <c r="Y850" s="23" t="n">
        <f>192459</f>
        <v>192459.0</v>
      </c>
      <c r="Z850" s="21" t="n">
        <f>763223</f>
        <v>763223.0</v>
      </c>
      <c r="AA850" s="21" t="n">
        <f>1198022</f>
        <v>1198022.0</v>
      </c>
      <c r="AB850" s="4" t="s">
        <v>909</v>
      </c>
      <c r="AC850" s="22" t="n">
        <f>1265662</f>
        <v>1265662.0</v>
      </c>
      <c r="AD850" s="5" t="s">
        <v>75</v>
      </c>
      <c r="AE850" s="23" t="n">
        <f>973147</f>
        <v>973147.0</v>
      </c>
    </row>
    <row r="851">
      <c r="A851" s="24" t="s">
        <v>1742</v>
      </c>
      <c r="B851" s="25" t="s">
        <v>1743</v>
      </c>
      <c r="C851" s="26" t="s">
        <v>1748</v>
      </c>
      <c r="D851" s="27" t="s">
        <v>1749</v>
      </c>
      <c r="E851" s="28" t="s">
        <v>70</v>
      </c>
      <c r="F851" s="20" t="n">
        <f>123</f>
        <v>123.0</v>
      </c>
      <c r="G851" s="21" t="n">
        <f>7771169</f>
        <v>7771169.0</v>
      </c>
      <c r="H851" s="21"/>
      <c r="I851" s="21" t="n">
        <f>2806186</f>
        <v>2806186.0</v>
      </c>
      <c r="J851" s="21" t="n">
        <f>63180</f>
        <v>63180.0</v>
      </c>
      <c r="K851" s="21" t="n">
        <f>22815</f>
        <v>22815.0</v>
      </c>
      <c r="L851" s="4" t="s">
        <v>481</v>
      </c>
      <c r="M851" s="22" t="n">
        <f>162680</f>
        <v>162680.0</v>
      </c>
      <c r="N851" s="5" t="s">
        <v>120</v>
      </c>
      <c r="O851" s="23" t="n">
        <f>26243</f>
        <v>26243.0</v>
      </c>
      <c r="P851" s="3" t="s">
        <v>1772</v>
      </c>
      <c r="Q851" s="21"/>
      <c r="R851" s="3" t="s">
        <v>1773</v>
      </c>
      <c r="S851" s="21" t="n">
        <f>11612707790</f>
        <v>1.161270779E10</v>
      </c>
      <c r="T851" s="21" t="n">
        <f>8286909773</f>
        <v>8.286909773E9</v>
      </c>
      <c r="U851" s="5" t="s">
        <v>265</v>
      </c>
      <c r="V851" s="23" t="n">
        <f>31240183000</f>
        <v>3.1240183E10</v>
      </c>
      <c r="W851" s="5" t="s">
        <v>76</v>
      </c>
      <c r="X851" s="23" t="n">
        <f>3311978130</f>
        <v>3.31197813E9</v>
      </c>
      <c r="Y851" s="23" t="n">
        <f>203670</f>
        <v>203670.0</v>
      </c>
      <c r="Z851" s="21" t="n">
        <f>889214</f>
        <v>889214.0</v>
      </c>
      <c r="AA851" s="21" t="n">
        <f>994015</f>
        <v>994015.0</v>
      </c>
      <c r="AB851" s="4" t="s">
        <v>909</v>
      </c>
      <c r="AC851" s="22" t="n">
        <f>1127047</f>
        <v>1127047.0</v>
      </c>
      <c r="AD851" s="5" t="s">
        <v>75</v>
      </c>
      <c r="AE851" s="23" t="n">
        <f>808661</f>
        <v>808661.0</v>
      </c>
    </row>
    <row r="852">
      <c r="A852" s="24" t="s">
        <v>1742</v>
      </c>
      <c r="B852" s="25" t="s">
        <v>1743</v>
      </c>
      <c r="C852" s="26" t="s">
        <v>1752</v>
      </c>
      <c r="D852" s="27" t="s">
        <v>1753</v>
      </c>
      <c r="E852" s="28" t="s">
        <v>70</v>
      </c>
      <c r="F852" s="20" t="n">
        <f>123</f>
        <v>123.0</v>
      </c>
      <c r="G852" s="21" t="n">
        <f>15657203</f>
        <v>1.5657203E7</v>
      </c>
      <c r="H852" s="21"/>
      <c r="I852" s="21" t="n">
        <f>5336269</f>
        <v>5336269.0</v>
      </c>
      <c r="J852" s="21" t="n">
        <f>127294</f>
        <v>127294.0</v>
      </c>
      <c r="K852" s="21" t="n">
        <f>43384</f>
        <v>43384.0</v>
      </c>
      <c r="L852" s="4" t="s">
        <v>111</v>
      </c>
      <c r="M852" s="22" t="n">
        <f>292050</f>
        <v>292050.0</v>
      </c>
      <c r="N852" s="5" t="s">
        <v>120</v>
      </c>
      <c r="O852" s="23" t="n">
        <f>64644</f>
        <v>64644.0</v>
      </c>
      <c r="P852" s="3" t="s">
        <v>1774</v>
      </c>
      <c r="Q852" s="21"/>
      <c r="R852" s="3" t="s">
        <v>1775</v>
      </c>
      <c r="S852" s="21" t="n">
        <f>24472771984</f>
        <v>2.4472771984E10</v>
      </c>
      <c r="T852" s="21" t="n">
        <f>17392953318</f>
        <v>1.7392953318E10</v>
      </c>
      <c r="U852" s="5" t="s">
        <v>265</v>
      </c>
      <c r="V852" s="23" t="n">
        <f>68862899000</f>
        <v>6.8862899E10</v>
      </c>
      <c r="W852" s="5" t="s">
        <v>544</v>
      </c>
      <c r="X852" s="23" t="n">
        <f>6588761930</f>
        <v>6.58876193E9</v>
      </c>
      <c r="Y852" s="23" t="n">
        <f>396129</f>
        <v>396129.0</v>
      </c>
      <c r="Z852" s="21" t="n">
        <f>1652437</f>
        <v>1652437.0</v>
      </c>
      <c r="AA852" s="21" t="n">
        <f>2192037</f>
        <v>2192037.0</v>
      </c>
      <c r="AB852" s="4" t="s">
        <v>909</v>
      </c>
      <c r="AC852" s="22" t="n">
        <f>2392709</f>
        <v>2392709.0</v>
      </c>
      <c r="AD852" s="5" t="s">
        <v>75</v>
      </c>
      <c r="AE852" s="23" t="n">
        <f>1781808</f>
        <v>1781808.0</v>
      </c>
    </row>
    <row r="853">
      <c r="A853" s="24" t="s">
        <v>1742</v>
      </c>
      <c r="B853" s="25" t="s">
        <v>1743</v>
      </c>
      <c r="C853" s="26" t="s">
        <v>1744</v>
      </c>
      <c r="D853" s="27" t="s">
        <v>1745</v>
      </c>
      <c r="E853" s="28" t="s">
        <v>77</v>
      </c>
      <c r="F853" s="20" t="n">
        <f>122</f>
        <v>122.0</v>
      </c>
      <c r="G853" s="21" t="n">
        <f>8528790</f>
        <v>8528790.0</v>
      </c>
      <c r="H853" s="21"/>
      <c r="I853" s="21" t="n">
        <f>2850559</f>
        <v>2850559.0</v>
      </c>
      <c r="J853" s="21" t="n">
        <f>69908</f>
        <v>69908.0</v>
      </c>
      <c r="K853" s="21" t="n">
        <f>23365</f>
        <v>23365.0</v>
      </c>
      <c r="L853" s="4" t="s">
        <v>175</v>
      </c>
      <c r="M853" s="22" t="n">
        <f>272183</f>
        <v>272183.0</v>
      </c>
      <c r="N853" s="5" t="s">
        <v>171</v>
      </c>
      <c r="O853" s="23" t="n">
        <f>26232</f>
        <v>26232.0</v>
      </c>
      <c r="P853" s="3" t="s">
        <v>1776</v>
      </c>
      <c r="Q853" s="21"/>
      <c r="R853" s="3" t="s">
        <v>1777</v>
      </c>
      <c r="S853" s="21" t="n">
        <f>12360953500</f>
        <v>1.23609535E10</v>
      </c>
      <c r="T853" s="21" t="n">
        <f>9426461147</f>
        <v>9.426461147E9</v>
      </c>
      <c r="U853" s="5" t="s">
        <v>432</v>
      </c>
      <c r="V853" s="23" t="n">
        <f>49988804300</f>
        <v>4.99888043E10</v>
      </c>
      <c r="W853" s="5" t="s">
        <v>50</v>
      </c>
      <c r="X853" s="23" t="n">
        <f>2733599265</f>
        <v>2.733599265E9</v>
      </c>
      <c r="Y853" s="23" t="n">
        <f>81823</f>
        <v>81823.0</v>
      </c>
      <c r="Z853" s="21" t="n">
        <f>706982</f>
        <v>706982.0</v>
      </c>
      <c r="AA853" s="21" t="n">
        <f>1132771</f>
        <v>1132771.0</v>
      </c>
      <c r="AB853" s="4" t="s">
        <v>64</v>
      </c>
      <c r="AC853" s="22" t="n">
        <f>1462947</f>
        <v>1462947.0</v>
      </c>
      <c r="AD853" s="5" t="s">
        <v>81</v>
      </c>
      <c r="AE853" s="23" t="n">
        <f>860944</f>
        <v>860944.0</v>
      </c>
    </row>
    <row r="854">
      <c r="A854" s="24" t="s">
        <v>1742</v>
      </c>
      <c r="B854" s="25" t="s">
        <v>1743</v>
      </c>
      <c r="C854" s="26" t="s">
        <v>1748</v>
      </c>
      <c r="D854" s="27" t="s">
        <v>1749</v>
      </c>
      <c r="E854" s="28" t="s">
        <v>77</v>
      </c>
      <c r="F854" s="20" t="n">
        <f>122</f>
        <v>122.0</v>
      </c>
      <c r="G854" s="21" t="n">
        <f>6851987</f>
        <v>6851987.0</v>
      </c>
      <c r="H854" s="21"/>
      <c r="I854" s="21" t="n">
        <f>2502838</f>
        <v>2502838.0</v>
      </c>
      <c r="J854" s="21" t="n">
        <f>56164</f>
        <v>56164.0</v>
      </c>
      <c r="K854" s="21" t="n">
        <f>20515</f>
        <v>20515.0</v>
      </c>
      <c r="L854" s="4" t="s">
        <v>432</v>
      </c>
      <c r="M854" s="22" t="n">
        <f>196783</f>
        <v>196783.0</v>
      </c>
      <c r="N854" s="5" t="s">
        <v>65</v>
      </c>
      <c r="O854" s="23" t="n">
        <f>23456</f>
        <v>23456.0</v>
      </c>
      <c r="P854" s="3" t="s">
        <v>1778</v>
      </c>
      <c r="Q854" s="21"/>
      <c r="R854" s="3" t="s">
        <v>1779</v>
      </c>
      <c r="S854" s="21" t="n">
        <f>12815659063</f>
        <v>1.2815659063E10</v>
      </c>
      <c r="T854" s="21" t="n">
        <f>10231669112</f>
        <v>1.0231669112E10</v>
      </c>
      <c r="U854" s="5" t="s">
        <v>432</v>
      </c>
      <c r="V854" s="23" t="n">
        <f>122837992940</f>
        <v>1.2283799294E11</v>
      </c>
      <c r="W854" s="5" t="s">
        <v>1155</v>
      </c>
      <c r="X854" s="23" t="n">
        <f>2793438850</f>
        <v>2.79343885E9</v>
      </c>
      <c r="Y854" s="23" t="n">
        <f>562291</f>
        <v>562291.0</v>
      </c>
      <c r="Z854" s="21" t="n">
        <f>839350</f>
        <v>839350.0</v>
      </c>
      <c r="AA854" s="21" t="n">
        <f>866010</f>
        <v>866010.0</v>
      </c>
      <c r="AB854" s="4" t="s">
        <v>64</v>
      </c>
      <c r="AC854" s="22" t="n">
        <f>1211870</f>
        <v>1211870.0</v>
      </c>
      <c r="AD854" s="5" t="s">
        <v>178</v>
      </c>
      <c r="AE854" s="23" t="n">
        <f>747535</f>
        <v>747535.0</v>
      </c>
    </row>
    <row r="855">
      <c r="A855" s="24" t="s">
        <v>1742</v>
      </c>
      <c r="B855" s="25" t="s">
        <v>1743</v>
      </c>
      <c r="C855" s="26" t="s">
        <v>1752</v>
      </c>
      <c r="D855" s="27" t="s">
        <v>1753</v>
      </c>
      <c r="E855" s="28" t="s">
        <v>77</v>
      </c>
      <c r="F855" s="20" t="n">
        <f>122</f>
        <v>122.0</v>
      </c>
      <c r="G855" s="21" t="n">
        <f>15380777</f>
        <v>1.5380777E7</v>
      </c>
      <c r="H855" s="21"/>
      <c r="I855" s="21" t="n">
        <f>5353397</f>
        <v>5353397.0</v>
      </c>
      <c r="J855" s="21" t="n">
        <f>126072</f>
        <v>126072.0</v>
      </c>
      <c r="K855" s="21" t="n">
        <f>43880</f>
        <v>43880.0</v>
      </c>
      <c r="L855" s="4" t="s">
        <v>175</v>
      </c>
      <c r="M855" s="22" t="n">
        <f>450584</f>
        <v>450584.0</v>
      </c>
      <c r="N855" s="5" t="s">
        <v>171</v>
      </c>
      <c r="O855" s="23" t="n">
        <f>52554</f>
        <v>52554.0</v>
      </c>
      <c r="P855" s="3" t="s">
        <v>1780</v>
      </c>
      <c r="Q855" s="21"/>
      <c r="R855" s="3" t="s">
        <v>1781</v>
      </c>
      <c r="S855" s="21" t="n">
        <f>25176612563</f>
        <v>2.5176612563E10</v>
      </c>
      <c r="T855" s="21" t="n">
        <f>19658130260</f>
        <v>1.965813026E10</v>
      </c>
      <c r="U855" s="5" t="s">
        <v>432</v>
      </c>
      <c r="V855" s="23" t="n">
        <f>172826797240</f>
        <v>1.7282679724E11</v>
      </c>
      <c r="W855" s="5" t="s">
        <v>1155</v>
      </c>
      <c r="X855" s="23" t="n">
        <f>8085255400</f>
        <v>8.0852554E9</v>
      </c>
      <c r="Y855" s="23" t="n">
        <f>644114</f>
        <v>644114.0</v>
      </c>
      <c r="Z855" s="21" t="n">
        <f>1546332</f>
        <v>1546332.0</v>
      </c>
      <c r="AA855" s="21" t="n">
        <f>1998781</f>
        <v>1998781.0</v>
      </c>
      <c r="AB855" s="4" t="s">
        <v>64</v>
      </c>
      <c r="AC855" s="22" t="n">
        <f>2674817</f>
        <v>2674817.0</v>
      </c>
      <c r="AD855" s="5" t="s">
        <v>81</v>
      </c>
      <c r="AE855" s="23" t="n">
        <f>1623512</f>
        <v>1623512.0</v>
      </c>
    </row>
    <row r="856">
      <c r="A856" s="24" t="s">
        <v>1742</v>
      </c>
      <c r="B856" s="25" t="s">
        <v>1743</v>
      </c>
      <c r="C856" s="26" t="s">
        <v>1744</v>
      </c>
      <c r="D856" s="27" t="s">
        <v>1745</v>
      </c>
      <c r="E856" s="28" t="s">
        <v>83</v>
      </c>
      <c r="F856" s="20" t="n">
        <f>124</f>
        <v>124.0</v>
      </c>
      <c r="G856" s="21" t="n">
        <f>9070003</f>
        <v>9070003.0</v>
      </c>
      <c r="H856" s="21"/>
      <c r="I856" s="21" t="n">
        <f>3104789</f>
        <v>3104789.0</v>
      </c>
      <c r="J856" s="21" t="n">
        <f>73145</f>
        <v>73145.0</v>
      </c>
      <c r="K856" s="21" t="n">
        <f>25039</f>
        <v>25039.0</v>
      </c>
      <c r="L856" s="4" t="s">
        <v>97</v>
      </c>
      <c r="M856" s="22" t="n">
        <f>149295</f>
        <v>149295.0</v>
      </c>
      <c r="N856" s="5" t="s">
        <v>944</v>
      </c>
      <c r="O856" s="23" t="n">
        <f>30574</f>
        <v>30574.0</v>
      </c>
      <c r="P856" s="3" t="s">
        <v>1782</v>
      </c>
      <c r="Q856" s="21"/>
      <c r="R856" s="3" t="s">
        <v>1783</v>
      </c>
      <c r="S856" s="21" t="n">
        <f>11025210177</f>
        <v>1.1025210177E10</v>
      </c>
      <c r="T856" s="21" t="n">
        <f>8481383153</f>
        <v>8.481383153E9</v>
      </c>
      <c r="U856" s="5" t="s">
        <v>672</v>
      </c>
      <c r="V856" s="23" t="n">
        <f>29796157274</f>
        <v>2.9796157274E10</v>
      </c>
      <c r="W856" s="5" t="s">
        <v>1148</v>
      </c>
      <c r="X856" s="23" t="n">
        <f>3957132270</f>
        <v>3.95713227E9</v>
      </c>
      <c r="Y856" s="23" t="n">
        <f>110186</f>
        <v>110186.0</v>
      </c>
      <c r="Z856" s="21" t="n">
        <f>947585</f>
        <v>947585.0</v>
      </c>
      <c r="AA856" s="21" t="n">
        <f>1382897</f>
        <v>1382897.0</v>
      </c>
      <c r="AB856" s="4" t="s">
        <v>128</v>
      </c>
      <c r="AC856" s="22" t="n">
        <f>1412948</f>
        <v>1412948.0</v>
      </c>
      <c r="AD856" s="5" t="s">
        <v>88</v>
      </c>
      <c r="AE856" s="23" t="n">
        <f>1016205</f>
        <v>1016205.0</v>
      </c>
    </row>
    <row r="857">
      <c r="A857" s="24" t="s">
        <v>1742</v>
      </c>
      <c r="B857" s="25" t="s">
        <v>1743</v>
      </c>
      <c r="C857" s="26" t="s">
        <v>1748</v>
      </c>
      <c r="D857" s="27" t="s">
        <v>1749</v>
      </c>
      <c r="E857" s="28" t="s">
        <v>83</v>
      </c>
      <c r="F857" s="20" t="n">
        <f>124</f>
        <v>124.0</v>
      </c>
      <c r="G857" s="21" t="n">
        <f>6164962</f>
        <v>6164962.0</v>
      </c>
      <c r="H857" s="21"/>
      <c r="I857" s="21" t="n">
        <f>2099311</f>
        <v>2099311.0</v>
      </c>
      <c r="J857" s="21" t="n">
        <f>49717</f>
        <v>49717.0</v>
      </c>
      <c r="K857" s="21" t="n">
        <f>16930</f>
        <v>16930.0</v>
      </c>
      <c r="L857" s="4" t="s">
        <v>868</v>
      </c>
      <c r="M857" s="22" t="n">
        <f>136067</f>
        <v>136067.0</v>
      </c>
      <c r="N857" s="5" t="s">
        <v>1108</v>
      </c>
      <c r="O857" s="23" t="n">
        <f>19433</f>
        <v>19433.0</v>
      </c>
      <c r="P857" s="3" t="s">
        <v>1784</v>
      </c>
      <c r="Q857" s="21"/>
      <c r="R857" s="3" t="s">
        <v>1785</v>
      </c>
      <c r="S857" s="21" t="n">
        <f>8711196370</f>
        <v>8.71119637E9</v>
      </c>
      <c r="T857" s="21" t="n">
        <f>6699773830</f>
        <v>6.69977383E9</v>
      </c>
      <c r="U857" s="5" t="s">
        <v>302</v>
      </c>
      <c r="V857" s="23" t="n">
        <f>47070565180</f>
        <v>4.707056518E10</v>
      </c>
      <c r="W857" s="5" t="s">
        <v>85</v>
      </c>
      <c r="X857" s="23" t="n">
        <f>1557150645</f>
        <v>1.557150645E9</v>
      </c>
      <c r="Y857" s="23" t="n">
        <f>265314</f>
        <v>265314.0</v>
      </c>
      <c r="Z857" s="21" t="n">
        <f>779420</f>
        <v>779420.0</v>
      </c>
      <c r="AA857" s="21" t="n">
        <f>970189</f>
        <v>970189.0</v>
      </c>
      <c r="AB857" s="4" t="s">
        <v>143</v>
      </c>
      <c r="AC857" s="22" t="n">
        <f>1008911</f>
        <v>1008911.0</v>
      </c>
      <c r="AD857" s="5" t="s">
        <v>88</v>
      </c>
      <c r="AE857" s="23" t="n">
        <f>804879</f>
        <v>804879.0</v>
      </c>
    </row>
    <row r="858">
      <c r="A858" s="24" t="s">
        <v>1742</v>
      </c>
      <c r="B858" s="25" t="s">
        <v>1743</v>
      </c>
      <c r="C858" s="26" t="s">
        <v>1752</v>
      </c>
      <c r="D858" s="27" t="s">
        <v>1753</v>
      </c>
      <c r="E858" s="28" t="s">
        <v>83</v>
      </c>
      <c r="F858" s="20" t="n">
        <f>124</f>
        <v>124.0</v>
      </c>
      <c r="G858" s="21" t="n">
        <f>15234965</f>
        <v>1.5234965E7</v>
      </c>
      <c r="H858" s="21"/>
      <c r="I858" s="21" t="n">
        <f>5204100</f>
        <v>5204100.0</v>
      </c>
      <c r="J858" s="21" t="n">
        <f>122863</f>
        <v>122863.0</v>
      </c>
      <c r="K858" s="21" t="n">
        <f>41969</f>
        <v>41969.0</v>
      </c>
      <c r="L858" s="4" t="s">
        <v>868</v>
      </c>
      <c r="M858" s="22" t="n">
        <f>251141</f>
        <v>251141.0</v>
      </c>
      <c r="N858" s="5" t="s">
        <v>944</v>
      </c>
      <c r="O858" s="23" t="n">
        <f>54748</f>
        <v>54748.0</v>
      </c>
      <c r="P858" s="3" t="s">
        <v>1786</v>
      </c>
      <c r="Q858" s="21"/>
      <c r="R858" s="3" t="s">
        <v>1787</v>
      </c>
      <c r="S858" s="21" t="n">
        <f>19736406547</f>
        <v>1.9736406547E10</v>
      </c>
      <c r="T858" s="21" t="n">
        <f>15181156982</f>
        <v>1.5181156982E10</v>
      </c>
      <c r="U858" s="5" t="s">
        <v>302</v>
      </c>
      <c r="V858" s="23" t="n">
        <f>69188043580</f>
        <v>6.918804358E10</v>
      </c>
      <c r="W858" s="5" t="s">
        <v>85</v>
      </c>
      <c r="X858" s="23" t="n">
        <f>6416249675</f>
        <v>6.416249675E9</v>
      </c>
      <c r="Y858" s="23" t="n">
        <f>375500</f>
        <v>375500.0</v>
      </c>
      <c r="Z858" s="21" t="n">
        <f>1727005</f>
        <v>1727005.0</v>
      </c>
      <c r="AA858" s="21" t="n">
        <f>2353086</f>
        <v>2353086.0</v>
      </c>
      <c r="AB858" s="4" t="s">
        <v>128</v>
      </c>
      <c r="AC858" s="22" t="n">
        <f>2396716</f>
        <v>2396716.0</v>
      </c>
      <c r="AD858" s="5" t="s">
        <v>88</v>
      </c>
      <c r="AE858" s="23" t="n">
        <f>1821084</f>
        <v>1821084.0</v>
      </c>
    </row>
    <row r="859">
      <c r="A859" s="24" t="s">
        <v>1742</v>
      </c>
      <c r="B859" s="25" t="s">
        <v>1743</v>
      </c>
      <c r="C859" s="26" t="s">
        <v>1744</v>
      </c>
      <c r="D859" s="27" t="s">
        <v>1745</v>
      </c>
      <c r="E859" s="28" t="s">
        <v>89</v>
      </c>
      <c r="F859" s="20" t="n">
        <f>121</f>
        <v>121.0</v>
      </c>
      <c r="G859" s="21" t="n">
        <f>11687261</f>
        <v>1.1687261E7</v>
      </c>
      <c r="H859" s="21"/>
      <c r="I859" s="21" t="n">
        <f>4138027</f>
        <v>4138027.0</v>
      </c>
      <c r="J859" s="21" t="n">
        <f>96589</f>
        <v>96589.0</v>
      </c>
      <c r="K859" s="21" t="n">
        <f>34199</f>
        <v>34199.0</v>
      </c>
      <c r="L859" s="4" t="s">
        <v>552</v>
      </c>
      <c r="M859" s="22" t="n">
        <f>394239</f>
        <v>394239.0</v>
      </c>
      <c r="N859" s="5" t="s">
        <v>50</v>
      </c>
      <c r="O859" s="23" t="n">
        <f>24651</f>
        <v>24651.0</v>
      </c>
      <c r="P859" s="3" t="s">
        <v>1788</v>
      </c>
      <c r="Q859" s="21"/>
      <c r="R859" s="3" t="s">
        <v>1789</v>
      </c>
      <c r="S859" s="21" t="n">
        <f>18619015234</f>
        <v>1.8619015234E10</v>
      </c>
      <c r="T859" s="21" t="n">
        <f>13860240086</f>
        <v>1.3860240086E10</v>
      </c>
      <c r="U859" s="5" t="s">
        <v>552</v>
      </c>
      <c r="V859" s="23" t="n">
        <f>99542506066</f>
        <v>9.9542506066E10</v>
      </c>
      <c r="W859" s="5" t="s">
        <v>50</v>
      </c>
      <c r="X859" s="23" t="n">
        <f>2998478430</f>
        <v>2.99847843E9</v>
      </c>
      <c r="Y859" s="23" t="n">
        <f>206278</f>
        <v>206278.0</v>
      </c>
      <c r="Z859" s="21" t="n">
        <f>1251475</f>
        <v>1251475.0</v>
      </c>
      <c r="AA859" s="21" t="n">
        <f>1362053</f>
        <v>1362053.0</v>
      </c>
      <c r="AB859" s="4" t="s">
        <v>137</v>
      </c>
      <c r="AC859" s="22" t="n">
        <f>1762140</f>
        <v>1762140.0</v>
      </c>
      <c r="AD859" s="5" t="s">
        <v>64</v>
      </c>
      <c r="AE859" s="23" t="n">
        <f>1060896</f>
        <v>1060896.0</v>
      </c>
    </row>
    <row r="860">
      <c r="A860" s="24" t="s">
        <v>1742</v>
      </c>
      <c r="B860" s="25" t="s">
        <v>1743</v>
      </c>
      <c r="C860" s="26" t="s">
        <v>1748</v>
      </c>
      <c r="D860" s="27" t="s">
        <v>1749</v>
      </c>
      <c r="E860" s="28" t="s">
        <v>89</v>
      </c>
      <c r="F860" s="20" t="n">
        <f>121</f>
        <v>121.0</v>
      </c>
      <c r="G860" s="21" t="n">
        <f>9119444</f>
        <v>9119444.0</v>
      </c>
      <c r="H860" s="21"/>
      <c r="I860" s="21" t="n">
        <f>2993786</f>
        <v>2993786.0</v>
      </c>
      <c r="J860" s="21" t="n">
        <f>75367</f>
        <v>75367.0</v>
      </c>
      <c r="K860" s="21" t="n">
        <f>24742</f>
        <v>24742.0</v>
      </c>
      <c r="L860" s="4" t="s">
        <v>175</v>
      </c>
      <c r="M860" s="22" t="n">
        <f>203055</f>
        <v>203055.0</v>
      </c>
      <c r="N860" s="5" t="s">
        <v>50</v>
      </c>
      <c r="O860" s="23" t="n">
        <f>15551</f>
        <v>15551.0</v>
      </c>
      <c r="P860" s="3" t="s">
        <v>1790</v>
      </c>
      <c r="Q860" s="21"/>
      <c r="R860" s="3" t="s">
        <v>1791</v>
      </c>
      <c r="S860" s="21" t="n">
        <f>15851046752</f>
        <v>1.5851046752E10</v>
      </c>
      <c r="T860" s="21" t="n">
        <f>11798768918</f>
        <v>1.1798768918E10</v>
      </c>
      <c r="U860" s="5" t="s">
        <v>603</v>
      </c>
      <c r="V860" s="23" t="n">
        <f>88313638190</f>
        <v>8.831363819E10</v>
      </c>
      <c r="W860" s="5" t="s">
        <v>113</v>
      </c>
      <c r="X860" s="23" t="n">
        <f>1810139000</f>
        <v>1.810139E9</v>
      </c>
      <c r="Y860" s="23" t="n">
        <f>683339</f>
        <v>683339.0</v>
      </c>
      <c r="Z860" s="21" t="n">
        <f>1200886</f>
        <v>1200886.0</v>
      </c>
      <c r="AA860" s="21" t="n">
        <f>881784</f>
        <v>881784.0</v>
      </c>
      <c r="AB860" s="4" t="s">
        <v>137</v>
      </c>
      <c r="AC860" s="22" t="n">
        <f>1229878</f>
        <v>1229878.0</v>
      </c>
      <c r="AD860" s="5" t="s">
        <v>64</v>
      </c>
      <c r="AE860" s="23" t="n">
        <f>733024</f>
        <v>733024.0</v>
      </c>
    </row>
    <row r="861">
      <c r="A861" s="24" t="s">
        <v>1742</v>
      </c>
      <c r="B861" s="25" t="s">
        <v>1743</v>
      </c>
      <c r="C861" s="26" t="s">
        <v>1752</v>
      </c>
      <c r="D861" s="27" t="s">
        <v>1753</v>
      </c>
      <c r="E861" s="28" t="s">
        <v>89</v>
      </c>
      <c r="F861" s="20" t="n">
        <f>121</f>
        <v>121.0</v>
      </c>
      <c r="G861" s="21" t="n">
        <f>20806705</f>
        <v>2.0806705E7</v>
      </c>
      <c r="H861" s="21"/>
      <c r="I861" s="21" t="n">
        <f>7131813</f>
        <v>7131813.0</v>
      </c>
      <c r="J861" s="21" t="n">
        <f>171956</f>
        <v>171956.0</v>
      </c>
      <c r="K861" s="21" t="n">
        <f>58941</f>
        <v>58941.0</v>
      </c>
      <c r="L861" s="4" t="s">
        <v>552</v>
      </c>
      <c r="M861" s="22" t="n">
        <f>583096</f>
        <v>583096.0</v>
      </c>
      <c r="N861" s="5" t="s">
        <v>50</v>
      </c>
      <c r="O861" s="23" t="n">
        <f>40202</f>
        <v>40202.0</v>
      </c>
      <c r="P861" s="3" t="s">
        <v>1792</v>
      </c>
      <c r="Q861" s="21"/>
      <c r="R861" s="3" t="s">
        <v>1793</v>
      </c>
      <c r="S861" s="21" t="n">
        <f>34470061987</f>
        <v>3.4470061987E10</v>
      </c>
      <c r="T861" s="21" t="n">
        <f>25659009003</f>
        <v>2.5659009003E10</v>
      </c>
      <c r="U861" s="5" t="s">
        <v>552</v>
      </c>
      <c r="V861" s="23" t="n">
        <f>133841193316</f>
        <v>1.33841193316E11</v>
      </c>
      <c r="W861" s="5" t="s">
        <v>113</v>
      </c>
      <c r="X861" s="23" t="n">
        <f>5966774000</f>
        <v>5.966774E9</v>
      </c>
      <c r="Y861" s="23" t="n">
        <f>889617</f>
        <v>889617.0</v>
      </c>
      <c r="Z861" s="21" t="n">
        <f>2452361</f>
        <v>2452361.0</v>
      </c>
      <c r="AA861" s="21" t="n">
        <f>2243837</f>
        <v>2243837.0</v>
      </c>
      <c r="AB861" s="4" t="s">
        <v>137</v>
      </c>
      <c r="AC861" s="22" t="n">
        <f>2992018</f>
        <v>2992018.0</v>
      </c>
      <c r="AD861" s="5" t="s">
        <v>64</v>
      </c>
      <c r="AE861" s="23" t="n">
        <f>1793920</f>
        <v>1793920.0</v>
      </c>
    </row>
    <row r="862">
      <c r="A862" s="24" t="s">
        <v>1742</v>
      </c>
      <c r="B862" s="25" t="s">
        <v>1743</v>
      </c>
      <c r="C862" s="26" t="s">
        <v>1744</v>
      </c>
      <c r="D862" s="27" t="s">
        <v>1745</v>
      </c>
      <c r="E862" s="28" t="s">
        <v>95</v>
      </c>
      <c r="F862" s="20" t="n">
        <f>124</f>
        <v>124.0</v>
      </c>
      <c r="G862" s="21" t="n">
        <f>9285237</f>
        <v>9285237.0</v>
      </c>
      <c r="H862" s="21"/>
      <c r="I862" s="21" t="n">
        <f>3581352</f>
        <v>3581352.0</v>
      </c>
      <c r="J862" s="21" t="n">
        <f>74881</f>
        <v>74881.0</v>
      </c>
      <c r="K862" s="21" t="n">
        <f>28882</f>
        <v>28882.0</v>
      </c>
      <c r="L862" s="4" t="s">
        <v>675</v>
      </c>
      <c r="M862" s="22" t="n">
        <f>135215</f>
        <v>135215.0</v>
      </c>
      <c r="N862" s="5" t="s">
        <v>325</v>
      </c>
      <c r="O862" s="23" t="n">
        <f>31760</f>
        <v>31760.0</v>
      </c>
      <c r="P862" s="3" t="s">
        <v>1794</v>
      </c>
      <c r="Q862" s="21"/>
      <c r="R862" s="3" t="s">
        <v>1795</v>
      </c>
      <c r="S862" s="21" t="n">
        <f>11021483183</f>
        <v>1.1021483183E10</v>
      </c>
      <c r="T862" s="21" t="n">
        <f>8151644267</f>
        <v>8.151644267E9</v>
      </c>
      <c r="U862" s="5" t="s">
        <v>675</v>
      </c>
      <c r="V862" s="23" t="n">
        <f>24992129080</f>
        <v>2.499212908E10</v>
      </c>
      <c r="W862" s="5" t="s">
        <v>198</v>
      </c>
      <c r="X862" s="23" t="n">
        <f>2962449277</f>
        <v>2.962449277E9</v>
      </c>
      <c r="Y862" s="23" t="n">
        <f>50796</f>
        <v>50796.0</v>
      </c>
      <c r="Z862" s="21" t="n">
        <f>1225889</f>
        <v>1225889.0</v>
      </c>
      <c r="AA862" s="21" t="n">
        <f>1328999</f>
        <v>1328999.0</v>
      </c>
      <c r="AB862" s="4" t="s">
        <v>71</v>
      </c>
      <c r="AC862" s="22" t="n">
        <f>1497413</f>
        <v>1497413.0</v>
      </c>
      <c r="AD862" s="5" t="s">
        <v>143</v>
      </c>
      <c r="AE862" s="23" t="n">
        <f>1113421</f>
        <v>1113421.0</v>
      </c>
    </row>
    <row r="863">
      <c r="A863" s="24" t="s">
        <v>1742</v>
      </c>
      <c r="B863" s="25" t="s">
        <v>1743</v>
      </c>
      <c r="C863" s="26" t="s">
        <v>1748</v>
      </c>
      <c r="D863" s="27" t="s">
        <v>1749</v>
      </c>
      <c r="E863" s="28" t="s">
        <v>95</v>
      </c>
      <c r="F863" s="20" t="n">
        <f>124</f>
        <v>124.0</v>
      </c>
      <c r="G863" s="21" t="n">
        <f>5878792</f>
        <v>5878792.0</v>
      </c>
      <c r="H863" s="21"/>
      <c r="I863" s="21" t="n">
        <f>1744132</f>
        <v>1744132.0</v>
      </c>
      <c r="J863" s="21" t="n">
        <f>47410</f>
        <v>47410.0</v>
      </c>
      <c r="K863" s="21" t="n">
        <f>14066</f>
        <v>14066.0</v>
      </c>
      <c r="L863" s="4" t="s">
        <v>151</v>
      </c>
      <c r="M863" s="22" t="n">
        <f>98364</f>
        <v>98364.0</v>
      </c>
      <c r="N863" s="5" t="s">
        <v>132</v>
      </c>
      <c r="O863" s="23" t="n">
        <f>21711</f>
        <v>21711.0</v>
      </c>
      <c r="P863" s="3" t="s">
        <v>1796</v>
      </c>
      <c r="Q863" s="21"/>
      <c r="R863" s="3" t="s">
        <v>1797</v>
      </c>
      <c r="S863" s="21" t="n">
        <f>7653222466</f>
        <v>7.653222466E9</v>
      </c>
      <c r="T863" s="21" t="n">
        <f>5295209922</f>
        <v>5.295209922E9</v>
      </c>
      <c r="U863" s="5" t="s">
        <v>631</v>
      </c>
      <c r="V863" s="23" t="n">
        <f>22874633400</f>
        <v>2.28746334E10</v>
      </c>
      <c r="W863" s="5" t="s">
        <v>1132</v>
      </c>
      <c r="X863" s="23" t="n">
        <f>1918969000</f>
        <v>1.918969E9</v>
      </c>
      <c r="Y863" s="23" t="n">
        <f>321617</f>
        <v>321617.0</v>
      </c>
      <c r="Z863" s="21" t="n">
        <f>743054</f>
        <v>743054.0</v>
      </c>
      <c r="AA863" s="21" t="n">
        <f>784536</f>
        <v>784536.0</v>
      </c>
      <c r="AB863" s="4" t="s">
        <v>350</v>
      </c>
      <c r="AC863" s="22" t="n">
        <f>933086</f>
        <v>933086.0</v>
      </c>
      <c r="AD863" s="5" t="s">
        <v>143</v>
      </c>
      <c r="AE863" s="23" t="n">
        <f>661943</f>
        <v>661943.0</v>
      </c>
    </row>
    <row r="864">
      <c r="A864" s="24" t="s">
        <v>1742</v>
      </c>
      <c r="B864" s="25" t="s">
        <v>1743</v>
      </c>
      <c r="C864" s="26" t="s">
        <v>1752</v>
      </c>
      <c r="D864" s="27" t="s">
        <v>1753</v>
      </c>
      <c r="E864" s="28" t="s">
        <v>95</v>
      </c>
      <c r="F864" s="20" t="n">
        <f>124</f>
        <v>124.0</v>
      </c>
      <c r="G864" s="21" t="n">
        <f>15164029</f>
        <v>1.5164029E7</v>
      </c>
      <c r="H864" s="21"/>
      <c r="I864" s="21" t="n">
        <f>5325484</f>
        <v>5325484.0</v>
      </c>
      <c r="J864" s="21" t="n">
        <f>122291</f>
        <v>122291.0</v>
      </c>
      <c r="K864" s="21" t="n">
        <f>42947</f>
        <v>42947.0</v>
      </c>
      <c r="L864" s="4" t="s">
        <v>266</v>
      </c>
      <c r="M864" s="22" t="n">
        <f>223263</f>
        <v>223263.0</v>
      </c>
      <c r="N864" s="5" t="s">
        <v>325</v>
      </c>
      <c r="O864" s="23" t="n">
        <f>61961</f>
        <v>61961.0</v>
      </c>
      <c r="P864" s="3" t="s">
        <v>1798</v>
      </c>
      <c r="Q864" s="21"/>
      <c r="R864" s="3" t="s">
        <v>1799</v>
      </c>
      <c r="S864" s="21" t="n">
        <f>18674705649</f>
        <v>1.8674705649E10</v>
      </c>
      <c r="T864" s="21" t="n">
        <f>13446854189</f>
        <v>1.3446854189E10</v>
      </c>
      <c r="U864" s="5" t="s">
        <v>266</v>
      </c>
      <c r="V864" s="23" t="n">
        <f>42741596083</f>
        <v>4.2741596083E10</v>
      </c>
      <c r="W864" s="5" t="s">
        <v>198</v>
      </c>
      <c r="X864" s="23" t="n">
        <f>5622476126</f>
        <v>5.622476126E9</v>
      </c>
      <c r="Y864" s="23" t="n">
        <f>372413</f>
        <v>372413.0</v>
      </c>
      <c r="Z864" s="21" t="n">
        <f>1968943</f>
        <v>1968943.0</v>
      </c>
      <c r="AA864" s="21" t="n">
        <f>2113535</f>
        <v>2113535.0</v>
      </c>
      <c r="AB864" s="4" t="s">
        <v>71</v>
      </c>
      <c r="AC864" s="22" t="n">
        <f>2411021</f>
        <v>2411021.0</v>
      </c>
      <c r="AD864" s="5" t="s">
        <v>143</v>
      </c>
      <c r="AE864" s="23" t="n">
        <f>1775364</f>
        <v>1775364.0</v>
      </c>
    </row>
    <row r="865">
      <c r="A865" s="24" t="s">
        <v>1742</v>
      </c>
      <c r="B865" s="25" t="s">
        <v>1743</v>
      </c>
      <c r="C865" s="26" t="s">
        <v>1744</v>
      </c>
      <c r="D865" s="27" t="s">
        <v>1745</v>
      </c>
      <c r="E865" s="28" t="s">
        <v>101</v>
      </c>
      <c r="F865" s="20" t="n">
        <f>120</f>
        <v>120.0</v>
      </c>
      <c r="G865" s="21" t="n">
        <f>10352492</f>
        <v>1.0352492E7</v>
      </c>
      <c r="H865" s="21"/>
      <c r="I865" s="21" t="n">
        <f>4037759</f>
        <v>4037759.0</v>
      </c>
      <c r="J865" s="21" t="n">
        <f>86271</f>
        <v>86271.0</v>
      </c>
      <c r="K865" s="21" t="n">
        <f>33648</f>
        <v>33648.0</v>
      </c>
      <c r="L865" s="4" t="s">
        <v>194</v>
      </c>
      <c r="M865" s="22" t="n">
        <f>240849</f>
        <v>240849.0</v>
      </c>
      <c r="N865" s="5" t="s">
        <v>440</v>
      </c>
      <c r="O865" s="23" t="n">
        <f>40683</f>
        <v>40683.0</v>
      </c>
      <c r="P865" s="3" t="s">
        <v>1800</v>
      </c>
      <c r="Q865" s="21"/>
      <c r="R865" s="3" t="s">
        <v>1801</v>
      </c>
      <c r="S865" s="21" t="n">
        <f>17700933542</f>
        <v>1.7700933542E10</v>
      </c>
      <c r="T865" s="21" t="n">
        <f>12823615950</f>
        <v>1.282361595E10</v>
      </c>
      <c r="U865" s="5" t="s">
        <v>843</v>
      </c>
      <c r="V865" s="23" t="n">
        <f>51496085560</f>
        <v>5.149608556E10</v>
      </c>
      <c r="W865" s="5" t="s">
        <v>440</v>
      </c>
      <c r="X865" s="23" t="n">
        <f>6065993000</f>
        <v>6.065993E9</v>
      </c>
      <c r="Y865" s="23" t="n">
        <f>276992</f>
        <v>276992.0</v>
      </c>
      <c r="Z865" s="21" t="n">
        <f>1489521</f>
        <v>1489521.0</v>
      </c>
      <c r="AA865" s="21" t="n">
        <f>1218258</f>
        <v>1218258.0</v>
      </c>
      <c r="AB865" s="4" t="s">
        <v>138</v>
      </c>
      <c r="AC865" s="22" t="n">
        <f>1521743</f>
        <v>1521743.0</v>
      </c>
      <c r="AD865" s="5" t="s">
        <v>212</v>
      </c>
      <c r="AE865" s="23" t="n">
        <f>1045909</f>
        <v>1045909.0</v>
      </c>
    </row>
    <row r="866">
      <c r="A866" s="24" t="s">
        <v>1742</v>
      </c>
      <c r="B866" s="25" t="s">
        <v>1743</v>
      </c>
      <c r="C866" s="26" t="s">
        <v>1748</v>
      </c>
      <c r="D866" s="27" t="s">
        <v>1749</v>
      </c>
      <c r="E866" s="28" t="s">
        <v>101</v>
      </c>
      <c r="F866" s="20" t="n">
        <f>120</f>
        <v>120.0</v>
      </c>
      <c r="G866" s="21" t="n">
        <f>6889048</f>
        <v>6889048.0</v>
      </c>
      <c r="H866" s="21"/>
      <c r="I866" s="21" t="n">
        <f>2001960</f>
        <v>2001960.0</v>
      </c>
      <c r="J866" s="21" t="n">
        <f>57409</f>
        <v>57409.0</v>
      </c>
      <c r="K866" s="21" t="n">
        <f>16683</f>
        <v>16683.0</v>
      </c>
      <c r="L866" s="4" t="s">
        <v>194</v>
      </c>
      <c r="M866" s="22" t="n">
        <f>136408</f>
        <v>136408.0</v>
      </c>
      <c r="N866" s="5" t="s">
        <v>586</v>
      </c>
      <c r="O866" s="23" t="n">
        <f>24818</f>
        <v>24818.0</v>
      </c>
      <c r="P866" s="3" t="s">
        <v>1802</v>
      </c>
      <c r="Q866" s="21"/>
      <c r="R866" s="3" t="s">
        <v>1803</v>
      </c>
      <c r="S866" s="21" t="n">
        <f>9845988211</f>
        <v>9.845988211E9</v>
      </c>
      <c r="T866" s="21" t="n">
        <f>6422548311</f>
        <v>6.422548311E9</v>
      </c>
      <c r="U866" s="5" t="s">
        <v>113</v>
      </c>
      <c r="V866" s="23" t="n">
        <f>23424331000</f>
        <v>2.3424331E10</v>
      </c>
      <c r="W866" s="5" t="s">
        <v>1068</v>
      </c>
      <c r="X866" s="23" t="n">
        <f>2743591580</f>
        <v>2.74359158E9</v>
      </c>
      <c r="Y866" s="23" t="n">
        <f>204973</f>
        <v>204973.0</v>
      </c>
      <c r="Z866" s="21" t="n">
        <f>891683</f>
        <v>891683.0</v>
      </c>
      <c r="AA866" s="21" t="n">
        <f>700687</f>
        <v>700687.0</v>
      </c>
      <c r="AB866" s="4" t="s">
        <v>54</v>
      </c>
      <c r="AC866" s="22" t="n">
        <f>921836</f>
        <v>921836.0</v>
      </c>
      <c r="AD866" s="5" t="s">
        <v>212</v>
      </c>
      <c r="AE866" s="23" t="n">
        <f>563391</f>
        <v>563391.0</v>
      </c>
    </row>
    <row r="867">
      <c r="A867" s="24" t="s">
        <v>1742</v>
      </c>
      <c r="B867" s="25" t="s">
        <v>1743</v>
      </c>
      <c r="C867" s="26" t="s">
        <v>1752</v>
      </c>
      <c r="D867" s="27" t="s">
        <v>1753</v>
      </c>
      <c r="E867" s="28" t="s">
        <v>101</v>
      </c>
      <c r="F867" s="20" t="n">
        <f>120</f>
        <v>120.0</v>
      </c>
      <c r="G867" s="21" t="n">
        <f>17241540</f>
        <v>1.724154E7</v>
      </c>
      <c r="H867" s="21"/>
      <c r="I867" s="21" t="n">
        <f>6039719</f>
        <v>6039719.0</v>
      </c>
      <c r="J867" s="21" t="n">
        <f>143680</f>
        <v>143680.0</v>
      </c>
      <c r="K867" s="21" t="n">
        <f>50331</f>
        <v>50331.0</v>
      </c>
      <c r="L867" s="4" t="s">
        <v>194</v>
      </c>
      <c r="M867" s="22" t="n">
        <f>377257</f>
        <v>377257.0</v>
      </c>
      <c r="N867" s="5" t="s">
        <v>586</v>
      </c>
      <c r="O867" s="23" t="n">
        <f>67690</f>
        <v>67690.0</v>
      </c>
      <c r="P867" s="3" t="s">
        <v>1804</v>
      </c>
      <c r="Q867" s="21"/>
      <c r="R867" s="3" t="s">
        <v>1805</v>
      </c>
      <c r="S867" s="21" t="n">
        <f>27546921753</f>
        <v>2.7546921753E10</v>
      </c>
      <c r="T867" s="21" t="n">
        <f>19246164261</f>
        <v>1.9246164261E10</v>
      </c>
      <c r="U867" s="5" t="s">
        <v>113</v>
      </c>
      <c r="V867" s="23" t="n">
        <f>74838588450</f>
        <v>7.483858845E10</v>
      </c>
      <c r="W867" s="5" t="s">
        <v>914</v>
      </c>
      <c r="X867" s="23" t="n">
        <f>10355496000</f>
        <v>1.0355496E10</v>
      </c>
      <c r="Y867" s="23" t="n">
        <f>481965</f>
        <v>481965.0</v>
      </c>
      <c r="Z867" s="21" t="n">
        <f>2381204</f>
        <v>2381204.0</v>
      </c>
      <c r="AA867" s="21" t="n">
        <f>1918945</f>
        <v>1918945.0</v>
      </c>
      <c r="AB867" s="4" t="s">
        <v>54</v>
      </c>
      <c r="AC867" s="22" t="n">
        <f>2437843</f>
        <v>2437843.0</v>
      </c>
      <c r="AD867" s="5" t="s">
        <v>212</v>
      </c>
      <c r="AE867" s="23" t="n">
        <f>1609300</f>
        <v>1609300.0</v>
      </c>
    </row>
    <row r="868">
      <c r="A868" s="24" t="s">
        <v>1742</v>
      </c>
      <c r="B868" s="25" t="s">
        <v>1743</v>
      </c>
      <c r="C868" s="26" t="s">
        <v>1744</v>
      </c>
      <c r="D868" s="27" t="s">
        <v>1745</v>
      </c>
      <c r="E868" s="28" t="s">
        <v>106</v>
      </c>
      <c r="F868" s="20" t="n">
        <f>121</f>
        <v>121.0</v>
      </c>
      <c r="G868" s="21" t="n">
        <f>9049686</f>
        <v>9049686.0</v>
      </c>
      <c r="H868" s="21"/>
      <c r="I868" s="21" t="n">
        <f>3266793</f>
        <v>3266793.0</v>
      </c>
      <c r="J868" s="21" t="n">
        <f>74791</f>
        <v>74791.0</v>
      </c>
      <c r="K868" s="21" t="n">
        <f>26998</f>
        <v>26998.0</v>
      </c>
      <c r="L868" s="4" t="s">
        <v>198</v>
      </c>
      <c r="M868" s="22" t="n">
        <f>184133</f>
        <v>184133.0</v>
      </c>
      <c r="N868" s="5" t="s">
        <v>481</v>
      </c>
      <c r="O868" s="23" t="n">
        <f>38448</f>
        <v>38448.0</v>
      </c>
      <c r="P868" s="3" t="s">
        <v>1806</v>
      </c>
      <c r="Q868" s="21"/>
      <c r="R868" s="3" t="s">
        <v>1807</v>
      </c>
      <c r="S868" s="21" t="n">
        <f>12817491279</f>
        <v>1.2817491279E10</v>
      </c>
      <c r="T868" s="21" t="n">
        <f>9311245270</f>
        <v>9.31124527E9</v>
      </c>
      <c r="U868" s="5" t="s">
        <v>71</v>
      </c>
      <c r="V868" s="23" t="n">
        <f>44067265500</f>
        <v>4.40672655E10</v>
      </c>
      <c r="W868" s="5" t="s">
        <v>1446</v>
      </c>
      <c r="X868" s="23" t="n">
        <f>3039078000</f>
        <v>3.039078E9</v>
      </c>
      <c r="Y868" s="23" t="n">
        <f>118791</f>
        <v>118791.0</v>
      </c>
      <c r="Z868" s="21" t="n">
        <f>1435182</f>
        <v>1435182.0</v>
      </c>
      <c r="AA868" s="21" t="n">
        <f>1206746</f>
        <v>1206746.0</v>
      </c>
      <c r="AB868" s="4" t="s">
        <v>319</v>
      </c>
      <c r="AC868" s="22" t="n">
        <f>1455021</f>
        <v>1455021.0</v>
      </c>
      <c r="AD868" s="5" t="s">
        <v>966</v>
      </c>
      <c r="AE868" s="23" t="n">
        <f>1100688</f>
        <v>1100688.0</v>
      </c>
    </row>
    <row r="869">
      <c r="A869" s="24" t="s">
        <v>1742</v>
      </c>
      <c r="B869" s="25" t="s">
        <v>1743</v>
      </c>
      <c r="C869" s="26" t="s">
        <v>1748</v>
      </c>
      <c r="D869" s="27" t="s">
        <v>1749</v>
      </c>
      <c r="E869" s="28" t="s">
        <v>106</v>
      </c>
      <c r="F869" s="20" t="n">
        <f>121</f>
        <v>121.0</v>
      </c>
      <c r="G869" s="21" t="n">
        <f>5971036</f>
        <v>5971036.0</v>
      </c>
      <c r="H869" s="21"/>
      <c r="I869" s="21" t="n">
        <f>1756772</f>
        <v>1756772.0</v>
      </c>
      <c r="J869" s="21" t="n">
        <f>49347</f>
        <v>49347.0</v>
      </c>
      <c r="K869" s="21" t="n">
        <f>14519</f>
        <v>14519.0</v>
      </c>
      <c r="L869" s="4" t="s">
        <v>458</v>
      </c>
      <c r="M869" s="22" t="n">
        <f>106389</f>
        <v>106389.0</v>
      </c>
      <c r="N869" s="5" t="s">
        <v>735</v>
      </c>
      <c r="O869" s="23" t="n">
        <f>24480</f>
        <v>24480.0</v>
      </c>
      <c r="P869" s="3" t="s">
        <v>1808</v>
      </c>
      <c r="Q869" s="21"/>
      <c r="R869" s="3" t="s">
        <v>1809</v>
      </c>
      <c r="S869" s="21" t="n">
        <f>7334452089</f>
        <v>7.334452089E9</v>
      </c>
      <c r="T869" s="21" t="n">
        <f>4890618246</f>
        <v>4.890618246E9</v>
      </c>
      <c r="U869" s="5" t="s">
        <v>71</v>
      </c>
      <c r="V869" s="23" t="n">
        <f>46634806000</f>
        <v>4.6634806E10</v>
      </c>
      <c r="W869" s="5" t="s">
        <v>481</v>
      </c>
      <c r="X869" s="23" t="n">
        <f>1941024000</f>
        <v>1.941024E9</v>
      </c>
      <c r="Y869" s="23" t="n">
        <f>193871</f>
        <v>193871.0</v>
      </c>
      <c r="Z869" s="21" t="n">
        <f>982107</f>
        <v>982107.0</v>
      </c>
      <c r="AA869" s="21" t="n">
        <f>680289</f>
        <v>680289.0</v>
      </c>
      <c r="AB869" s="4" t="s">
        <v>319</v>
      </c>
      <c r="AC869" s="22" t="n">
        <f>829406</f>
        <v>829406.0</v>
      </c>
      <c r="AD869" s="5" t="s">
        <v>132</v>
      </c>
      <c r="AE869" s="23" t="n">
        <f>599750</f>
        <v>599750.0</v>
      </c>
    </row>
    <row r="870">
      <c r="A870" s="24" t="s">
        <v>1742</v>
      </c>
      <c r="B870" s="25" t="s">
        <v>1743</v>
      </c>
      <c r="C870" s="26" t="s">
        <v>1752</v>
      </c>
      <c r="D870" s="27" t="s">
        <v>1753</v>
      </c>
      <c r="E870" s="28" t="s">
        <v>106</v>
      </c>
      <c r="F870" s="20" t="n">
        <f>121</f>
        <v>121.0</v>
      </c>
      <c r="G870" s="21" t="n">
        <f>15020722</f>
        <v>1.5020722E7</v>
      </c>
      <c r="H870" s="21"/>
      <c r="I870" s="21" t="n">
        <f>5023565</f>
        <v>5023565.0</v>
      </c>
      <c r="J870" s="21" t="n">
        <f>124138</f>
        <v>124138.0</v>
      </c>
      <c r="K870" s="21" t="n">
        <f>41517</f>
        <v>41517.0</v>
      </c>
      <c r="L870" s="4" t="s">
        <v>198</v>
      </c>
      <c r="M870" s="22" t="n">
        <f>282545</f>
        <v>282545.0</v>
      </c>
      <c r="N870" s="5" t="s">
        <v>1108</v>
      </c>
      <c r="O870" s="23" t="n">
        <f>71268</f>
        <v>71268.0</v>
      </c>
      <c r="P870" s="3" t="s">
        <v>1810</v>
      </c>
      <c r="Q870" s="21"/>
      <c r="R870" s="3" t="s">
        <v>1811</v>
      </c>
      <c r="S870" s="21" t="n">
        <f>20151943367</f>
        <v>2.0151943367E10</v>
      </c>
      <c r="T870" s="21" t="n">
        <f>14201863516</f>
        <v>1.4201863516E10</v>
      </c>
      <c r="U870" s="5" t="s">
        <v>71</v>
      </c>
      <c r="V870" s="23" t="n">
        <f>90702071500</f>
        <v>9.07020715E10</v>
      </c>
      <c r="W870" s="5" t="s">
        <v>1446</v>
      </c>
      <c r="X870" s="23" t="n">
        <f>5299640500</f>
        <v>5.2996405E9</v>
      </c>
      <c r="Y870" s="23" t="n">
        <f>312662</f>
        <v>312662.0</v>
      </c>
      <c r="Z870" s="21" t="n">
        <f>2417289</f>
        <v>2417289.0</v>
      </c>
      <c r="AA870" s="21" t="n">
        <f>1887035</f>
        <v>1887035.0</v>
      </c>
      <c r="AB870" s="4" t="s">
        <v>319</v>
      </c>
      <c r="AC870" s="22" t="n">
        <f>2284427</f>
        <v>2284427.0</v>
      </c>
      <c r="AD870" s="5" t="s">
        <v>132</v>
      </c>
      <c r="AE870" s="23" t="n">
        <f>1706465</f>
        <v>1706465.0</v>
      </c>
    </row>
    <row r="871">
      <c r="A871" s="24" t="s">
        <v>1742</v>
      </c>
      <c r="B871" s="25" t="s">
        <v>1743</v>
      </c>
      <c r="C871" s="26" t="s">
        <v>1744</v>
      </c>
      <c r="D871" s="27" t="s">
        <v>1745</v>
      </c>
      <c r="E871" s="28" t="s">
        <v>112</v>
      </c>
      <c r="F871" s="20" t="n">
        <f>120</f>
        <v>120.0</v>
      </c>
      <c r="G871" s="21" t="n">
        <f>10662024</f>
        <v>1.0662024E7</v>
      </c>
      <c r="H871" s="21"/>
      <c r="I871" s="21" t="n">
        <f>3542717</f>
        <v>3542717.0</v>
      </c>
      <c r="J871" s="21" t="n">
        <f>88850</f>
        <v>88850.0</v>
      </c>
      <c r="K871" s="21" t="n">
        <f>29523</f>
        <v>29523.0</v>
      </c>
      <c r="L871" s="4" t="s">
        <v>202</v>
      </c>
      <c r="M871" s="22" t="n">
        <f>267443</f>
        <v>267443.0</v>
      </c>
      <c r="N871" s="5" t="s">
        <v>484</v>
      </c>
      <c r="O871" s="23" t="n">
        <f>26864</f>
        <v>26864.0</v>
      </c>
      <c r="P871" s="3" t="s">
        <v>1812</v>
      </c>
      <c r="Q871" s="21"/>
      <c r="R871" s="3" t="s">
        <v>1813</v>
      </c>
      <c r="S871" s="21" t="n">
        <f>23017023774</f>
        <v>2.3017023774E10</v>
      </c>
      <c r="T871" s="21" t="n">
        <f>15588602832</f>
        <v>1.5588602832E10</v>
      </c>
      <c r="U871" s="5" t="s">
        <v>53</v>
      </c>
      <c r="V871" s="23" t="n">
        <f>112028471000</f>
        <v>1.12028471E11</v>
      </c>
      <c r="W871" s="5" t="s">
        <v>113</v>
      </c>
      <c r="X871" s="23" t="n">
        <f>1944993000</f>
        <v>1.944993E9</v>
      </c>
      <c r="Y871" s="23" t="n">
        <f>221120</f>
        <v>221120.0</v>
      </c>
      <c r="Z871" s="21" t="n">
        <f>1817613</f>
        <v>1817613.0</v>
      </c>
      <c r="AA871" s="21" t="n">
        <f>1289555</f>
        <v>1289555.0</v>
      </c>
      <c r="AB871" s="4" t="s">
        <v>54</v>
      </c>
      <c r="AC871" s="22" t="n">
        <f>1411854</f>
        <v>1411854.0</v>
      </c>
      <c r="AD871" s="5" t="s">
        <v>138</v>
      </c>
      <c r="AE871" s="23" t="n">
        <f>903874</f>
        <v>903874.0</v>
      </c>
    </row>
    <row r="872">
      <c r="A872" s="24" t="s">
        <v>1742</v>
      </c>
      <c r="B872" s="25" t="s">
        <v>1743</v>
      </c>
      <c r="C872" s="26" t="s">
        <v>1748</v>
      </c>
      <c r="D872" s="27" t="s">
        <v>1749</v>
      </c>
      <c r="E872" s="28" t="s">
        <v>112</v>
      </c>
      <c r="F872" s="20" t="n">
        <f>120</f>
        <v>120.0</v>
      </c>
      <c r="G872" s="21" t="n">
        <f>6686250</f>
        <v>6686250.0</v>
      </c>
      <c r="H872" s="21"/>
      <c r="I872" s="21" t="n">
        <f>1877908</f>
        <v>1877908.0</v>
      </c>
      <c r="J872" s="21" t="n">
        <f>55719</f>
        <v>55719.0</v>
      </c>
      <c r="K872" s="21" t="n">
        <f>15649</f>
        <v>15649.0</v>
      </c>
      <c r="L872" s="4" t="s">
        <v>552</v>
      </c>
      <c r="M872" s="22" t="n">
        <f>125108</f>
        <v>125108.0</v>
      </c>
      <c r="N872" s="5" t="s">
        <v>113</v>
      </c>
      <c r="O872" s="23" t="n">
        <f>17906</f>
        <v>17906.0</v>
      </c>
      <c r="P872" s="3" t="s">
        <v>1814</v>
      </c>
      <c r="Q872" s="21"/>
      <c r="R872" s="3" t="s">
        <v>1815</v>
      </c>
      <c r="S872" s="21" t="n">
        <f>10586746991</f>
        <v>1.0586746991E10</v>
      </c>
      <c r="T872" s="21" t="n">
        <f>6422239741</f>
        <v>6.422239741E9</v>
      </c>
      <c r="U872" s="5" t="s">
        <v>116</v>
      </c>
      <c r="V872" s="23" t="n">
        <f>35894731582</f>
        <v>3.5894731582E10</v>
      </c>
      <c r="W872" s="5" t="s">
        <v>113</v>
      </c>
      <c r="X872" s="23" t="n">
        <f>1344671000</f>
        <v>1.344671E9</v>
      </c>
      <c r="Y872" s="23" t="n">
        <f>344464</f>
        <v>344464.0</v>
      </c>
      <c r="Z872" s="21" t="n">
        <f>1261241</f>
        <v>1261241.0</v>
      </c>
      <c r="AA872" s="21" t="n">
        <f>732097</f>
        <v>732097.0</v>
      </c>
      <c r="AB872" s="4" t="s">
        <v>187</v>
      </c>
      <c r="AC872" s="22" t="n">
        <f>795572</f>
        <v>795572.0</v>
      </c>
      <c r="AD872" s="5" t="s">
        <v>138</v>
      </c>
      <c r="AE872" s="23" t="n">
        <f>466127</f>
        <v>466127.0</v>
      </c>
    </row>
    <row r="873">
      <c r="A873" s="24" t="s">
        <v>1742</v>
      </c>
      <c r="B873" s="25" t="s">
        <v>1743</v>
      </c>
      <c r="C873" s="26" t="s">
        <v>1752</v>
      </c>
      <c r="D873" s="27" t="s">
        <v>1753</v>
      </c>
      <c r="E873" s="28" t="s">
        <v>112</v>
      </c>
      <c r="F873" s="20" t="n">
        <f>120</f>
        <v>120.0</v>
      </c>
      <c r="G873" s="21" t="n">
        <f>17348274</f>
        <v>1.7348274E7</v>
      </c>
      <c r="H873" s="21"/>
      <c r="I873" s="21" t="n">
        <f>5420625</f>
        <v>5420625.0</v>
      </c>
      <c r="J873" s="21" t="n">
        <f>144569</f>
        <v>144569.0</v>
      </c>
      <c r="K873" s="21" t="n">
        <f>45172</f>
        <v>45172.0</v>
      </c>
      <c r="L873" s="4" t="s">
        <v>202</v>
      </c>
      <c r="M873" s="22" t="n">
        <f>390046</f>
        <v>390046.0</v>
      </c>
      <c r="N873" s="5" t="s">
        <v>484</v>
      </c>
      <c r="O873" s="23" t="n">
        <f>47201</f>
        <v>47201.0</v>
      </c>
      <c r="P873" s="3" t="s">
        <v>1816</v>
      </c>
      <c r="Q873" s="21"/>
      <c r="R873" s="3" t="s">
        <v>1817</v>
      </c>
      <c r="S873" s="21" t="n">
        <f>33603770765</f>
        <v>3.3603770765E10</v>
      </c>
      <c r="T873" s="21" t="n">
        <f>22010842574</f>
        <v>2.2010842574E10</v>
      </c>
      <c r="U873" s="5" t="s">
        <v>53</v>
      </c>
      <c r="V873" s="23" t="n">
        <f>146449584000</f>
        <v>1.46449584E11</v>
      </c>
      <c r="W873" s="5" t="s">
        <v>113</v>
      </c>
      <c r="X873" s="23" t="n">
        <f>3289664000</f>
        <v>3.289664E9</v>
      </c>
      <c r="Y873" s="23" t="n">
        <f>565584</f>
        <v>565584.0</v>
      </c>
      <c r="Z873" s="21" t="n">
        <f>3078854</f>
        <v>3078854.0</v>
      </c>
      <c r="AA873" s="21" t="n">
        <f>2021652</f>
        <v>2021652.0</v>
      </c>
      <c r="AB873" s="4" t="s">
        <v>187</v>
      </c>
      <c r="AC873" s="22" t="n">
        <f>2168988</f>
        <v>2168988.0</v>
      </c>
      <c r="AD873" s="5" t="s">
        <v>138</v>
      </c>
      <c r="AE873" s="23" t="n">
        <f>1370001</f>
        <v>1370001.0</v>
      </c>
    </row>
    <row r="874">
      <c r="A874" s="24" t="s">
        <v>1742</v>
      </c>
      <c r="B874" s="25" t="s">
        <v>1743</v>
      </c>
      <c r="C874" s="26" t="s">
        <v>1744</v>
      </c>
      <c r="D874" s="27" t="s">
        <v>1745</v>
      </c>
      <c r="E874" s="28" t="s">
        <v>118</v>
      </c>
      <c r="F874" s="20" t="n">
        <f>122</f>
        <v>122.0</v>
      </c>
      <c r="G874" s="21" t="n">
        <f>7791182</f>
        <v>7791182.0</v>
      </c>
      <c r="H874" s="21"/>
      <c r="I874" s="21" t="n">
        <f>3252289</f>
        <v>3252289.0</v>
      </c>
      <c r="J874" s="21" t="n">
        <f>63862</f>
        <v>63862.0</v>
      </c>
      <c r="K874" s="21" t="n">
        <f>26658</f>
        <v>26658.0</v>
      </c>
      <c r="L874" s="4" t="s">
        <v>143</v>
      </c>
      <c r="M874" s="22" t="n">
        <f>118786</f>
        <v>118786.0</v>
      </c>
      <c r="N874" s="5" t="s">
        <v>120</v>
      </c>
      <c r="O874" s="23" t="n">
        <f>24626</f>
        <v>24626.0</v>
      </c>
      <c r="P874" s="3" t="s">
        <v>1818</v>
      </c>
      <c r="Q874" s="21"/>
      <c r="R874" s="3" t="s">
        <v>1819</v>
      </c>
      <c r="S874" s="21" t="n">
        <f>16805546909</f>
        <v>1.6805546909E10</v>
      </c>
      <c r="T874" s="21" t="n">
        <f>12157317163</f>
        <v>1.2157317163E10</v>
      </c>
      <c r="U874" s="5" t="s">
        <v>666</v>
      </c>
      <c r="V874" s="23" t="n">
        <f>53370958650</f>
        <v>5.337095865E10</v>
      </c>
      <c r="W874" s="5" t="s">
        <v>442</v>
      </c>
      <c r="X874" s="23" t="n">
        <f>5597346075</f>
        <v>5.597346075E9</v>
      </c>
      <c r="Y874" s="23" t="n">
        <f>140675</f>
        <v>140675.0</v>
      </c>
      <c r="Z874" s="21" t="n">
        <f>1479764</f>
        <v>1479764.0</v>
      </c>
      <c r="AA874" s="21" t="n">
        <f>1059264</f>
        <v>1059264.0</v>
      </c>
      <c r="AB874" s="4" t="s">
        <v>193</v>
      </c>
      <c r="AC874" s="22" t="n">
        <f>1475150</f>
        <v>1475150.0</v>
      </c>
      <c r="AD874" s="5" t="s">
        <v>61</v>
      </c>
      <c r="AE874" s="23" t="n">
        <f>996332</f>
        <v>996332.0</v>
      </c>
    </row>
    <row r="875">
      <c r="A875" s="24" t="s">
        <v>1742</v>
      </c>
      <c r="B875" s="25" t="s">
        <v>1743</v>
      </c>
      <c r="C875" s="26" t="s">
        <v>1748</v>
      </c>
      <c r="D875" s="27" t="s">
        <v>1749</v>
      </c>
      <c r="E875" s="28" t="s">
        <v>118</v>
      </c>
      <c r="F875" s="20" t="n">
        <f>122</f>
        <v>122.0</v>
      </c>
      <c r="G875" s="21" t="n">
        <f>4936719</f>
        <v>4936719.0</v>
      </c>
      <c r="H875" s="21"/>
      <c r="I875" s="21" t="n">
        <f>1561005</f>
        <v>1561005.0</v>
      </c>
      <c r="J875" s="21" t="n">
        <f>40465</f>
        <v>40465.0</v>
      </c>
      <c r="K875" s="21" t="n">
        <f>12795</f>
        <v>12795.0</v>
      </c>
      <c r="L875" s="4" t="s">
        <v>262</v>
      </c>
      <c r="M875" s="22" t="n">
        <f>95450</f>
        <v>95450.0</v>
      </c>
      <c r="N875" s="5" t="s">
        <v>123</v>
      </c>
      <c r="O875" s="23" t="n">
        <f>13043</f>
        <v>13043.0</v>
      </c>
      <c r="P875" s="3" t="s">
        <v>1820</v>
      </c>
      <c r="Q875" s="21"/>
      <c r="R875" s="3" t="s">
        <v>1821</v>
      </c>
      <c r="S875" s="21" t="n">
        <f>10775865589</f>
        <v>1.0775865589E10</v>
      </c>
      <c r="T875" s="21" t="n">
        <f>7147517868</f>
        <v>7.147517868E9</v>
      </c>
      <c r="U875" s="5" t="s">
        <v>238</v>
      </c>
      <c r="V875" s="23" t="n">
        <f>38595140640</f>
        <v>3.859514064E10</v>
      </c>
      <c r="W875" s="5" t="s">
        <v>434</v>
      </c>
      <c r="X875" s="23" t="n">
        <f>2948306800</f>
        <v>2.9483068E9</v>
      </c>
      <c r="Y875" s="23" t="n">
        <f>294840</f>
        <v>294840.0</v>
      </c>
      <c r="Z875" s="21" t="n">
        <f>826000</f>
        <v>826000.0</v>
      </c>
      <c r="AA875" s="21" t="n">
        <f>589083</f>
        <v>589083.0</v>
      </c>
      <c r="AB875" s="4" t="s">
        <v>1546</v>
      </c>
      <c r="AC875" s="22" t="n">
        <f>799362</f>
        <v>799362.0</v>
      </c>
      <c r="AD875" s="5" t="s">
        <v>61</v>
      </c>
      <c r="AE875" s="23" t="n">
        <f>547281</f>
        <v>547281.0</v>
      </c>
    </row>
    <row r="876">
      <c r="A876" s="24" t="s">
        <v>1742</v>
      </c>
      <c r="B876" s="25" t="s">
        <v>1743</v>
      </c>
      <c r="C876" s="26" t="s">
        <v>1752</v>
      </c>
      <c r="D876" s="27" t="s">
        <v>1753</v>
      </c>
      <c r="E876" s="28" t="s">
        <v>118</v>
      </c>
      <c r="F876" s="20" t="n">
        <f>122</f>
        <v>122.0</v>
      </c>
      <c r="G876" s="21" t="n">
        <f>12727901</f>
        <v>1.2727901E7</v>
      </c>
      <c r="H876" s="21"/>
      <c r="I876" s="21" t="n">
        <f>4813294</f>
        <v>4813294.0</v>
      </c>
      <c r="J876" s="21" t="n">
        <f>104327</f>
        <v>104327.0</v>
      </c>
      <c r="K876" s="21" t="n">
        <f>39453</f>
        <v>39453.0</v>
      </c>
      <c r="L876" s="4" t="s">
        <v>143</v>
      </c>
      <c r="M876" s="22" t="n">
        <f>197448</f>
        <v>197448.0</v>
      </c>
      <c r="N876" s="5" t="s">
        <v>123</v>
      </c>
      <c r="O876" s="23" t="n">
        <f>45306</f>
        <v>45306.0</v>
      </c>
      <c r="P876" s="3" t="s">
        <v>1822</v>
      </c>
      <c r="Q876" s="21"/>
      <c r="R876" s="3" t="s">
        <v>1823</v>
      </c>
      <c r="S876" s="21" t="n">
        <f>27581412498</f>
        <v>2.7581412498E10</v>
      </c>
      <c r="T876" s="21" t="n">
        <f>19304835031</f>
        <v>1.9304835031E10</v>
      </c>
      <c r="U876" s="5" t="s">
        <v>666</v>
      </c>
      <c r="V876" s="23" t="n">
        <f>73869906041</f>
        <v>7.3869906041E10</v>
      </c>
      <c r="W876" s="5" t="s">
        <v>1003</v>
      </c>
      <c r="X876" s="23" t="n">
        <f>9310887000</f>
        <v>9.310887E9</v>
      </c>
      <c r="Y876" s="23" t="n">
        <f>435515</f>
        <v>435515.0</v>
      </c>
      <c r="Z876" s="21" t="n">
        <f>2305764</f>
        <v>2305764.0</v>
      </c>
      <c r="AA876" s="21" t="n">
        <f>1648347</f>
        <v>1648347.0</v>
      </c>
      <c r="AB876" s="4" t="s">
        <v>193</v>
      </c>
      <c r="AC876" s="22" t="n">
        <f>2248803</f>
        <v>2248803.0</v>
      </c>
      <c r="AD876" s="5" t="s">
        <v>61</v>
      </c>
      <c r="AE876" s="23" t="n">
        <f>1543613</f>
        <v>1543613.0</v>
      </c>
    </row>
    <row r="877">
      <c r="A877" s="24" t="s">
        <v>1742</v>
      </c>
      <c r="B877" s="25" t="s">
        <v>1743</v>
      </c>
      <c r="C877" s="26" t="s">
        <v>1744</v>
      </c>
      <c r="D877" s="27" t="s">
        <v>1745</v>
      </c>
      <c r="E877" s="28" t="s">
        <v>124</v>
      </c>
      <c r="F877" s="20" t="n">
        <f>123</f>
        <v>123.0</v>
      </c>
      <c r="G877" s="21" t="n">
        <f>7519783</f>
        <v>7519783.0</v>
      </c>
      <c r="H877" s="21"/>
      <c r="I877" s="21" t="n">
        <f>2965685</f>
        <v>2965685.0</v>
      </c>
      <c r="J877" s="21" t="n">
        <f>61136</f>
        <v>61136.0</v>
      </c>
      <c r="K877" s="21" t="n">
        <f>24111</f>
        <v>24111.0</v>
      </c>
      <c r="L877" s="4" t="s">
        <v>352</v>
      </c>
      <c r="M877" s="22" t="n">
        <f>127221</f>
        <v>127221.0</v>
      </c>
      <c r="N877" s="5" t="s">
        <v>113</v>
      </c>
      <c r="O877" s="23" t="n">
        <f>17010</f>
        <v>17010.0</v>
      </c>
      <c r="P877" s="3" t="s">
        <v>1824</v>
      </c>
      <c r="Q877" s="21"/>
      <c r="R877" s="3" t="s">
        <v>1825</v>
      </c>
      <c r="S877" s="21" t="n">
        <f>13484461205</f>
        <v>1.3484461205E10</v>
      </c>
      <c r="T877" s="21" t="n">
        <f>9113139570</f>
        <v>9.11313957E9</v>
      </c>
      <c r="U877" s="5" t="s">
        <v>155</v>
      </c>
      <c r="V877" s="23" t="n">
        <f>30613827080</f>
        <v>3.061382708E10</v>
      </c>
      <c r="W877" s="5" t="s">
        <v>65</v>
      </c>
      <c r="X877" s="23" t="n">
        <f>2129286000</f>
        <v>2.129286E9</v>
      </c>
      <c r="Y877" s="23" t="n">
        <f>21487</f>
        <v>21487.0</v>
      </c>
      <c r="Z877" s="21" t="n">
        <f>1319885</f>
        <v>1319885.0</v>
      </c>
      <c r="AA877" s="21" t="n">
        <f>890851</f>
        <v>890851.0</v>
      </c>
      <c r="AB877" s="4" t="s">
        <v>49</v>
      </c>
      <c r="AC877" s="22" t="n">
        <f>1279788</f>
        <v>1279788.0</v>
      </c>
      <c r="AD877" s="5" t="s">
        <v>540</v>
      </c>
      <c r="AE877" s="23" t="n">
        <f>688956</f>
        <v>688956.0</v>
      </c>
    </row>
    <row r="878">
      <c r="A878" s="24" t="s">
        <v>1742</v>
      </c>
      <c r="B878" s="25" t="s">
        <v>1743</v>
      </c>
      <c r="C878" s="26" t="s">
        <v>1748</v>
      </c>
      <c r="D878" s="27" t="s">
        <v>1749</v>
      </c>
      <c r="E878" s="28" t="s">
        <v>124</v>
      </c>
      <c r="F878" s="20" t="n">
        <f>123</f>
        <v>123.0</v>
      </c>
      <c r="G878" s="21" t="n">
        <f>5175231</f>
        <v>5175231.0</v>
      </c>
      <c r="H878" s="21"/>
      <c r="I878" s="21" t="n">
        <f>1680975</f>
        <v>1680975.0</v>
      </c>
      <c r="J878" s="21" t="n">
        <f>42075</f>
        <v>42075.0</v>
      </c>
      <c r="K878" s="21" t="n">
        <f>13666</f>
        <v>13666.0</v>
      </c>
      <c r="L878" s="4" t="s">
        <v>208</v>
      </c>
      <c r="M878" s="22" t="n">
        <f>114862</f>
        <v>114862.0</v>
      </c>
      <c r="N878" s="5" t="s">
        <v>113</v>
      </c>
      <c r="O878" s="23" t="n">
        <f>10998</f>
        <v>10998.0</v>
      </c>
      <c r="P878" s="3" t="s">
        <v>1826</v>
      </c>
      <c r="Q878" s="21"/>
      <c r="R878" s="3" t="s">
        <v>1827</v>
      </c>
      <c r="S878" s="21" t="n">
        <f>11959374162</f>
        <v>1.1959374162E10</v>
      </c>
      <c r="T878" s="21" t="n">
        <f>7749212780</f>
        <v>7.74921278E9</v>
      </c>
      <c r="U878" s="5" t="s">
        <v>81</v>
      </c>
      <c r="V878" s="23" t="n">
        <f>45002186100</f>
        <v>4.50021861E10</v>
      </c>
      <c r="W878" s="5" t="s">
        <v>113</v>
      </c>
      <c r="X878" s="23" t="n">
        <f>1729550000</f>
        <v>1.72955E9</v>
      </c>
      <c r="Y878" s="23" t="n">
        <f>445960</f>
        <v>445960.0</v>
      </c>
      <c r="Z878" s="21" t="n">
        <f>1083907</f>
        <v>1083907.0</v>
      </c>
      <c r="AA878" s="21" t="n">
        <f>539667</f>
        <v>539667.0</v>
      </c>
      <c r="AB878" s="4" t="s">
        <v>49</v>
      </c>
      <c r="AC878" s="22" t="n">
        <f>713285</f>
        <v>713285.0</v>
      </c>
      <c r="AD878" s="5" t="s">
        <v>540</v>
      </c>
      <c r="AE878" s="23" t="n">
        <f>434129</f>
        <v>434129.0</v>
      </c>
    </row>
    <row r="879">
      <c r="A879" s="24" t="s">
        <v>1742</v>
      </c>
      <c r="B879" s="25" t="s">
        <v>1743</v>
      </c>
      <c r="C879" s="26" t="s">
        <v>1752</v>
      </c>
      <c r="D879" s="27" t="s">
        <v>1753</v>
      </c>
      <c r="E879" s="28" t="s">
        <v>124</v>
      </c>
      <c r="F879" s="20" t="n">
        <f>123</f>
        <v>123.0</v>
      </c>
      <c r="G879" s="21" t="n">
        <f>12695014</f>
        <v>1.2695014E7</v>
      </c>
      <c r="H879" s="21"/>
      <c r="I879" s="21" t="n">
        <f>4646660</f>
        <v>4646660.0</v>
      </c>
      <c r="J879" s="21" t="n">
        <f>103211</f>
        <v>103211.0</v>
      </c>
      <c r="K879" s="21" t="n">
        <f>37778</f>
        <v>37778.0</v>
      </c>
      <c r="L879" s="4" t="s">
        <v>208</v>
      </c>
      <c r="M879" s="22" t="n">
        <f>223333</f>
        <v>223333.0</v>
      </c>
      <c r="N879" s="5" t="s">
        <v>113</v>
      </c>
      <c r="O879" s="23" t="n">
        <f>28008</f>
        <v>28008.0</v>
      </c>
      <c r="P879" s="3" t="s">
        <v>1828</v>
      </c>
      <c r="Q879" s="21"/>
      <c r="R879" s="3" t="s">
        <v>1829</v>
      </c>
      <c r="S879" s="21" t="n">
        <f>25443835367</f>
        <v>2.5443835367E10</v>
      </c>
      <c r="T879" s="21" t="n">
        <f>16862352351</f>
        <v>1.6862352351E10</v>
      </c>
      <c r="U879" s="5" t="s">
        <v>81</v>
      </c>
      <c r="V879" s="23" t="n">
        <f>58811593990</f>
        <v>5.881159399E10</v>
      </c>
      <c r="W879" s="5" t="s">
        <v>113</v>
      </c>
      <c r="X879" s="23" t="n">
        <f>4119797000</f>
        <v>4.119797E9</v>
      </c>
      <c r="Y879" s="23" t="n">
        <f>467447</f>
        <v>467447.0</v>
      </c>
      <c r="Z879" s="21" t="n">
        <f>2403792</f>
        <v>2403792.0</v>
      </c>
      <c r="AA879" s="21" t="n">
        <f>1430518</f>
        <v>1430518.0</v>
      </c>
      <c r="AB879" s="4" t="s">
        <v>49</v>
      </c>
      <c r="AC879" s="22" t="n">
        <f>1993073</f>
        <v>1993073.0</v>
      </c>
      <c r="AD879" s="5" t="s">
        <v>540</v>
      </c>
      <c r="AE879" s="23" t="n">
        <f>1123085</f>
        <v>1123085.0</v>
      </c>
    </row>
    <row r="880">
      <c r="A880" s="24" t="s">
        <v>1742</v>
      </c>
      <c r="B880" s="25" t="s">
        <v>1743</v>
      </c>
      <c r="C880" s="26" t="s">
        <v>1744</v>
      </c>
      <c r="D880" s="27" t="s">
        <v>1745</v>
      </c>
      <c r="E880" s="28" t="s">
        <v>127</v>
      </c>
      <c r="F880" s="20" t="n">
        <f>122</f>
        <v>122.0</v>
      </c>
      <c r="G880" s="21" t="n">
        <f>6636528</f>
        <v>6636528.0</v>
      </c>
      <c r="H880" s="21"/>
      <c r="I880" s="21" t="n">
        <f>2525211</f>
        <v>2525211.0</v>
      </c>
      <c r="J880" s="21" t="n">
        <f>54398</f>
        <v>54398.0</v>
      </c>
      <c r="K880" s="21" t="n">
        <f>20698</f>
        <v>20698.0</v>
      </c>
      <c r="L880" s="4" t="s">
        <v>174</v>
      </c>
      <c r="M880" s="22" t="n">
        <f>148103</f>
        <v>148103.0</v>
      </c>
      <c r="N880" s="5" t="s">
        <v>859</v>
      </c>
      <c r="O880" s="23" t="n">
        <f>27748</f>
        <v>27748.0</v>
      </c>
      <c r="P880" s="3" t="s">
        <v>1830</v>
      </c>
      <c r="Q880" s="21"/>
      <c r="R880" s="3" t="s">
        <v>1831</v>
      </c>
      <c r="S880" s="21" t="n">
        <f>12691598575</f>
        <v>1.2691598575E10</v>
      </c>
      <c r="T880" s="21" t="n">
        <f>8677177435</f>
        <v>8.677177435E9</v>
      </c>
      <c r="U880" s="5" t="s">
        <v>174</v>
      </c>
      <c r="V880" s="23" t="n">
        <f>38114421176</f>
        <v>3.8114421176E10</v>
      </c>
      <c r="W880" s="5" t="s">
        <v>198</v>
      </c>
      <c r="X880" s="23" t="n">
        <f>4883576950</f>
        <v>4.88357695E9</v>
      </c>
      <c r="Y880" s="23" t="n">
        <f>83380</f>
        <v>83380.0</v>
      </c>
      <c r="Z880" s="21" t="n">
        <f>1154410</f>
        <v>1154410.0</v>
      </c>
      <c r="AA880" s="21" t="n">
        <f>932084</f>
        <v>932084.0</v>
      </c>
      <c r="AB880" s="4" t="s">
        <v>75</v>
      </c>
      <c r="AC880" s="22" t="n">
        <f>1023398</f>
        <v>1023398.0</v>
      </c>
      <c r="AD880" s="5" t="s">
        <v>193</v>
      </c>
      <c r="AE880" s="23" t="n">
        <f>755033</f>
        <v>755033.0</v>
      </c>
    </row>
    <row r="881">
      <c r="A881" s="24" t="s">
        <v>1742</v>
      </c>
      <c r="B881" s="25" t="s">
        <v>1743</v>
      </c>
      <c r="C881" s="26" t="s">
        <v>1748</v>
      </c>
      <c r="D881" s="27" t="s">
        <v>1749</v>
      </c>
      <c r="E881" s="28" t="s">
        <v>127</v>
      </c>
      <c r="F881" s="20" t="n">
        <f>122</f>
        <v>122.0</v>
      </c>
      <c r="G881" s="21" t="n">
        <f>5057676</f>
        <v>5057676.0</v>
      </c>
      <c r="H881" s="21"/>
      <c r="I881" s="21" t="n">
        <f>1768876</f>
        <v>1768876.0</v>
      </c>
      <c r="J881" s="21" t="n">
        <f>41456</f>
        <v>41456.0</v>
      </c>
      <c r="K881" s="21" t="n">
        <f>14499</f>
        <v>14499.0</v>
      </c>
      <c r="L881" s="4" t="s">
        <v>245</v>
      </c>
      <c r="M881" s="22" t="n">
        <f>126836</f>
        <v>126836.0</v>
      </c>
      <c r="N881" s="5" t="s">
        <v>58</v>
      </c>
      <c r="O881" s="23" t="n">
        <f>17503</f>
        <v>17503.0</v>
      </c>
      <c r="P881" s="3" t="s">
        <v>1832</v>
      </c>
      <c r="Q881" s="21"/>
      <c r="R881" s="3" t="s">
        <v>1833</v>
      </c>
      <c r="S881" s="21" t="n">
        <f>8357706952</f>
        <v>8.357706952E9</v>
      </c>
      <c r="T881" s="21" t="n">
        <f>5094684624</f>
        <v>5.094684624E9</v>
      </c>
      <c r="U881" s="5" t="s">
        <v>84</v>
      </c>
      <c r="V881" s="23" t="n">
        <f>33752748140</f>
        <v>3.375274814E10</v>
      </c>
      <c r="W881" s="5" t="s">
        <v>481</v>
      </c>
      <c r="X881" s="23" t="n">
        <f>2198624290</f>
        <v>2.19862429E9</v>
      </c>
      <c r="Y881" s="23" t="n">
        <f>197802</f>
        <v>197802.0</v>
      </c>
      <c r="Z881" s="21" t="n">
        <f>977393</f>
        <v>977393.0</v>
      </c>
      <c r="AA881" s="21" t="n">
        <f>575834</f>
        <v>575834.0</v>
      </c>
      <c r="AB881" s="4" t="s">
        <v>119</v>
      </c>
      <c r="AC881" s="22" t="n">
        <f>658766</f>
        <v>658766.0</v>
      </c>
      <c r="AD881" s="5" t="s">
        <v>193</v>
      </c>
      <c r="AE881" s="23" t="n">
        <f>455667</f>
        <v>455667.0</v>
      </c>
    </row>
    <row r="882">
      <c r="A882" s="24" t="s">
        <v>1742</v>
      </c>
      <c r="B882" s="25" t="s">
        <v>1743</v>
      </c>
      <c r="C882" s="26" t="s">
        <v>1752</v>
      </c>
      <c r="D882" s="27" t="s">
        <v>1753</v>
      </c>
      <c r="E882" s="28" t="s">
        <v>127</v>
      </c>
      <c r="F882" s="20" t="n">
        <f>122</f>
        <v>122.0</v>
      </c>
      <c r="G882" s="21" t="n">
        <f>11694204</f>
        <v>1.1694204E7</v>
      </c>
      <c r="H882" s="21"/>
      <c r="I882" s="21" t="n">
        <f>4294087</f>
        <v>4294087.0</v>
      </c>
      <c r="J882" s="21" t="n">
        <f>95854</f>
        <v>95854.0</v>
      </c>
      <c r="K882" s="21" t="n">
        <f>35197</f>
        <v>35197.0</v>
      </c>
      <c r="L882" s="4" t="s">
        <v>84</v>
      </c>
      <c r="M882" s="22" t="n">
        <f>248747</f>
        <v>248747.0</v>
      </c>
      <c r="N882" s="5" t="s">
        <v>659</v>
      </c>
      <c r="O882" s="23" t="n">
        <f>49276</f>
        <v>49276.0</v>
      </c>
      <c r="P882" s="3" t="s">
        <v>1834</v>
      </c>
      <c r="Q882" s="21"/>
      <c r="R882" s="3" t="s">
        <v>1835</v>
      </c>
      <c r="S882" s="21" t="n">
        <f>21049305527</f>
        <v>2.1049305527E10</v>
      </c>
      <c r="T882" s="21" t="n">
        <f>13771862060</f>
        <v>1.377186206E10</v>
      </c>
      <c r="U882" s="5" t="s">
        <v>84</v>
      </c>
      <c r="V882" s="23" t="n">
        <f>64430589500</f>
        <v>6.44305895E10</v>
      </c>
      <c r="W882" s="5" t="s">
        <v>198</v>
      </c>
      <c r="X882" s="23" t="n">
        <f>8621832600</f>
        <v>8.6218326E9</v>
      </c>
      <c r="Y882" s="23" t="n">
        <f>281182</f>
        <v>281182.0</v>
      </c>
      <c r="Z882" s="21" t="n">
        <f>2131803</f>
        <v>2131803.0</v>
      </c>
      <c r="AA882" s="21" t="n">
        <f>1507918</f>
        <v>1507918.0</v>
      </c>
      <c r="AB882" s="4" t="s">
        <v>119</v>
      </c>
      <c r="AC882" s="22" t="n">
        <f>1669028</f>
        <v>1669028.0</v>
      </c>
      <c r="AD882" s="5" t="s">
        <v>193</v>
      </c>
      <c r="AE882" s="23" t="n">
        <f>1210700</f>
        <v>1210700.0</v>
      </c>
    </row>
    <row r="883">
      <c r="A883" s="24" t="s">
        <v>1742</v>
      </c>
      <c r="B883" s="25" t="s">
        <v>1743</v>
      </c>
      <c r="C883" s="26" t="s">
        <v>1744</v>
      </c>
      <c r="D883" s="27" t="s">
        <v>1745</v>
      </c>
      <c r="E883" s="28" t="s">
        <v>133</v>
      </c>
      <c r="F883" s="20" t="n">
        <f>122</f>
        <v>122.0</v>
      </c>
      <c r="G883" s="21" t="n">
        <f>7252382</f>
        <v>7252382.0</v>
      </c>
      <c r="H883" s="21"/>
      <c r="I883" s="21" t="n">
        <f>2839455</f>
        <v>2839455.0</v>
      </c>
      <c r="J883" s="21" t="n">
        <f>59446</f>
        <v>59446.0</v>
      </c>
      <c r="K883" s="21" t="n">
        <f>23274</f>
        <v>23274.0</v>
      </c>
      <c r="L883" s="4" t="s">
        <v>1836</v>
      </c>
      <c r="M883" s="22" t="n">
        <f>146127</f>
        <v>146127.0</v>
      </c>
      <c r="N883" s="5" t="s">
        <v>134</v>
      </c>
      <c r="O883" s="23" t="n">
        <f>22257</f>
        <v>22257.0</v>
      </c>
      <c r="P883" s="3" t="s">
        <v>1837</v>
      </c>
      <c r="Q883" s="21"/>
      <c r="R883" s="3" t="s">
        <v>1838</v>
      </c>
      <c r="S883" s="21" t="n">
        <f>17110843362</f>
        <v>1.7110843362E10</v>
      </c>
      <c r="T883" s="21" t="n">
        <f>12399875502</f>
        <v>1.2399875502E10</v>
      </c>
      <c r="U883" s="5" t="s">
        <v>93</v>
      </c>
      <c r="V883" s="23" t="n">
        <f>52171857290</f>
        <v>5.217185729E10</v>
      </c>
      <c r="W883" s="5" t="s">
        <v>134</v>
      </c>
      <c r="X883" s="23" t="n">
        <f>2598512000</f>
        <v>2.598512E9</v>
      </c>
      <c r="Y883" s="23" t="n">
        <f>200045</f>
        <v>200045.0</v>
      </c>
      <c r="Z883" s="21" t="n">
        <f>1577877</f>
        <v>1577877.0</v>
      </c>
      <c r="AA883" s="21" t="n">
        <f>864992</f>
        <v>864992.0</v>
      </c>
      <c r="AB883" s="4" t="s">
        <v>81</v>
      </c>
      <c r="AC883" s="22" t="n">
        <f>1045024</f>
        <v>1045024.0</v>
      </c>
      <c r="AD883" s="5" t="s">
        <v>49</v>
      </c>
      <c r="AE883" s="23" t="n">
        <f>644638</f>
        <v>644638.0</v>
      </c>
    </row>
    <row r="884">
      <c r="A884" s="24" t="s">
        <v>1742</v>
      </c>
      <c r="B884" s="25" t="s">
        <v>1743</v>
      </c>
      <c r="C884" s="26" t="s">
        <v>1748</v>
      </c>
      <c r="D884" s="27" t="s">
        <v>1749</v>
      </c>
      <c r="E884" s="28" t="s">
        <v>133</v>
      </c>
      <c r="F884" s="20" t="n">
        <f>122</f>
        <v>122.0</v>
      </c>
      <c r="G884" s="21" t="n">
        <f>4750554</f>
        <v>4750554.0</v>
      </c>
      <c r="H884" s="21"/>
      <c r="I884" s="21" t="n">
        <f>1684852</f>
        <v>1684852.0</v>
      </c>
      <c r="J884" s="21" t="n">
        <f>38939</f>
        <v>38939.0</v>
      </c>
      <c r="K884" s="21" t="n">
        <f>13810</f>
        <v>13810.0</v>
      </c>
      <c r="L884" s="4" t="s">
        <v>53</v>
      </c>
      <c r="M884" s="22" t="n">
        <f>80565</f>
        <v>80565.0</v>
      </c>
      <c r="N884" s="5" t="s">
        <v>484</v>
      </c>
      <c r="O884" s="23" t="n">
        <f>11098</f>
        <v>11098.0</v>
      </c>
      <c r="P884" s="3" t="s">
        <v>1839</v>
      </c>
      <c r="Q884" s="21"/>
      <c r="R884" s="3" t="s">
        <v>1840</v>
      </c>
      <c r="S884" s="21" t="n">
        <f>8961978927</f>
        <v>8.961978927E9</v>
      </c>
      <c r="T884" s="21" t="n">
        <f>5858859755</f>
        <v>5.858859755E9</v>
      </c>
      <c r="U884" s="5" t="s">
        <v>330</v>
      </c>
      <c r="V884" s="23" t="n">
        <f>29765882481</f>
        <v>2.9765882481E10</v>
      </c>
      <c r="W884" s="5" t="s">
        <v>134</v>
      </c>
      <c r="X884" s="23" t="n">
        <f>1159506500</f>
        <v>1.1595065E9</v>
      </c>
      <c r="Y884" s="23" t="n">
        <f>196251</f>
        <v>196251.0</v>
      </c>
      <c r="Z884" s="21" t="n">
        <f>902528</f>
        <v>902528.0</v>
      </c>
      <c r="AA884" s="21" t="n">
        <f>487004</f>
        <v>487004.0</v>
      </c>
      <c r="AB884" s="4" t="s">
        <v>221</v>
      </c>
      <c r="AC884" s="22" t="n">
        <f>626389</f>
        <v>626389.0</v>
      </c>
      <c r="AD884" s="5" t="s">
        <v>49</v>
      </c>
      <c r="AE884" s="23" t="n">
        <f>332549</f>
        <v>332549.0</v>
      </c>
    </row>
    <row r="885">
      <c r="A885" s="24" t="s">
        <v>1742</v>
      </c>
      <c r="B885" s="25" t="s">
        <v>1743</v>
      </c>
      <c r="C885" s="26" t="s">
        <v>1752</v>
      </c>
      <c r="D885" s="27" t="s">
        <v>1753</v>
      </c>
      <c r="E885" s="28" t="s">
        <v>133</v>
      </c>
      <c r="F885" s="20" t="n">
        <f>122</f>
        <v>122.0</v>
      </c>
      <c r="G885" s="21" t="n">
        <f>12002936</f>
        <v>1.2002936E7</v>
      </c>
      <c r="H885" s="21"/>
      <c r="I885" s="21" t="n">
        <f>4524307</f>
        <v>4524307.0</v>
      </c>
      <c r="J885" s="21" t="n">
        <f>98385</f>
        <v>98385.0</v>
      </c>
      <c r="K885" s="21" t="n">
        <f>37084</f>
        <v>37084.0</v>
      </c>
      <c r="L885" s="4" t="s">
        <v>1836</v>
      </c>
      <c r="M885" s="22" t="n">
        <f>211006</f>
        <v>211006.0</v>
      </c>
      <c r="N885" s="5" t="s">
        <v>484</v>
      </c>
      <c r="O885" s="23" t="n">
        <f>37279</f>
        <v>37279.0</v>
      </c>
      <c r="P885" s="3" t="s">
        <v>1841</v>
      </c>
      <c r="Q885" s="21"/>
      <c r="R885" s="3" t="s">
        <v>1842</v>
      </c>
      <c r="S885" s="21" t="n">
        <f>26072822289</f>
        <v>2.6072822289E10</v>
      </c>
      <c r="T885" s="21" t="n">
        <f>18258735257</f>
        <v>1.8258735257E10</v>
      </c>
      <c r="U885" s="5" t="s">
        <v>53</v>
      </c>
      <c r="V885" s="23" t="n">
        <f>76052069339</f>
        <v>7.6052069339E10</v>
      </c>
      <c r="W885" s="5" t="s">
        <v>134</v>
      </c>
      <c r="X885" s="23" t="n">
        <f>3758018500</f>
        <v>3.7580185E9</v>
      </c>
      <c r="Y885" s="23" t="n">
        <f>396296</f>
        <v>396296.0</v>
      </c>
      <c r="Z885" s="21" t="n">
        <f>2480405</f>
        <v>2480405.0</v>
      </c>
      <c r="AA885" s="21" t="n">
        <f>1351996</f>
        <v>1351996.0</v>
      </c>
      <c r="AB885" s="4" t="s">
        <v>81</v>
      </c>
      <c r="AC885" s="22" t="n">
        <f>1667416</f>
        <v>1667416.0</v>
      </c>
      <c r="AD885" s="5" t="s">
        <v>49</v>
      </c>
      <c r="AE885" s="23" t="n">
        <f>977187</f>
        <v>977187.0</v>
      </c>
    </row>
    <row r="886">
      <c r="A886" s="24" t="s">
        <v>1742</v>
      </c>
      <c r="B886" s="25" t="s">
        <v>1743</v>
      </c>
      <c r="C886" s="26" t="s">
        <v>1744</v>
      </c>
      <c r="D886" s="27" t="s">
        <v>1745</v>
      </c>
      <c r="E886" s="28" t="s">
        <v>139</v>
      </c>
      <c r="F886" s="20" t="n">
        <f>123</f>
        <v>123.0</v>
      </c>
      <c r="G886" s="21" t="n">
        <f>7129926</f>
        <v>7129926.0</v>
      </c>
      <c r="H886" s="21"/>
      <c r="I886" s="21" t="n">
        <f>3138809</f>
        <v>3138809.0</v>
      </c>
      <c r="J886" s="21" t="n">
        <f>57967</f>
        <v>57967.0</v>
      </c>
      <c r="K886" s="21" t="n">
        <f>25519</f>
        <v>25519.0</v>
      </c>
      <c r="L886" s="4" t="s">
        <v>631</v>
      </c>
      <c r="M886" s="22" t="n">
        <f>109660</f>
        <v>109660.0</v>
      </c>
      <c r="N886" s="5" t="s">
        <v>140</v>
      </c>
      <c r="O886" s="23" t="n">
        <f>21624</f>
        <v>21624.0</v>
      </c>
      <c r="P886" s="3" t="s">
        <v>1843</v>
      </c>
      <c r="Q886" s="21"/>
      <c r="R886" s="3" t="s">
        <v>1844</v>
      </c>
      <c r="S886" s="21" t="n">
        <f>16499145798</f>
        <v>1.6499145798E10</v>
      </c>
      <c r="T886" s="21" t="n">
        <f>12698806855</f>
        <v>1.2698806855E10</v>
      </c>
      <c r="U886" s="5" t="s">
        <v>254</v>
      </c>
      <c r="V886" s="23" t="n">
        <f>33807868372</f>
        <v>3.3807868372E10</v>
      </c>
      <c r="W886" s="5" t="s">
        <v>140</v>
      </c>
      <c r="X886" s="23" t="n">
        <f>3604807350</f>
        <v>3.60480735E9</v>
      </c>
      <c r="Y886" s="23" t="n">
        <f>91528</f>
        <v>91528.0</v>
      </c>
      <c r="Z886" s="21" t="n">
        <f>1447673</f>
        <v>1447673.0</v>
      </c>
      <c r="AA886" s="21" t="n">
        <f>1077854</f>
        <v>1077854.0</v>
      </c>
      <c r="AB886" s="4" t="s">
        <v>183</v>
      </c>
      <c r="AC886" s="22" t="n">
        <f>1113048</f>
        <v>1113048.0</v>
      </c>
      <c r="AD886" s="5" t="s">
        <v>75</v>
      </c>
      <c r="AE886" s="23" t="n">
        <f>720868</f>
        <v>720868.0</v>
      </c>
    </row>
    <row r="887">
      <c r="A887" s="24" t="s">
        <v>1742</v>
      </c>
      <c r="B887" s="25" t="s">
        <v>1743</v>
      </c>
      <c r="C887" s="26" t="s">
        <v>1748</v>
      </c>
      <c r="D887" s="27" t="s">
        <v>1749</v>
      </c>
      <c r="E887" s="28" t="s">
        <v>139</v>
      </c>
      <c r="F887" s="20" t="n">
        <f>123</f>
        <v>123.0</v>
      </c>
      <c r="G887" s="21" t="n">
        <f>4608253</f>
        <v>4608253.0</v>
      </c>
      <c r="H887" s="21"/>
      <c r="I887" s="21" t="n">
        <f>1869384</f>
        <v>1869384.0</v>
      </c>
      <c r="J887" s="21" t="n">
        <f>37465</f>
        <v>37465.0</v>
      </c>
      <c r="K887" s="21" t="n">
        <f>15198</f>
        <v>15198.0</v>
      </c>
      <c r="L887" s="4" t="s">
        <v>1614</v>
      </c>
      <c r="M887" s="22" t="n">
        <f>70861</f>
        <v>70861.0</v>
      </c>
      <c r="N887" s="5" t="s">
        <v>140</v>
      </c>
      <c r="O887" s="23" t="n">
        <f>15690</f>
        <v>15690.0</v>
      </c>
      <c r="P887" s="3" t="s">
        <v>1845</v>
      </c>
      <c r="Q887" s="21"/>
      <c r="R887" s="3" t="s">
        <v>1846</v>
      </c>
      <c r="S887" s="21" t="n">
        <f>9677926384</f>
        <v>9.677926384E9</v>
      </c>
      <c r="T887" s="21" t="n">
        <f>7006039726</f>
        <v>7.006039726E9</v>
      </c>
      <c r="U887" s="5" t="s">
        <v>999</v>
      </c>
      <c r="V887" s="23" t="n">
        <f>27858253622</f>
        <v>2.7858253622E10</v>
      </c>
      <c r="W887" s="5" t="s">
        <v>140</v>
      </c>
      <c r="X887" s="23" t="n">
        <f>2530136339</f>
        <v>2.530136339E9</v>
      </c>
      <c r="Y887" s="23" t="n">
        <f>203980</f>
        <v>203980.0</v>
      </c>
      <c r="Z887" s="21" t="n">
        <f>828250</f>
        <v>828250.0</v>
      </c>
      <c r="AA887" s="21" t="n">
        <f>575813</f>
        <v>575813.0</v>
      </c>
      <c r="AB887" s="4" t="s">
        <v>183</v>
      </c>
      <c r="AC887" s="22" t="n">
        <f>605492</f>
        <v>605492.0</v>
      </c>
      <c r="AD887" s="5" t="s">
        <v>75</v>
      </c>
      <c r="AE887" s="23" t="n">
        <f>390673</f>
        <v>390673.0</v>
      </c>
    </row>
    <row r="888">
      <c r="A888" s="24" t="s">
        <v>1742</v>
      </c>
      <c r="B888" s="25" t="s">
        <v>1743</v>
      </c>
      <c r="C888" s="26" t="s">
        <v>1752</v>
      </c>
      <c r="D888" s="27" t="s">
        <v>1753</v>
      </c>
      <c r="E888" s="28" t="s">
        <v>139</v>
      </c>
      <c r="F888" s="20" t="n">
        <f>123</f>
        <v>123.0</v>
      </c>
      <c r="G888" s="21" t="n">
        <f>11738179</f>
        <v>1.1738179E7</v>
      </c>
      <c r="H888" s="21"/>
      <c r="I888" s="21" t="n">
        <f>5008193</f>
        <v>5008193.0</v>
      </c>
      <c r="J888" s="21" t="n">
        <f>95432</f>
        <v>95432.0</v>
      </c>
      <c r="K888" s="21" t="n">
        <f>40717</f>
        <v>40717.0</v>
      </c>
      <c r="L888" s="4" t="s">
        <v>631</v>
      </c>
      <c r="M888" s="22" t="n">
        <f>165580</f>
        <v>165580.0</v>
      </c>
      <c r="N888" s="5" t="s">
        <v>140</v>
      </c>
      <c r="O888" s="23" t="n">
        <f>37314</f>
        <v>37314.0</v>
      </c>
      <c r="P888" s="3" t="s">
        <v>1847</v>
      </c>
      <c r="Q888" s="21"/>
      <c r="R888" s="3" t="s">
        <v>1848</v>
      </c>
      <c r="S888" s="21" t="n">
        <f>26177072182</f>
        <v>2.6177072182E10</v>
      </c>
      <c r="T888" s="21" t="n">
        <f>19704846581</f>
        <v>1.9704846581E10</v>
      </c>
      <c r="U888" s="5" t="s">
        <v>999</v>
      </c>
      <c r="V888" s="23" t="n">
        <f>51489607577</f>
        <v>5.1489607577E10</v>
      </c>
      <c r="W888" s="5" t="s">
        <v>140</v>
      </c>
      <c r="X888" s="23" t="n">
        <f>6134943689</f>
        <v>6.134943689E9</v>
      </c>
      <c r="Y888" s="23" t="n">
        <f>295508</f>
        <v>295508.0</v>
      </c>
      <c r="Z888" s="21" t="n">
        <f>2275923</f>
        <v>2275923.0</v>
      </c>
      <c r="AA888" s="21" t="n">
        <f>1653667</f>
        <v>1653667.0</v>
      </c>
      <c r="AB888" s="4" t="s">
        <v>183</v>
      </c>
      <c r="AC888" s="22" t="n">
        <f>1718540</f>
        <v>1718540.0</v>
      </c>
      <c r="AD888" s="5" t="s">
        <v>75</v>
      </c>
      <c r="AE888" s="23" t="n">
        <f>1111541</f>
        <v>1111541.0</v>
      </c>
    </row>
    <row r="889">
      <c r="A889" s="24" t="s">
        <v>1742</v>
      </c>
      <c r="B889" s="25" t="s">
        <v>1743</v>
      </c>
      <c r="C889" s="26" t="s">
        <v>1744</v>
      </c>
      <c r="D889" s="27" t="s">
        <v>1745</v>
      </c>
      <c r="E889" s="28" t="s">
        <v>145</v>
      </c>
      <c r="F889" s="20" t="n">
        <f>122</f>
        <v>122.0</v>
      </c>
      <c r="G889" s="21" t="n">
        <f>7083513</f>
        <v>7083513.0</v>
      </c>
      <c r="H889" s="21"/>
      <c r="I889" s="21" t="n">
        <f>3366249</f>
        <v>3366249.0</v>
      </c>
      <c r="J889" s="21" t="n">
        <f>58062</f>
        <v>58062.0</v>
      </c>
      <c r="K889" s="21" t="n">
        <f>27592</f>
        <v>27592.0</v>
      </c>
      <c r="L889" s="4" t="s">
        <v>171</v>
      </c>
      <c r="M889" s="22" t="n">
        <f>108493</f>
        <v>108493.0</v>
      </c>
      <c r="N889" s="5" t="s">
        <v>134</v>
      </c>
      <c r="O889" s="23" t="n">
        <f>20666</f>
        <v>20666.0</v>
      </c>
      <c r="P889" s="3" t="s">
        <v>1849</v>
      </c>
      <c r="Q889" s="21"/>
      <c r="R889" s="3" t="s">
        <v>1850</v>
      </c>
      <c r="S889" s="21" t="n">
        <f>15727236341</f>
        <v>1.5727236341E10</v>
      </c>
      <c r="T889" s="21" t="n">
        <f>12487396251</f>
        <v>1.2487396251E10</v>
      </c>
      <c r="U889" s="5" t="s">
        <v>603</v>
      </c>
      <c r="V889" s="23" t="n">
        <f>43598791130</f>
        <v>4.359879113E10</v>
      </c>
      <c r="W889" s="5" t="s">
        <v>78</v>
      </c>
      <c r="X889" s="23" t="n">
        <f>4678616520</f>
        <v>4.67861652E9</v>
      </c>
      <c r="Y889" s="23" t="n">
        <f>116888</f>
        <v>116888.0</v>
      </c>
      <c r="Z889" s="21" t="n">
        <f>1144578</f>
        <v>1144578.0</v>
      </c>
      <c r="AA889" s="21" t="n">
        <f>910547</f>
        <v>910547.0</v>
      </c>
      <c r="AB889" s="4" t="s">
        <v>64</v>
      </c>
      <c r="AC889" s="22" t="n">
        <f>1161188</f>
        <v>1161188.0</v>
      </c>
      <c r="AD889" s="5" t="s">
        <v>81</v>
      </c>
      <c r="AE889" s="23" t="n">
        <f>781603</f>
        <v>781603.0</v>
      </c>
    </row>
    <row r="890">
      <c r="A890" s="24" t="s">
        <v>1742</v>
      </c>
      <c r="B890" s="25" t="s">
        <v>1743</v>
      </c>
      <c r="C890" s="26" t="s">
        <v>1748</v>
      </c>
      <c r="D890" s="27" t="s">
        <v>1749</v>
      </c>
      <c r="E890" s="28" t="s">
        <v>145</v>
      </c>
      <c r="F890" s="20" t="n">
        <f>122</f>
        <v>122.0</v>
      </c>
      <c r="G890" s="21" t="n">
        <f>5001197</f>
        <v>5001197.0</v>
      </c>
      <c r="H890" s="21"/>
      <c r="I890" s="21" t="n">
        <f>2139869</f>
        <v>2139869.0</v>
      </c>
      <c r="J890" s="21" t="n">
        <f>40993</f>
        <v>40993.0</v>
      </c>
      <c r="K890" s="21" t="n">
        <f>17540</f>
        <v>17540.0</v>
      </c>
      <c r="L890" s="4" t="s">
        <v>90</v>
      </c>
      <c r="M890" s="22" t="n">
        <f>81251</f>
        <v>81251.0</v>
      </c>
      <c r="N890" s="5" t="s">
        <v>252</v>
      </c>
      <c r="O890" s="23" t="n">
        <f>23261</f>
        <v>23261.0</v>
      </c>
      <c r="P890" s="3" t="s">
        <v>1851</v>
      </c>
      <c r="Q890" s="21"/>
      <c r="R890" s="3" t="s">
        <v>1852</v>
      </c>
      <c r="S890" s="21" t="n">
        <f>9548841210</f>
        <v>9.54884121E9</v>
      </c>
      <c r="T890" s="21" t="n">
        <f>7071691046</f>
        <v>7.071691046E9</v>
      </c>
      <c r="U890" s="5" t="s">
        <v>644</v>
      </c>
      <c r="V890" s="23" t="n">
        <f>29333230620</f>
        <v>2.933323062E10</v>
      </c>
      <c r="W890" s="5" t="s">
        <v>1068</v>
      </c>
      <c r="X890" s="23" t="n">
        <f>2777419660</f>
        <v>2.77741966E9</v>
      </c>
      <c r="Y890" s="23" t="n">
        <f>215543</f>
        <v>215543.0</v>
      </c>
      <c r="Z890" s="21" t="n">
        <f>739548</f>
        <v>739548.0</v>
      </c>
      <c r="AA890" s="21" t="n">
        <f>558765</f>
        <v>558765.0</v>
      </c>
      <c r="AB890" s="4" t="s">
        <v>64</v>
      </c>
      <c r="AC890" s="22" t="n">
        <f>654034</f>
        <v>654034.0</v>
      </c>
      <c r="AD890" s="5" t="s">
        <v>81</v>
      </c>
      <c r="AE890" s="23" t="n">
        <f>418933</f>
        <v>418933.0</v>
      </c>
    </row>
    <row r="891">
      <c r="A891" s="24" t="s">
        <v>1742</v>
      </c>
      <c r="B891" s="25" t="s">
        <v>1743</v>
      </c>
      <c r="C891" s="26" t="s">
        <v>1752</v>
      </c>
      <c r="D891" s="27" t="s">
        <v>1753</v>
      </c>
      <c r="E891" s="28" t="s">
        <v>145</v>
      </c>
      <c r="F891" s="20" t="n">
        <f>122</f>
        <v>122.0</v>
      </c>
      <c r="G891" s="21" t="n">
        <f>12084710</f>
        <v>1.208471E7</v>
      </c>
      <c r="H891" s="21"/>
      <c r="I891" s="21" t="n">
        <f>5506118</f>
        <v>5506118.0</v>
      </c>
      <c r="J891" s="21" t="n">
        <f>99055</f>
        <v>99055.0</v>
      </c>
      <c r="K891" s="21" t="n">
        <f>45132</f>
        <v>45132.0</v>
      </c>
      <c r="L891" s="4" t="s">
        <v>171</v>
      </c>
      <c r="M891" s="22" t="n">
        <f>159640</f>
        <v>159640.0</v>
      </c>
      <c r="N891" s="5" t="s">
        <v>134</v>
      </c>
      <c r="O891" s="23" t="n">
        <f>49124</f>
        <v>49124.0</v>
      </c>
      <c r="P891" s="3" t="s">
        <v>1853</v>
      </c>
      <c r="Q891" s="21"/>
      <c r="R891" s="3" t="s">
        <v>1854</v>
      </c>
      <c r="S891" s="21" t="n">
        <f>25276077550</f>
        <v>2.527607755E10</v>
      </c>
      <c r="T891" s="21" t="n">
        <f>19559087296</f>
        <v>1.9559087296E10</v>
      </c>
      <c r="U891" s="5" t="s">
        <v>644</v>
      </c>
      <c r="V891" s="23" t="n">
        <f>61053559100</f>
        <v>6.10535591E10</v>
      </c>
      <c r="W891" s="5" t="s">
        <v>78</v>
      </c>
      <c r="X891" s="23" t="n">
        <f>7912042139</f>
        <v>7.912042139E9</v>
      </c>
      <c r="Y891" s="23" t="n">
        <f>332431</f>
        <v>332431.0</v>
      </c>
      <c r="Z891" s="21" t="n">
        <f>1884126</f>
        <v>1884126.0</v>
      </c>
      <c r="AA891" s="21" t="n">
        <f>1469312</f>
        <v>1469312.0</v>
      </c>
      <c r="AB891" s="4" t="s">
        <v>64</v>
      </c>
      <c r="AC891" s="22" t="n">
        <f>1815222</f>
        <v>1815222.0</v>
      </c>
      <c r="AD891" s="5" t="s">
        <v>81</v>
      </c>
      <c r="AE891" s="23" t="n">
        <f>1200536</f>
        <v>1200536.0</v>
      </c>
    </row>
    <row r="892">
      <c r="A892" s="24" t="s">
        <v>1742</v>
      </c>
      <c r="B892" s="25" t="s">
        <v>1743</v>
      </c>
      <c r="C892" s="26" t="s">
        <v>1744</v>
      </c>
      <c r="D892" s="27" t="s">
        <v>1745</v>
      </c>
      <c r="E892" s="28" t="s">
        <v>150</v>
      </c>
      <c r="F892" s="20" t="n">
        <f>124</f>
        <v>124.0</v>
      </c>
      <c r="G892" s="21" t="n">
        <f>6806333</f>
        <v>6806333.0</v>
      </c>
      <c r="H892" s="21"/>
      <c r="I892" s="21" t="n">
        <f>3068589</f>
        <v>3068589.0</v>
      </c>
      <c r="J892" s="21" t="n">
        <f>54890</f>
        <v>54890.0</v>
      </c>
      <c r="K892" s="21" t="n">
        <f>24747</f>
        <v>24747.0</v>
      </c>
      <c r="L892" s="4" t="s">
        <v>227</v>
      </c>
      <c r="M892" s="22" t="n">
        <f>110814</f>
        <v>110814.0</v>
      </c>
      <c r="N892" s="5" t="s">
        <v>993</v>
      </c>
      <c r="O892" s="23" t="n">
        <f>23622</f>
        <v>23622.0</v>
      </c>
      <c r="P892" s="3" t="s">
        <v>1855</v>
      </c>
      <c r="Q892" s="21"/>
      <c r="R892" s="3" t="s">
        <v>1856</v>
      </c>
      <c r="S892" s="21" t="n">
        <f>14640034707</f>
        <v>1.4640034707E10</v>
      </c>
      <c r="T892" s="21" t="n">
        <f>11430469836</f>
        <v>1.1430469836E10</v>
      </c>
      <c r="U892" s="5" t="s">
        <v>132</v>
      </c>
      <c r="V892" s="23" t="n">
        <f>52581311552</f>
        <v>5.2581311552E10</v>
      </c>
      <c r="W892" s="5" t="s">
        <v>151</v>
      </c>
      <c r="X892" s="23" t="n">
        <f>4293439500</f>
        <v>4.2934395E9</v>
      </c>
      <c r="Y892" s="23" t="n">
        <f>45089</f>
        <v>45089.0</v>
      </c>
      <c r="Z892" s="21" t="n">
        <f>1249914</f>
        <v>1249914.0</v>
      </c>
      <c r="AA892" s="21" t="n">
        <f>938720</f>
        <v>938720.0</v>
      </c>
      <c r="AB892" s="4" t="s">
        <v>143</v>
      </c>
      <c r="AC892" s="22" t="n">
        <f>1121942</f>
        <v>1121942.0</v>
      </c>
      <c r="AD892" s="5" t="s">
        <v>58</v>
      </c>
      <c r="AE892" s="23" t="n">
        <f>823172</f>
        <v>823172.0</v>
      </c>
    </row>
    <row r="893">
      <c r="A893" s="24" t="s">
        <v>1742</v>
      </c>
      <c r="B893" s="25" t="s">
        <v>1743</v>
      </c>
      <c r="C893" s="26" t="s">
        <v>1748</v>
      </c>
      <c r="D893" s="27" t="s">
        <v>1749</v>
      </c>
      <c r="E893" s="28" t="s">
        <v>150</v>
      </c>
      <c r="F893" s="20" t="n">
        <f>124</f>
        <v>124.0</v>
      </c>
      <c r="G893" s="21" t="n">
        <f>5155798</f>
        <v>5155798.0</v>
      </c>
      <c r="H893" s="21"/>
      <c r="I893" s="21" t="n">
        <f>2004293</f>
        <v>2004293.0</v>
      </c>
      <c r="J893" s="21" t="n">
        <f>41579</f>
        <v>41579.0</v>
      </c>
      <c r="K893" s="21" t="n">
        <f>16164</f>
        <v>16164.0</v>
      </c>
      <c r="L893" s="4" t="s">
        <v>96</v>
      </c>
      <c r="M893" s="22" t="n">
        <f>116395</f>
        <v>116395.0</v>
      </c>
      <c r="N893" s="5" t="s">
        <v>750</v>
      </c>
      <c r="O893" s="23" t="n">
        <f>11471</f>
        <v>11471.0</v>
      </c>
      <c r="P893" s="3" t="s">
        <v>1857</v>
      </c>
      <c r="Q893" s="21"/>
      <c r="R893" s="3" t="s">
        <v>1858</v>
      </c>
      <c r="S893" s="21" t="n">
        <f>12074749148</f>
        <v>1.2074749148E10</v>
      </c>
      <c r="T893" s="21" t="n">
        <f>8634520826</f>
        <v>8.634520826E9</v>
      </c>
      <c r="U893" s="5" t="s">
        <v>132</v>
      </c>
      <c r="V893" s="23" t="n">
        <f>73070575757</f>
        <v>7.3070575757E10</v>
      </c>
      <c r="W893" s="5" t="s">
        <v>750</v>
      </c>
      <c r="X893" s="23" t="n">
        <f>2552642200</f>
        <v>2.5526422E9</v>
      </c>
      <c r="Y893" s="23" t="n">
        <f>328443</f>
        <v>328443.0</v>
      </c>
      <c r="Z893" s="21" t="n">
        <f>1006569</f>
        <v>1006569.0</v>
      </c>
      <c r="AA893" s="21" t="n">
        <f>559629</f>
        <v>559629.0</v>
      </c>
      <c r="AB893" s="4" t="s">
        <v>143</v>
      </c>
      <c r="AC893" s="22" t="n">
        <f>719094</f>
        <v>719094.0</v>
      </c>
      <c r="AD893" s="5" t="s">
        <v>183</v>
      </c>
      <c r="AE893" s="23" t="n">
        <f>491167</f>
        <v>491167.0</v>
      </c>
    </row>
    <row r="894">
      <c r="A894" s="24" t="s">
        <v>1742</v>
      </c>
      <c r="B894" s="25" t="s">
        <v>1743</v>
      </c>
      <c r="C894" s="26" t="s">
        <v>1752</v>
      </c>
      <c r="D894" s="27" t="s">
        <v>1753</v>
      </c>
      <c r="E894" s="28" t="s">
        <v>150</v>
      </c>
      <c r="F894" s="20" t="n">
        <f>124</f>
        <v>124.0</v>
      </c>
      <c r="G894" s="21" t="n">
        <f>11962131</f>
        <v>1.1962131E7</v>
      </c>
      <c r="H894" s="21"/>
      <c r="I894" s="21" t="n">
        <f>5072882</f>
        <v>5072882.0</v>
      </c>
      <c r="J894" s="21" t="n">
        <f>96469</f>
        <v>96469.0</v>
      </c>
      <c r="K894" s="21" t="n">
        <f>40910</f>
        <v>40910.0</v>
      </c>
      <c r="L894" s="4" t="s">
        <v>96</v>
      </c>
      <c r="M894" s="22" t="n">
        <f>210203</f>
        <v>210203.0</v>
      </c>
      <c r="N894" s="5" t="s">
        <v>750</v>
      </c>
      <c r="O894" s="23" t="n">
        <f>37711</f>
        <v>37711.0</v>
      </c>
      <c r="P894" s="3" t="s">
        <v>1859</v>
      </c>
      <c r="Q894" s="21"/>
      <c r="R894" s="3" t="s">
        <v>1860</v>
      </c>
      <c r="S894" s="21" t="n">
        <f>26714783856</f>
        <v>2.6714783856E10</v>
      </c>
      <c r="T894" s="21" t="n">
        <f>20064990662</f>
        <v>2.0064990662E10</v>
      </c>
      <c r="U894" s="5" t="s">
        <v>132</v>
      </c>
      <c r="V894" s="23" t="n">
        <f>125651887309</f>
        <v>1.25651887309E11</v>
      </c>
      <c r="W894" s="5" t="s">
        <v>151</v>
      </c>
      <c r="X894" s="23" t="n">
        <f>7820704370</f>
        <v>7.82070437E9</v>
      </c>
      <c r="Y894" s="23" t="n">
        <f>373532</f>
        <v>373532.0</v>
      </c>
      <c r="Z894" s="21" t="n">
        <f>2256483</f>
        <v>2256483.0</v>
      </c>
      <c r="AA894" s="21" t="n">
        <f>1498349</f>
        <v>1498349.0</v>
      </c>
      <c r="AB894" s="4" t="s">
        <v>143</v>
      </c>
      <c r="AC894" s="22" t="n">
        <f>1841036</f>
        <v>1841036.0</v>
      </c>
      <c r="AD894" s="5" t="s">
        <v>58</v>
      </c>
      <c r="AE894" s="23" t="n">
        <f>1329341</f>
        <v>1329341.0</v>
      </c>
    </row>
    <row r="895">
      <c r="A895" s="24" t="s">
        <v>1742</v>
      </c>
      <c r="B895" s="25" t="s">
        <v>1743</v>
      </c>
      <c r="C895" s="26" t="s">
        <v>1744</v>
      </c>
      <c r="D895" s="27" t="s">
        <v>1745</v>
      </c>
      <c r="E895" s="28" t="s">
        <v>154</v>
      </c>
      <c r="F895" s="20" t="n">
        <f>120</f>
        <v>120.0</v>
      </c>
      <c r="G895" s="21" t="n">
        <f>5529450</f>
        <v>5529450.0</v>
      </c>
      <c r="H895" s="21"/>
      <c r="I895" s="21" t="n">
        <f>2599556</f>
        <v>2599556.0</v>
      </c>
      <c r="J895" s="21" t="n">
        <f>46079</f>
        <v>46079.0</v>
      </c>
      <c r="K895" s="21" t="n">
        <f>21663</f>
        <v>21663.0</v>
      </c>
      <c r="L895" s="4" t="s">
        <v>260</v>
      </c>
      <c r="M895" s="22" t="n">
        <f>95241</f>
        <v>95241.0</v>
      </c>
      <c r="N895" s="5" t="s">
        <v>50</v>
      </c>
      <c r="O895" s="23" t="n">
        <f>15193</f>
        <v>15193.0</v>
      </c>
      <c r="P895" s="3" t="s">
        <v>1861</v>
      </c>
      <c r="Q895" s="21"/>
      <c r="R895" s="3" t="s">
        <v>1862</v>
      </c>
      <c r="S895" s="21" t="n">
        <f>13508847446</f>
        <v>1.3508847446E10</v>
      </c>
      <c r="T895" s="21" t="n">
        <f>10686116962</f>
        <v>1.0686116962E10</v>
      </c>
      <c r="U895" s="5" t="s">
        <v>155</v>
      </c>
      <c r="V895" s="23" t="n">
        <f>34982847370</f>
        <v>3.498284737E10</v>
      </c>
      <c r="W895" s="5" t="s">
        <v>50</v>
      </c>
      <c r="X895" s="23" t="n">
        <f>2599067650</f>
        <v>2.59906765E9</v>
      </c>
      <c r="Y895" s="23" t="n">
        <f>54637</f>
        <v>54637.0</v>
      </c>
      <c r="Z895" s="21" t="n">
        <f>1198199</f>
        <v>1198199.0</v>
      </c>
      <c r="AA895" s="21" t="n">
        <f>801049</f>
        <v>801049.0</v>
      </c>
      <c r="AB895" s="4" t="s">
        <v>137</v>
      </c>
      <c r="AC895" s="22" t="n">
        <f>1055442</f>
        <v>1055442.0</v>
      </c>
      <c r="AD895" s="5" t="s">
        <v>64</v>
      </c>
      <c r="AE895" s="23" t="n">
        <f>602344</f>
        <v>602344.0</v>
      </c>
    </row>
    <row r="896">
      <c r="A896" s="24" t="s">
        <v>1742</v>
      </c>
      <c r="B896" s="25" t="s">
        <v>1743</v>
      </c>
      <c r="C896" s="26" t="s">
        <v>1748</v>
      </c>
      <c r="D896" s="27" t="s">
        <v>1749</v>
      </c>
      <c r="E896" s="28" t="s">
        <v>154</v>
      </c>
      <c r="F896" s="20" t="n">
        <f>120</f>
        <v>120.0</v>
      </c>
      <c r="G896" s="21" t="n">
        <f>4369204</f>
        <v>4369204.0</v>
      </c>
      <c r="H896" s="21"/>
      <c r="I896" s="21" t="n">
        <f>1878560</f>
        <v>1878560.0</v>
      </c>
      <c r="J896" s="21" t="n">
        <f>36410</f>
        <v>36410.0</v>
      </c>
      <c r="K896" s="21" t="n">
        <f>15655</f>
        <v>15655.0</v>
      </c>
      <c r="L896" s="4" t="s">
        <v>1523</v>
      </c>
      <c r="M896" s="22" t="n">
        <f>110113</f>
        <v>110113.0</v>
      </c>
      <c r="N896" s="5" t="s">
        <v>50</v>
      </c>
      <c r="O896" s="23" t="n">
        <f>7690</f>
        <v>7690.0</v>
      </c>
      <c r="P896" s="3" t="s">
        <v>1863</v>
      </c>
      <c r="Q896" s="21"/>
      <c r="R896" s="3" t="s">
        <v>1864</v>
      </c>
      <c r="S896" s="21" t="n">
        <f>12454278713</f>
        <v>1.2454278713E10</v>
      </c>
      <c r="T896" s="21" t="n">
        <f>9259497388</f>
        <v>9.259497388E9</v>
      </c>
      <c r="U896" s="5" t="s">
        <v>974</v>
      </c>
      <c r="V896" s="23" t="n">
        <f>50269199629</f>
        <v>5.0269199629E10</v>
      </c>
      <c r="W896" s="5" t="s">
        <v>50</v>
      </c>
      <c r="X896" s="23" t="n">
        <f>1293556393</f>
        <v>1.293556393E9</v>
      </c>
      <c r="Y896" s="23" t="n">
        <f>409094</f>
        <v>409094.0</v>
      </c>
      <c r="Z896" s="21" t="n">
        <f>1052704</f>
        <v>1052704.0</v>
      </c>
      <c r="AA896" s="21" t="n">
        <f>473105</f>
        <v>473105.0</v>
      </c>
      <c r="AB896" s="4" t="s">
        <v>137</v>
      </c>
      <c r="AC896" s="22" t="n">
        <f>638084</f>
        <v>638084.0</v>
      </c>
      <c r="AD896" s="5" t="s">
        <v>64</v>
      </c>
      <c r="AE896" s="23" t="n">
        <f>371174</f>
        <v>371174.0</v>
      </c>
    </row>
    <row r="897">
      <c r="A897" s="24" t="s">
        <v>1742</v>
      </c>
      <c r="B897" s="25" t="s">
        <v>1743</v>
      </c>
      <c r="C897" s="26" t="s">
        <v>1752</v>
      </c>
      <c r="D897" s="27" t="s">
        <v>1753</v>
      </c>
      <c r="E897" s="28" t="s">
        <v>154</v>
      </c>
      <c r="F897" s="20" t="n">
        <f>120</f>
        <v>120.0</v>
      </c>
      <c r="G897" s="21" t="n">
        <f>9898654</f>
        <v>9898654.0</v>
      </c>
      <c r="H897" s="21"/>
      <c r="I897" s="21" t="n">
        <f>4478116</f>
        <v>4478116.0</v>
      </c>
      <c r="J897" s="21" t="n">
        <f>82489</f>
        <v>82489.0</v>
      </c>
      <c r="K897" s="21" t="n">
        <f>37318</f>
        <v>37318.0</v>
      </c>
      <c r="L897" s="4" t="s">
        <v>1523</v>
      </c>
      <c r="M897" s="22" t="n">
        <f>176866</f>
        <v>176866.0</v>
      </c>
      <c r="N897" s="5" t="s">
        <v>50</v>
      </c>
      <c r="O897" s="23" t="n">
        <f>22883</f>
        <v>22883.0</v>
      </c>
      <c r="P897" s="3" t="s">
        <v>1865</v>
      </c>
      <c r="Q897" s="21"/>
      <c r="R897" s="3" t="s">
        <v>1866</v>
      </c>
      <c r="S897" s="21" t="n">
        <f>25963126159</f>
        <v>2.5963126159E10</v>
      </c>
      <c r="T897" s="21" t="n">
        <f>19945614351</f>
        <v>1.9945614351E10</v>
      </c>
      <c r="U897" s="5" t="s">
        <v>155</v>
      </c>
      <c r="V897" s="23" t="n">
        <f>80447481080</f>
        <v>8.044748108E10</v>
      </c>
      <c r="W897" s="5" t="s">
        <v>50</v>
      </c>
      <c r="X897" s="23" t="n">
        <f>3892624043</f>
        <v>3.892624043E9</v>
      </c>
      <c r="Y897" s="23" t="n">
        <f>463731</f>
        <v>463731.0</v>
      </c>
      <c r="Z897" s="21" t="n">
        <f>2250903</f>
        <v>2250903.0</v>
      </c>
      <c r="AA897" s="21" t="n">
        <f>1274154</f>
        <v>1274154.0</v>
      </c>
      <c r="AB897" s="4" t="s">
        <v>137</v>
      </c>
      <c r="AC897" s="22" t="n">
        <f>1693526</f>
        <v>1693526.0</v>
      </c>
      <c r="AD897" s="5" t="s">
        <v>64</v>
      </c>
      <c r="AE897" s="23" t="n">
        <f>973518</f>
        <v>973518.0</v>
      </c>
    </row>
    <row r="898">
      <c r="A898" s="24" t="s">
        <v>1867</v>
      </c>
      <c r="B898" s="25" t="s">
        <v>1868</v>
      </c>
      <c r="C898" s="26" t="s">
        <v>1744</v>
      </c>
      <c r="D898" s="27" t="s">
        <v>1745</v>
      </c>
      <c r="E898" s="28" t="s">
        <v>150</v>
      </c>
      <c r="F898" s="20" t="n">
        <f>87</f>
        <v>87.0</v>
      </c>
      <c r="G898" s="21" t="n">
        <f>2004970</f>
        <v>2004970.0</v>
      </c>
      <c r="H898" s="21"/>
      <c r="I898" s="21" t="n">
        <f>171098</f>
        <v>171098.0</v>
      </c>
      <c r="J898" s="21" t="n">
        <f>23046</f>
        <v>23046.0</v>
      </c>
      <c r="K898" s="21" t="n">
        <f>1967</f>
        <v>1967.0</v>
      </c>
      <c r="L898" s="4" t="s">
        <v>520</v>
      </c>
      <c r="M898" s="22" t="n">
        <f>48166</f>
        <v>48166.0</v>
      </c>
      <c r="N898" s="5" t="s">
        <v>442</v>
      </c>
      <c r="O898" s="23" t="n">
        <f>6859</f>
        <v>6859.0</v>
      </c>
      <c r="P898" s="3" t="s">
        <v>1869</v>
      </c>
      <c r="Q898" s="21"/>
      <c r="R898" s="3" t="s">
        <v>1870</v>
      </c>
      <c r="S898" s="21" t="n">
        <f>221693851</f>
        <v>2.21693851E8</v>
      </c>
      <c r="T898" s="21" t="n">
        <f>9496346</f>
        <v>9496346.0</v>
      </c>
      <c r="U898" s="5" t="s">
        <v>205</v>
      </c>
      <c r="V898" s="23" t="n">
        <f>644427870</f>
        <v>6.4442787E8</v>
      </c>
      <c r="W898" s="5" t="s">
        <v>993</v>
      </c>
      <c r="X898" s="23" t="n">
        <f>53378170</f>
        <v>5.337817E7</v>
      </c>
      <c r="Y898" s="23" t="n">
        <f>47058</f>
        <v>47058.0</v>
      </c>
      <c r="Z898" s="21" t="n">
        <f>161850</f>
        <v>161850.0</v>
      </c>
      <c r="AA898" s="21" t="n">
        <f>19850</f>
        <v>19850.0</v>
      </c>
      <c r="AB898" s="4" t="s">
        <v>205</v>
      </c>
      <c r="AC898" s="22" t="n">
        <f>54632</f>
        <v>54632.0</v>
      </c>
      <c r="AD898" s="5" t="s">
        <v>868</v>
      </c>
      <c r="AE898" s="23" t="n">
        <f>2151</f>
        <v>2151.0</v>
      </c>
    </row>
    <row r="899">
      <c r="A899" s="24" t="s">
        <v>1867</v>
      </c>
      <c r="B899" s="25" t="s">
        <v>1868</v>
      </c>
      <c r="C899" s="26" t="s">
        <v>1748</v>
      </c>
      <c r="D899" s="27" t="s">
        <v>1749</v>
      </c>
      <c r="E899" s="28" t="s">
        <v>150</v>
      </c>
      <c r="F899" s="20" t="n">
        <f>87</f>
        <v>87.0</v>
      </c>
      <c r="G899" s="21" t="n">
        <f>1807367</f>
        <v>1807367.0</v>
      </c>
      <c r="H899" s="21"/>
      <c r="I899" s="21" t="n">
        <f>144005</f>
        <v>144005.0</v>
      </c>
      <c r="J899" s="21" t="n">
        <f>20774</f>
        <v>20774.0</v>
      </c>
      <c r="K899" s="21" t="n">
        <f>1655</f>
        <v>1655.0</v>
      </c>
      <c r="L899" s="4" t="s">
        <v>332</v>
      </c>
      <c r="M899" s="22" t="n">
        <f>51004</f>
        <v>51004.0</v>
      </c>
      <c r="N899" s="5" t="s">
        <v>458</v>
      </c>
      <c r="O899" s="23" t="n">
        <f>6812</f>
        <v>6812.0</v>
      </c>
      <c r="P899" s="3" t="s">
        <v>1871</v>
      </c>
      <c r="Q899" s="21"/>
      <c r="R899" s="3" t="s">
        <v>1872</v>
      </c>
      <c r="S899" s="21" t="n">
        <f>220144964</f>
        <v>2.20144964E8</v>
      </c>
      <c r="T899" s="21" t="n">
        <f>11044268</f>
        <v>1.1044268E7</v>
      </c>
      <c r="U899" s="5" t="s">
        <v>132</v>
      </c>
      <c r="V899" s="23" t="n">
        <f>861015075</f>
        <v>8.61015075E8</v>
      </c>
      <c r="W899" s="5" t="s">
        <v>458</v>
      </c>
      <c r="X899" s="23" t="n">
        <f>80566570</f>
        <v>8.056657E7</v>
      </c>
      <c r="Y899" s="23" t="n">
        <f>34160</f>
        <v>34160.0</v>
      </c>
      <c r="Z899" s="21" t="n">
        <f>134373</f>
        <v>134373.0</v>
      </c>
      <c r="AA899" s="21" t="n">
        <f>17628</f>
        <v>17628.0</v>
      </c>
      <c r="AB899" s="4" t="s">
        <v>332</v>
      </c>
      <c r="AC899" s="22" t="n">
        <f>47302</f>
        <v>47302.0</v>
      </c>
      <c r="AD899" s="5" t="s">
        <v>868</v>
      </c>
      <c r="AE899" s="23" t="n">
        <f>2086</f>
        <v>2086.0</v>
      </c>
    </row>
    <row r="900">
      <c r="A900" s="24" t="s">
        <v>1867</v>
      </c>
      <c r="B900" s="25" t="s">
        <v>1868</v>
      </c>
      <c r="C900" s="26" t="s">
        <v>1752</v>
      </c>
      <c r="D900" s="27" t="s">
        <v>1753</v>
      </c>
      <c r="E900" s="28" t="s">
        <v>150</v>
      </c>
      <c r="F900" s="20" t="n">
        <f>87</f>
        <v>87.0</v>
      </c>
      <c r="G900" s="21" t="n">
        <f>3812337</f>
        <v>3812337.0</v>
      </c>
      <c r="H900" s="21"/>
      <c r="I900" s="21" t="n">
        <f>315103</f>
        <v>315103.0</v>
      </c>
      <c r="J900" s="21" t="n">
        <f>43820</f>
        <v>43820.0</v>
      </c>
      <c r="K900" s="21" t="n">
        <f>3622</f>
        <v>3622.0</v>
      </c>
      <c r="L900" s="4" t="s">
        <v>332</v>
      </c>
      <c r="M900" s="22" t="n">
        <f>98156</f>
        <v>98156.0</v>
      </c>
      <c r="N900" s="5" t="s">
        <v>85</v>
      </c>
      <c r="O900" s="23" t="n">
        <f>15953</f>
        <v>15953.0</v>
      </c>
      <c r="P900" s="3" t="s">
        <v>1873</v>
      </c>
      <c r="Q900" s="21"/>
      <c r="R900" s="3" t="s">
        <v>1874</v>
      </c>
      <c r="S900" s="21" t="n">
        <f>441838814</f>
        <v>4.41838814E8</v>
      </c>
      <c r="T900" s="21" t="n">
        <f>20540614</f>
        <v>2.0540614E7</v>
      </c>
      <c r="U900" s="5" t="s">
        <v>132</v>
      </c>
      <c r="V900" s="23" t="n">
        <f>1475397215</f>
        <v>1.475397215E9</v>
      </c>
      <c r="W900" s="5" t="s">
        <v>458</v>
      </c>
      <c r="X900" s="23" t="n">
        <f>152991000</f>
        <v>1.52991E8</v>
      </c>
      <c r="Y900" s="23" t="n">
        <f>81218</f>
        <v>81218.0</v>
      </c>
      <c r="Z900" s="21" t="n">
        <f>296223</f>
        <v>296223.0</v>
      </c>
      <c r="AA900" s="21" t="n">
        <f>37478</f>
        <v>37478.0</v>
      </c>
      <c r="AB900" s="4" t="s">
        <v>332</v>
      </c>
      <c r="AC900" s="22" t="n">
        <f>90817</f>
        <v>90817.0</v>
      </c>
      <c r="AD900" s="5" t="s">
        <v>868</v>
      </c>
      <c r="AE900" s="23" t="n">
        <f>4237</f>
        <v>4237.0</v>
      </c>
    </row>
    <row r="901">
      <c r="A901" s="24" t="s">
        <v>1867</v>
      </c>
      <c r="B901" s="25" t="s">
        <v>1868</v>
      </c>
      <c r="C901" s="26" t="s">
        <v>1744</v>
      </c>
      <c r="D901" s="27" t="s">
        <v>1745</v>
      </c>
      <c r="E901" s="28" t="s">
        <v>154</v>
      </c>
      <c r="F901" s="20" t="n">
        <f>120</f>
        <v>120.0</v>
      </c>
      <c r="G901" s="21" t="n">
        <f>2943048</f>
        <v>2943048.0</v>
      </c>
      <c r="H901" s="21"/>
      <c r="I901" s="21" t="n">
        <f>353390</f>
        <v>353390.0</v>
      </c>
      <c r="J901" s="21" t="n">
        <f>24525</f>
        <v>24525.0</v>
      </c>
      <c r="K901" s="21" t="n">
        <f>2945</f>
        <v>2945.0</v>
      </c>
      <c r="L901" s="4" t="s">
        <v>234</v>
      </c>
      <c r="M901" s="22" t="n">
        <f>77061</f>
        <v>77061.0</v>
      </c>
      <c r="N901" s="5" t="s">
        <v>872</v>
      </c>
      <c r="O901" s="23" t="n">
        <f>6242</f>
        <v>6242.0</v>
      </c>
      <c r="P901" s="3" t="s">
        <v>1875</v>
      </c>
      <c r="Q901" s="21"/>
      <c r="R901" s="3" t="s">
        <v>1876</v>
      </c>
      <c r="S901" s="21" t="n">
        <f>210219603</f>
        <v>2.10219603E8</v>
      </c>
      <c r="T901" s="21" t="n">
        <f>12105627</f>
        <v>1.2105627E7</v>
      </c>
      <c r="U901" s="5" t="s">
        <v>197</v>
      </c>
      <c r="V901" s="23" t="n">
        <f>716748850</f>
        <v>7.1674885E8</v>
      </c>
      <c r="W901" s="5" t="s">
        <v>50</v>
      </c>
      <c r="X901" s="23" t="n">
        <f>56933510</f>
        <v>5.693351E7</v>
      </c>
      <c r="Y901" s="23" t="n">
        <f>29330</f>
        <v>29330.0</v>
      </c>
      <c r="Z901" s="21" t="n">
        <f>327722</f>
        <v>327722.0</v>
      </c>
      <c r="AA901" s="21" t="n">
        <f>24329</f>
        <v>24329.0</v>
      </c>
      <c r="AB901" s="4" t="s">
        <v>234</v>
      </c>
      <c r="AC901" s="22" t="n">
        <f>73127</f>
        <v>73127.0</v>
      </c>
      <c r="AD901" s="5" t="s">
        <v>1000</v>
      </c>
      <c r="AE901" s="23" t="n">
        <f>8940</f>
        <v>8940.0</v>
      </c>
    </row>
    <row r="902">
      <c r="A902" s="24" t="s">
        <v>1867</v>
      </c>
      <c r="B902" s="25" t="s">
        <v>1868</v>
      </c>
      <c r="C902" s="26" t="s">
        <v>1748</v>
      </c>
      <c r="D902" s="27" t="s">
        <v>1749</v>
      </c>
      <c r="E902" s="28" t="s">
        <v>154</v>
      </c>
      <c r="F902" s="20" t="n">
        <f>120</f>
        <v>120.0</v>
      </c>
      <c r="G902" s="21" t="n">
        <f>2578239</f>
        <v>2578239.0</v>
      </c>
      <c r="H902" s="21"/>
      <c r="I902" s="21" t="n">
        <f>291570</f>
        <v>291570.0</v>
      </c>
      <c r="J902" s="21" t="n">
        <f>21485</f>
        <v>21485.0</v>
      </c>
      <c r="K902" s="21" t="n">
        <f>2430</f>
        <v>2430.0</v>
      </c>
      <c r="L902" s="4" t="s">
        <v>767</v>
      </c>
      <c r="M902" s="22" t="n">
        <f>53987</f>
        <v>53987.0</v>
      </c>
      <c r="N902" s="5" t="s">
        <v>568</v>
      </c>
      <c r="O902" s="23" t="n">
        <f>6066</f>
        <v>6066.0</v>
      </c>
      <c r="P902" s="3" t="s">
        <v>1877</v>
      </c>
      <c r="Q902" s="21"/>
      <c r="R902" s="3" t="s">
        <v>1878</v>
      </c>
      <c r="S902" s="21" t="n">
        <f>230885452</f>
        <v>2.30885452E8</v>
      </c>
      <c r="T902" s="21" t="n">
        <f>15579290</f>
        <v>1.557929E7</v>
      </c>
      <c r="U902" s="5" t="s">
        <v>234</v>
      </c>
      <c r="V902" s="23" t="n">
        <f>751935060</f>
        <v>7.5193506E8</v>
      </c>
      <c r="W902" s="5" t="s">
        <v>872</v>
      </c>
      <c r="X902" s="23" t="n">
        <f>70589080</f>
        <v>7.058908E7</v>
      </c>
      <c r="Y902" s="23" t="n">
        <f>94232</f>
        <v>94232.0</v>
      </c>
      <c r="Z902" s="21" t="n">
        <f>248201</f>
        <v>248201.0</v>
      </c>
      <c r="AA902" s="21" t="n">
        <f>13456</f>
        <v>13456.0</v>
      </c>
      <c r="AB902" s="4" t="s">
        <v>767</v>
      </c>
      <c r="AC902" s="22" t="n">
        <f>61682</f>
        <v>61682.0</v>
      </c>
      <c r="AD902" s="5" t="s">
        <v>1000</v>
      </c>
      <c r="AE902" s="23" t="n">
        <f>9540</f>
        <v>9540.0</v>
      </c>
    </row>
    <row r="903">
      <c r="A903" s="24" t="s">
        <v>1867</v>
      </c>
      <c r="B903" s="25" t="s">
        <v>1868</v>
      </c>
      <c r="C903" s="26" t="s">
        <v>1752</v>
      </c>
      <c r="D903" s="27" t="s">
        <v>1753</v>
      </c>
      <c r="E903" s="28" t="s">
        <v>154</v>
      </c>
      <c r="F903" s="20" t="n">
        <f>120</f>
        <v>120.0</v>
      </c>
      <c r="G903" s="21" t="n">
        <f>5521287</f>
        <v>5521287.0</v>
      </c>
      <c r="H903" s="21"/>
      <c r="I903" s="21" t="n">
        <f>644960</f>
        <v>644960.0</v>
      </c>
      <c r="J903" s="21" t="n">
        <f>46011</f>
        <v>46011.0</v>
      </c>
      <c r="K903" s="21" t="n">
        <f>5375</f>
        <v>5375.0</v>
      </c>
      <c r="L903" s="4" t="s">
        <v>234</v>
      </c>
      <c r="M903" s="22" t="n">
        <f>123088</f>
        <v>123088.0</v>
      </c>
      <c r="N903" s="5" t="s">
        <v>872</v>
      </c>
      <c r="O903" s="23" t="n">
        <f>13142</f>
        <v>13142.0</v>
      </c>
      <c r="P903" s="3" t="s">
        <v>1879</v>
      </c>
      <c r="Q903" s="21"/>
      <c r="R903" s="3" t="s">
        <v>1880</v>
      </c>
      <c r="S903" s="21" t="n">
        <f>441105055</f>
        <v>4.41105055E8</v>
      </c>
      <c r="T903" s="21" t="n">
        <f>27684917</f>
        <v>2.7684917E7</v>
      </c>
      <c r="U903" s="5" t="s">
        <v>197</v>
      </c>
      <c r="V903" s="23" t="n">
        <f>1279017240</f>
        <v>1.27901724E9</v>
      </c>
      <c r="W903" s="5" t="s">
        <v>872</v>
      </c>
      <c r="X903" s="23" t="n">
        <f>135874680</f>
        <v>1.3587468E8</v>
      </c>
      <c r="Y903" s="23" t="n">
        <f>123562</f>
        <v>123562.0</v>
      </c>
      <c r="Z903" s="21" t="n">
        <f>575923</f>
        <v>575923.0</v>
      </c>
      <c r="AA903" s="21" t="n">
        <f>37785</f>
        <v>37785.0</v>
      </c>
      <c r="AB903" s="4" t="s">
        <v>234</v>
      </c>
      <c r="AC903" s="22" t="n">
        <f>110462</f>
        <v>110462.0</v>
      </c>
      <c r="AD903" s="5" t="s">
        <v>1000</v>
      </c>
      <c r="AE903" s="23" t="n">
        <f>18480</f>
        <v>18480.0</v>
      </c>
    </row>
    <row r="904">
      <c r="A904" s="24" t="s">
        <v>1881</v>
      </c>
      <c r="B904" s="25" t="s">
        <v>1882</v>
      </c>
      <c r="C904" s="26" t="s">
        <v>1744</v>
      </c>
      <c r="D904" s="27" t="s">
        <v>1745</v>
      </c>
      <c r="E904" s="28" t="s">
        <v>256</v>
      </c>
      <c r="F904" s="20" t="n">
        <f>108</f>
        <v>108.0</v>
      </c>
      <c r="G904" s="21" t="n">
        <f>3019068</f>
        <v>3019068.0</v>
      </c>
      <c r="H904" s="21"/>
      <c r="I904" s="21" t="str">
        <f>"－"</f>
        <v>－</v>
      </c>
      <c r="J904" s="21" t="n">
        <f>27954</f>
        <v>27954.0</v>
      </c>
      <c r="K904" s="21" t="str">
        <f>"－"</f>
        <v>－</v>
      </c>
      <c r="L904" s="4" t="s">
        <v>321</v>
      </c>
      <c r="M904" s="22" t="n">
        <f>2755029</f>
        <v>2755029.0</v>
      </c>
      <c r="N904" s="5" t="s">
        <v>285</v>
      </c>
      <c r="O904" s="23" t="n">
        <f>338</f>
        <v>338.0</v>
      </c>
      <c r="P904" s="3" t="s">
        <v>1883</v>
      </c>
      <c r="Q904" s="21"/>
      <c r="R904" s="3" t="s">
        <v>247</v>
      </c>
      <c r="S904" s="21" t="n">
        <f>2646659676</f>
        <v>2.646659676E9</v>
      </c>
      <c r="T904" s="21" t="str">
        <f>"－"</f>
        <v>－</v>
      </c>
      <c r="U904" s="5" t="s">
        <v>321</v>
      </c>
      <c r="V904" s="23" t="n">
        <f>202825860000</f>
        <v>2.0282586E11</v>
      </c>
      <c r="W904" s="5" t="s">
        <v>257</v>
      </c>
      <c r="X904" s="23" t="n">
        <f>54755000</f>
        <v>5.4755E7</v>
      </c>
      <c r="Y904" s="23" t="n">
        <f>4722</f>
        <v>4722.0</v>
      </c>
      <c r="Z904" s="21" t="str">
        <f>"－"</f>
        <v>－</v>
      </c>
      <c r="AA904" s="21" t="n">
        <f>334</f>
        <v>334.0</v>
      </c>
      <c r="AB904" s="4" t="s">
        <v>382</v>
      </c>
      <c r="AC904" s="22" t="n">
        <f>17647</f>
        <v>17647.0</v>
      </c>
      <c r="AD904" s="5" t="s">
        <v>187</v>
      </c>
      <c r="AE904" s="23" t="n">
        <f>271</f>
        <v>271.0</v>
      </c>
    </row>
    <row r="905">
      <c r="A905" s="24" t="s">
        <v>1881</v>
      </c>
      <c r="B905" s="25" t="s">
        <v>1882</v>
      </c>
      <c r="C905" s="26" t="s">
        <v>1748</v>
      </c>
      <c r="D905" s="27" t="s">
        <v>1749</v>
      </c>
      <c r="E905" s="28" t="s">
        <v>256</v>
      </c>
      <c r="F905" s="20" t="n">
        <f>108</f>
        <v>108.0</v>
      </c>
      <c r="G905" s="21" t="n">
        <f>2073160</f>
        <v>2073160.0</v>
      </c>
      <c r="H905" s="21"/>
      <c r="I905" s="21" t="str">
        <f>"－"</f>
        <v>－</v>
      </c>
      <c r="J905" s="21" t="n">
        <f>19196</f>
        <v>19196.0</v>
      </c>
      <c r="K905" s="21" t="str">
        <f>"－"</f>
        <v>－</v>
      </c>
      <c r="L905" s="4" t="s">
        <v>321</v>
      </c>
      <c r="M905" s="22" t="n">
        <f>1785136</f>
        <v>1785136.0</v>
      </c>
      <c r="N905" s="5" t="s">
        <v>285</v>
      </c>
      <c r="O905" s="23" t="n">
        <f>291</f>
        <v>291.0</v>
      </c>
      <c r="P905" s="3" t="s">
        <v>1884</v>
      </c>
      <c r="Q905" s="21"/>
      <c r="R905" s="3" t="s">
        <v>247</v>
      </c>
      <c r="S905" s="21" t="n">
        <f>5160650417</f>
        <v>5.160650417E9</v>
      </c>
      <c r="T905" s="21" t="str">
        <f>"－"</f>
        <v>－</v>
      </c>
      <c r="U905" s="5" t="s">
        <v>321</v>
      </c>
      <c r="V905" s="23" t="n">
        <f>465661720000</f>
        <v>4.6566172E11</v>
      </c>
      <c r="W905" s="5" t="s">
        <v>285</v>
      </c>
      <c r="X905" s="23" t="n">
        <f>21775000</f>
        <v>2.1775E7</v>
      </c>
      <c r="Y905" s="23" t="n">
        <f>2897</f>
        <v>2897.0</v>
      </c>
      <c r="Z905" s="21" t="str">
        <f>"－"</f>
        <v>－</v>
      </c>
      <c r="AA905" s="21" t="n">
        <f>521</f>
        <v>521.0</v>
      </c>
      <c r="AB905" s="4" t="s">
        <v>321</v>
      </c>
      <c r="AC905" s="22" t="n">
        <f>12633</f>
        <v>12633.0</v>
      </c>
      <c r="AD905" s="5" t="s">
        <v>116</v>
      </c>
      <c r="AE905" s="23" t="n">
        <f>63</f>
        <v>63.0</v>
      </c>
    </row>
    <row r="906">
      <c r="A906" s="24" t="s">
        <v>1881</v>
      </c>
      <c r="B906" s="25" t="s">
        <v>1882</v>
      </c>
      <c r="C906" s="26" t="s">
        <v>1752</v>
      </c>
      <c r="D906" s="27" t="s">
        <v>1753</v>
      </c>
      <c r="E906" s="28" t="s">
        <v>256</v>
      </c>
      <c r="F906" s="20" t="n">
        <f>108</f>
        <v>108.0</v>
      </c>
      <c r="G906" s="21" t="n">
        <f>5092228</f>
        <v>5092228.0</v>
      </c>
      <c r="H906" s="21"/>
      <c r="I906" s="21" t="str">
        <f>"－"</f>
        <v>－</v>
      </c>
      <c r="J906" s="21" t="n">
        <f>47150</f>
        <v>47150.0</v>
      </c>
      <c r="K906" s="21" t="str">
        <f>"－"</f>
        <v>－</v>
      </c>
      <c r="L906" s="4" t="s">
        <v>321</v>
      </c>
      <c r="M906" s="22" t="n">
        <f>4540165</f>
        <v>4540165.0</v>
      </c>
      <c r="N906" s="5" t="s">
        <v>285</v>
      </c>
      <c r="O906" s="23" t="n">
        <f>629</f>
        <v>629.0</v>
      </c>
      <c r="P906" s="3" t="s">
        <v>1885</v>
      </c>
      <c r="Q906" s="21"/>
      <c r="R906" s="3" t="s">
        <v>247</v>
      </c>
      <c r="S906" s="21" t="n">
        <f>7807310093</f>
        <v>7.807310093E9</v>
      </c>
      <c r="T906" s="21" t="str">
        <f>"－"</f>
        <v>－</v>
      </c>
      <c r="U906" s="5" t="s">
        <v>321</v>
      </c>
      <c r="V906" s="23" t="n">
        <f>668487580000</f>
        <v>6.6848758E11</v>
      </c>
      <c r="W906" s="5" t="s">
        <v>285</v>
      </c>
      <c r="X906" s="23" t="n">
        <f>93245000</f>
        <v>9.3245E7</v>
      </c>
      <c r="Y906" s="23" t="n">
        <f>7619</f>
        <v>7619.0</v>
      </c>
      <c r="Z906" s="21" t="str">
        <f>"－"</f>
        <v>－</v>
      </c>
      <c r="AA906" s="21" t="n">
        <f>855</f>
        <v>855.0</v>
      </c>
      <c r="AB906" s="4" t="s">
        <v>447</v>
      </c>
      <c r="AC906" s="22" t="n">
        <f>26724</f>
        <v>26724.0</v>
      </c>
      <c r="AD906" s="5" t="s">
        <v>171</v>
      </c>
      <c r="AE906" s="23" t="n">
        <f>354</f>
        <v>354.0</v>
      </c>
    </row>
    <row r="907">
      <c r="A907" s="24" t="s">
        <v>1881</v>
      </c>
      <c r="B907" s="25" t="s">
        <v>1882</v>
      </c>
      <c r="C907" s="26" t="s">
        <v>1744</v>
      </c>
      <c r="D907" s="27" t="s">
        <v>1745</v>
      </c>
      <c r="E907" s="28" t="s">
        <v>261</v>
      </c>
      <c r="F907" s="20" t="n">
        <f>126</f>
        <v>126.0</v>
      </c>
      <c r="G907" s="21" t="n">
        <f>50827</f>
        <v>50827.0</v>
      </c>
      <c r="H907" s="21"/>
      <c r="I907" s="21" t="str">
        <f>"－"</f>
        <v>－</v>
      </c>
      <c r="J907" s="21" t="n">
        <f>403</f>
        <v>403.0</v>
      </c>
      <c r="K907" s="21" t="str">
        <f>"－"</f>
        <v>－</v>
      </c>
      <c r="L907" s="4" t="s">
        <v>751</v>
      </c>
      <c r="M907" s="22" t="n">
        <f>2382</f>
        <v>2382.0</v>
      </c>
      <c r="N907" s="5" t="s">
        <v>281</v>
      </c>
      <c r="O907" s="23" t="n">
        <f>14</f>
        <v>14.0</v>
      </c>
      <c r="P907" s="3" t="s">
        <v>1886</v>
      </c>
      <c r="Q907" s="21"/>
      <c r="R907" s="3" t="s">
        <v>247</v>
      </c>
      <c r="S907" s="21" t="n">
        <f>282724960</f>
        <v>2.8272496E8</v>
      </c>
      <c r="T907" s="21" t="str">
        <f>"－"</f>
        <v>－</v>
      </c>
      <c r="U907" s="5" t="s">
        <v>631</v>
      </c>
      <c r="V907" s="23" t="n">
        <f>6487475000</f>
        <v>6.487475E9</v>
      </c>
      <c r="W907" s="5" t="s">
        <v>238</v>
      </c>
      <c r="X907" s="23" t="n">
        <f>4360000</f>
        <v>4360000.0</v>
      </c>
      <c r="Y907" s="23" t="n">
        <f>247</f>
        <v>247.0</v>
      </c>
      <c r="Z907" s="21" t="str">
        <f>"－"</f>
        <v>－</v>
      </c>
      <c r="AA907" s="21" t="n">
        <f>495</f>
        <v>495.0</v>
      </c>
      <c r="AB907" s="4" t="s">
        <v>450</v>
      </c>
      <c r="AC907" s="22" t="n">
        <f>872</f>
        <v>872.0</v>
      </c>
      <c r="AD907" s="5" t="s">
        <v>128</v>
      </c>
      <c r="AE907" s="23" t="str">
        <f>"－"</f>
        <v>－</v>
      </c>
    </row>
    <row r="908">
      <c r="A908" s="24" t="s">
        <v>1881</v>
      </c>
      <c r="B908" s="25" t="s">
        <v>1882</v>
      </c>
      <c r="C908" s="26" t="s">
        <v>1748</v>
      </c>
      <c r="D908" s="27" t="s">
        <v>1749</v>
      </c>
      <c r="E908" s="28" t="s">
        <v>261</v>
      </c>
      <c r="F908" s="20" t="n">
        <f>126</f>
        <v>126.0</v>
      </c>
      <c r="G908" s="21" t="n">
        <f>101544</f>
        <v>101544.0</v>
      </c>
      <c r="H908" s="21"/>
      <c r="I908" s="21" t="str">
        <f>"－"</f>
        <v>－</v>
      </c>
      <c r="J908" s="21" t="n">
        <f>806</f>
        <v>806.0</v>
      </c>
      <c r="K908" s="21" t="str">
        <f>"－"</f>
        <v>－</v>
      </c>
      <c r="L908" s="4" t="s">
        <v>659</v>
      </c>
      <c r="M908" s="22" t="n">
        <f>4363</f>
        <v>4363.0</v>
      </c>
      <c r="N908" s="5" t="s">
        <v>754</v>
      </c>
      <c r="O908" s="23" t="n">
        <f>100</f>
        <v>100.0</v>
      </c>
      <c r="P908" s="3" t="s">
        <v>1887</v>
      </c>
      <c r="Q908" s="21"/>
      <c r="R908" s="3" t="s">
        <v>247</v>
      </c>
      <c r="S908" s="21" t="n">
        <f>353814444</f>
        <v>3.53814444E8</v>
      </c>
      <c r="T908" s="21" t="str">
        <f>"－"</f>
        <v>－</v>
      </c>
      <c r="U908" s="5" t="s">
        <v>501</v>
      </c>
      <c r="V908" s="23" t="n">
        <f>3286860000</f>
        <v>3.28686E9</v>
      </c>
      <c r="W908" s="5" t="s">
        <v>754</v>
      </c>
      <c r="X908" s="23" t="n">
        <f>8725000</f>
        <v>8725000.0</v>
      </c>
      <c r="Y908" s="23" t="n">
        <f>84</f>
        <v>84.0</v>
      </c>
      <c r="Z908" s="21" t="str">
        <f>"－"</f>
        <v>－</v>
      </c>
      <c r="AA908" s="21" t="n">
        <f>495</f>
        <v>495.0</v>
      </c>
      <c r="AB908" s="4" t="s">
        <v>993</v>
      </c>
      <c r="AC908" s="22" t="n">
        <f>1032</f>
        <v>1032.0</v>
      </c>
      <c r="AD908" s="5" t="s">
        <v>188</v>
      </c>
      <c r="AE908" s="23" t="str">
        <f>"－"</f>
        <v>－</v>
      </c>
    </row>
    <row r="909">
      <c r="A909" s="24" t="s">
        <v>1881</v>
      </c>
      <c r="B909" s="25" t="s">
        <v>1882</v>
      </c>
      <c r="C909" s="26" t="s">
        <v>1752</v>
      </c>
      <c r="D909" s="27" t="s">
        <v>1753</v>
      </c>
      <c r="E909" s="28" t="s">
        <v>261</v>
      </c>
      <c r="F909" s="20" t="n">
        <f>126</f>
        <v>126.0</v>
      </c>
      <c r="G909" s="21" t="n">
        <f>152371</f>
        <v>152371.0</v>
      </c>
      <c r="H909" s="21"/>
      <c r="I909" s="21" t="str">
        <f>"－"</f>
        <v>－</v>
      </c>
      <c r="J909" s="21" t="n">
        <f>1209</f>
        <v>1209.0</v>
      </c>
      <c r="K909" s="21" t="str">
        <f>"－"</f>
        <v>－</v>
      </c>
      <c r="L909" s="4" t="s">
        <v>1546</v>
      </c>
      <c r="M909" s="22" t="n">
        <f>5975</f>
        <v>5975.0</v>
      </c>
      <c r="N909" s="5" t="s">
        <v>281</v>
      </c>
      <c r="O909" s="23" t="n">
        <f>142</f>
        <v>142.0</v>
      </c>
      <c r="P909" s="3" t="s">
        <v>1888</v>
      </c>
      <c r="Q909" s="21"/>
      <c r="R909" s="3" t="s">
        <v>247</v>
      </c>
      <c r="S909" s="21" t="n">
        <f>636539405</f>
        <v>6.36539405E8</v>
      </c>
      <c r="T909" s="21" t="str">
        <f>"－"</f>
        <v>－</v>
      </c>
      <c r="U909" s="5" t="s">
        <v>631</v>
      </c>
      <c r="V909" s="23" t="n">
        <f>7217815000</f>
        <v>7.217815E9</v>
      </c>
      <c r="W909" s="5" t="s">
        <v>238</v>
      </c>
      <c r="X909" s="23" t="n">
        <f>38285000</f>
        <v>3.8285E7</v>
      </c>
      <c r="Y909" s="23" t="n">
        <f>331</f>
        <v>331.0</v>
      </c>
      <c r="Z909" s="21" t="str">
        <f>"－"</f>
        <v>－</v>
      </c>
      <c r="AA909" s="21" t="n">
        <f>990</f>
        <v>990.0</v>
      </c>
      <c r="AB909" s="4" t="s">
        <v>450</v>
      </c>
      <c r="AC909" s="22" t="n">
        <f>1734</f>
        <v>1734.0</v>
      </c>
      <c r="AD909" s="5" t="s">
        <v>128</v>
      </c>
      <c r="AE909" s="23" t="str">
        <f>"－"</f>
        <v>－</v>
      </c>
    </row>
    <row r="910">
      <c r="A910" s="24" t="s">
        <v>1881</v>
      </c>
      <c r="B910" s="25" t="s">
        <v>1882</v>
      </c>
      <c r="C910" s="26" t="s">
        <v>1744</v>
      </c>
      <c r="D910" s="27" t="s">
        <v>1745</v>
      </c>
      <c r="E910" s="28" t="s">
        <v>267</v>
      </c>
      <c r="F910" s="20" t="n">
        <f>119</f>
        <v>119.0</v>
      </c>
      <c r="G910" s="21" t="n">
        <f>36016</f>
        <v>36016.0</v>
      </c>
      <c r="H910" s="21"/>
      <c r="I910" s="21" t="str">
        <f>"－"</f>
        <v>－</v>
      </c>
      <c r="J910" s="21" t="n">
        <f>303</f>
        <v>303.0</v>
      </c>
      <c r="K910" s="21" t="str">
        <f>"－"</f>
        <v>－</v>
      </c>
      <c r="L910" s="4" t="s">
        <v>94</v>
      </c>
      <c r="M910" s="22" t="n">
        <f>8223</f>
        <v>8223.0</v>
      </c>
      <c r="N910" s="5" t="s">
        <v>1155</v>
      </c>
      <c r="O910" s="23" t="n">
        <f>12</f>
        <v>12.0</v>
      </c>
      <c r="P910" s="3" t="s">
        <v>1889</v>
      </c>
      <c r="Q910" s="21"/>
      <c r="R910" s="3" t="s">
        <v>247</v>
      </c>
      <c r="S910" s="21" t="n">
        <f>188662059</f>
        <v>1.88662059E8</v>
      </c>
      <c r="T910" s="21" t="str">
        <f>"－"</f>
        <v>－</v>
      </c>
      <c r="U910" s="5" t="s">
        <v>279</v>
      </c>
      <c r="V910" s="23" t="n">
        <f>4494500000</f>
        <v>4.4945E9</v>
      </c>
      <c r="W910" s="5" t="s">
        <v>1000</v>
      </c>
      <c r="X910" s="23" t="n">
        <f>2950000</f>
        <v>2950000.0</v>
      </c>
      <c r="Y910" s="23" t="n">
        <f>32</f>
        <v>32.0</v>
      </c>
      <c r="Z910" s="21" t="str">
        <f>"－"</f>
        <v>－</v>
      </c>
      <c r="AA910" s="21" t="n">
        <f>11</f>
        <v>11.0</v>
      </c>
      <c r="AB910" s="4" t="s">
        <v>270</v>
      </c>
      <c r="AC910" s="22" t="n">
        <f>363</f>
        <v>363.0</v>
      </c>
      <c r="AD910" s="5" t="s">
        <v>511</v>
      </c>
      <c r="AE910" s="23" t="str">
        <f>"－"</f>
        <v>－</v>
      </c>
    </row>
    <row r="911">
      <c r="A911" s="24" t="s">
        <v>1881</v>
      </c>
      <c r="B911" s="25" t="s">
        <v>1882</v>
      </c>
      <c r="C911" s="26" t="s">
        <v>1748</v>
      </c>
      <c r="D911" s="27" t="s">
        <v>1749</v>
      </c>
      <c r="E911" s="28" t="s">
        <v>267</v>
      </c>
      <c r="F911" s="20" t="n">
        <f>119</f>
        <v>119.0</v>
      </c>
      <c r="G911" s="21" t="n">
        <f>58274</f>
        <v>58274.0</v>
      </c>
      <c r="H911" s="21"/>
      <c r="I911" s="21" t="str">
        <f>"－"</f>
        <v>－</v>
      </c>
      <c r="J911" s="21" t="n">
        <f>490</f>
        <v>490.0</v>
      </c>
      <c r="K911" s="21" t="str">
        <f>"－"</f>
        <v>－</v>
      </c>
      <c r="L911" s="4" t="s">
        <v>94</v>
      </c>
      <c r="M911" s="22" t="n">
        <f>7166</f>
        <v>7166.0</v>
      </c>
      <c r="N911" s="5" t="s">
        <v>1064</v>
      </c>
      <c r="O911" s="23" t="n">
        <f>50</f>
        <v>50.0</v>
      </c>
      <c r="P911" s="3" t="s">
        <v>1890</v>
      </c>
      <c r="Q911" s="21"/>
      <c r="R911" s="3" t="s">
        <v>247</v>
      </c>
      <c r="S911" s="21" t="n">
        <f>831202437</f>
        <v>8.31202437E8</v>
      </c>
      <c r="T911" s="21" t="str">
        <f>"－"</f>
        <v>－</v>
      </c>
      <c r="U911" s="5" t="s">
        <v>270</v>
      </c>
      <c r="V911" s="23" t="n">
        <f>12047835000</f>
        <v>1.2047835E10</v>
      </c>
      <c r="W911" s="5" t="s">
        <v>1064</v>
      </c>
      <c r="X911" s="23" t="n">
        <f>17350000</f>
        <v>1.735E7</v>
      </c>
      <c r="Y911" s="23" t="n">
        <f>344</f>
        <v>344.0</v>
      </c>
      <c r="Z911" s="21" t="str">
        <f>"－"</f>
        <v>－</v>
      </c>
      <c r="AA911" s="21" t="n">
        <f>997</f>
        <v>997.0</v>
      </c>
      <c r="AB911" s="4" t="s">
        <v>270</v>
      </c>
      <c r="AC911" s="22" t="n">
        <f>3557</f>
        <v>3557.0</v>
      </c>
      <c r="AD911" s="5" t="s">
        <v>466</v>
      </c>
      <c r="AE911" s="23" t="n">
        <f>10</f>
        <v>10.0</v>
      </c>
    </row>
    <row r="912">
      <c r="A912" s="24" t="s">
        <v>1881</v>
      </c>
      <c r="B912" s="25" t="s">
        <v>1882</v>
      </c>
      <c r="C912" s="26" t="s">
        <v>1752</v>
      </c>
      <c r="D912" s="27" t="s">
        <v>1753</v>
      </c>
      <c r="E912" s="28" t="s">
        <v>267</v>
      </c>
      <c r="F912" s="20" t="n">
        <f>119</f>
        <v>119.0</v>
      </c>
      <c r="G912" s="21" t="n">
        <f>94290</f>
        <v>94290.0</v>
      </c>
      <c r="H912" s="21"/>
      <c r="I912" s="21" t="str">
        <f>"－"</f>
        <v>－</v>
      </c>
      <c r="J912" s="21" t="n">
        <f>792</f>
        <v>792.0</v>
      </c>
      <c r="K912" s="21" t="str">
        <f>"－"</f>
        <v>－</v>
      </c>
      <c r="L912" s="4" t="s">
        <v>94</v>
      </c>
      <c r="M912" s="22" t="n">
        <f>15389</f>
        <v>15389.0</v>
      </c>
      <c r="N912" s="5" t="s">
        <v>1064</v>
      </c>
      <c r="O912" s="23" t="n">
        <f>62</f>
        <v>62.0</v>
      </c>
      <c r="P912" s="3" t="s">
        <v>1891</v>
      </c>
      <c r="Q912" s="21"/>
      <c r="R912" s="3" t="s">
        <v>247</v>
      </c>
      <c r="S912" s="21" t="n">
        <f>1019864496</f>
        <v>1.019864496E9</v>
      </c>
      <c r="T912" s="21" t="str">
        <f>"－"</f>
        <v>－</v>
      </c>
      <c r="U912" s="5" t="s">
        <v>270</v>
      </c>
      <c r="V912" s="23" t="n">
        <f>12434735000</f>
        <v>1.2434735E10</v>
      </c>
      <c r="W912" s="5" t="s">
        <v>1064</v>
      </c>
      <c r="X912" s="23" t="n">
        <f>22650000</f>
        <v>2.265E7</v>
      </c>
      <c r="Y912" s="23" t="n">
        <f>376</f>
        <v>376.0</v>
      </c>
      <c r="Z912" s="21" t="str">
        <f>"－"</f>
        <v>－</v>
      </c>
      <c r="AA912" s="21" t="n">
        <f>1008</f>
        <v>1008.0</v>
      </c>
      <c r="AB912" s="4" t="s">
        <v>270</v>
      </c>
      <c r="AC912" s="22" t="n">
        <f>3920</f>
        <v>3920.0</v>
      </c>
      <c r="AD912" s="5" t="s">
        <v>466</v>
      </c>
      <c r="AE912" s="23" t="n">
        <f>20</f>
        <v>20.0</v>
      </c>
    </row>
    <row r="913">
      <c r="A913" s="24" t="s">
        <v>1881</v>
      </c>
      <c r="B913" s="25" t="s">
        <v>1882</v>
      </c>
      <c r="C913" s="26" t="s">
        <v>1744</v>
      </c>
      <c r="D913" s="27" t="s">
        <v>1745</v>
      </c>
      <c r="E913" s="28" t="s">
        <v>271</v>
      </c>
      <c r="F913" s="20" t="n">
        <f>126</f>
        <v>126.0</v>
      </c>
      <c r="G913" s="21" t="n">
        <f>13683</f>
        <v>13683.0</v>
      </c>
      <c r="H913" s="21"/>
      <c r="I913" s="21" t="str">
        <f>"－"</f>
        <v>－</v>
      </c>
      <c r="J913" s="21" t="n">
        <f>109</f>
        <v>109.0</v>
      </c>
      <c r="K913" s="21" t="str">
        <f>"－"</f>
        <v>－</v>
      </c>
      <c r="L913" s="4" t="s">
        <v>272</v>
      </c>
      <c r="M913" s="22" t="n">
        <f>890</f>
        <v>890.0</v>
      </c>
      <c r="N913" s="5" t="s">
        <v>188</v>
      </c>
      <c r="O913" s="23" t="n">
        <f>52</f>
        <v>52.0</v>
      </c>
      <c r="P913" s="3" t="s">
        <v>1892</v>
      </c>
      <c r="Q913" s="21"/>
      <c r="R913" s="3" t="s">
        <v>247</v>
      </c>
      <c r="S913" s="21" t="n">
        <f>32934087</f>
        <v>3.2934087E7</v>
      </c>
      <c r="T913" s="21" t="str">
        <f>"－"</f>
        <v>－</v>
      </c>
      <c r="U913" s="5" t="s">
        <v>144</v>
      </c>
      <c r="V913" s="23" t="n">
        <f>1358175000</f>
        <v>1.358175E9</v>
      </c>
      <c r="W913" s="5" t="s">
        <v>119</v>
      </c>
      <c r="X913" s="23" t="n">
        <f>1400000</f>
        <v>1400000.0</v>
      </c>
      <c r="Y913" s="23" t="n">
        <f>3</f>
        <v>3.0</v>
      </c>
      <c r="Z913" s="21" t="str">
        <f>"－"</f>
        <v>－</v>
      </c>
      <c r="AA913" s="21" t="n">
        <f>10</f>
        <v>10.0</v>
      </c>
      <c r="AB913" s="4" t="s">
        <v>144</v>
      </c>
      <c r="AC913" s="22" t="n">
        <f>281</f>
        <v>281.0</v>
      </c>
      <c r="AD913" s="5" t="s">
        <v>350</v>
      </c>
      <c r="AE913" s="23" t="n">
        <f>10</f>
        <v>10.0</v>
      </c>
    </row>
    <row r="914">
      <c r="A914" s="24" t="s">
        <v>1881</v>
      </c>
      <c r="B914" s="25" t="s">
        <v>1882</v>
      </c>
      <c r="C914" s="26" t="s">
        <v>1748</v>
      </c>
      <c r="D914" s="27" t="s">
        <v>1749</v>
      </c>
      <c r="E914" s="28" t="s">
        <v>271</v>
      </c>
      <c r="F914" s="20" t="n">
        <f>126</f>
        <v>126.0</v>
      </c>
      <c r="G914" s="21" t="n">
        <f>22311</f>
        <v>22311.0</v>
      </c>
      <c r="H914" s="21"/>
      <c r="I914" s="21" t="str">
        <f>"－"</f>
        <v>－</v>
      </c>
      <c r="J914" s="21" t="n">
        <f>177</f>
        <v>177.0</v>
      </c>
      <c r="K914" s="21" t="str">
        <f>"－"</f>
        <v>－</v>
      </c>
      <c r="L914" s="4" t="s">
        <v>193</v>
      </c>
      <c r="M914" s="22" t="n">
        <f>2260</f>
        <v>2260.0</v>
      </c>
      <c r="N914" s="5" t="s">
        <v>434</v>
      </c>
      <c r="O914" s="23" t="n">
        <f>66</f>
        <v>66.0</v>
      </c>
      <c r="P914" s="3" t="s">
        <v>1893</v>
      </c>
      <c r="Q914" s="21"/>
      <c r="R914" s="3" t="s">
        <v>247</v>
      </c>
      <c r="S914" s="21" t="n">
        <f>169762222</f>
        <v>1.69762222E8</v>
      </c>
      <c r="T914" s="21" t="str">
        <f>"－"</f>
        <v>－</v>
      </c>
      <c r="U914" s="5" t="s">
        <v>818</v>
      </c>
      <c r="V914" s="23" t="n">
        <f>3249370000</f>
        <v>3.24937E9</v>
      </c>
      <c r="W914" s="5" t="s">
        <v>594</v>
      </c>
      <c r="X914" s="23" t="n">
        <f>7280000</f>
        <v>7280000.0</v>
      </c>
      <c r="Y914" s="23" t="n">
        <f>1341</f>
        <v>1341.0</v>
      </c>
      <c r="Z914" s="21" t="str">
        <f>"－"</f>
        <v>－</v>
      </c>
      <c r="AA914" s="21" t="n">
        <f>105</f>
        <v>105.0</v>
      </c>
      <c r="AB914" s="4" t="s">
        <v>272</v>
      </c>
      <c r="AC914" s="22" t="n">
        <f>1620</f>
        <v>1620.0</v>
      </c>
      <c r="AD914" s="5" t="s">
        <v>97</v>
      </c>
      <c r="AE914" s="23" t="n">
        <f>10</f>
        <v>10.0</v>
      </c>
    </row>
    <row r="915">
      <c r="A915" s="24" t="s">
        <v>1881</v>
      </c>
      <c r="B915" s="25" t="s">
        <v>1882</v>
      </c>
      <c r="C915" s="26" t="s">
        <v>1752</v>
      </c>
      <c r="D915" s="27" t="s">
        <v>1753</v>
      </c>
      <c r="E915" s="28" t="s">
        <v>271</v>
      </c>
      <c r="F915" s="20" t="n">
        <f>126</f>
        <v>126.0</v>
      </c>
      <c r="G915" s="21" t="n">
        <f>35994</f>
        <v>35994.0</v>
      </c>
      <c r="H915" s="21"/>
      <c r="I915" s="21" t="str">
        <f>"－"</f>
        <v>－</v>
      </c>
      <c r="J915" s="21" t="n">
        <f>286</f>
        <v>286.0</v>
      </c>
      <c r="K915" s="21" t="str">
        <f>"－"</f>
        <v>－</v>
      </c>
      <c r="L915" s="4" t="s">
        <v>193</v>
      </c>
      <c r="M915" s="22" t="n">
        <f>2744</f>
        <v>2744.0</v>
      </c>
      <c r="N915" s="5" t="s">
        <v>594</v>
      </c>
      <c r="O915" s="23" t="n">
        <f>144</f>
        <v>144.0</v>
      </c>
      <c r="P915" s="3" t="s">
        <v>1894</v>
      </c>
      <c r="Q915" s="21"/>
      <c r="R915" s="3" t="s">
        <v>247</v>
      </c>
      <c r="S915" s="21" t="n">
        <f>202696310</f>
        <v>2.0269631E8</v>
      </c>
      <c r="T915" s="21" t="str">
        <f>"－"</f>
        <v>－</v>
      </c>
      <c r="U915" s="5" t="s">
        <v>818</v>
      </c>
      <c r="V915" s="23" t="n">
        <f>3276020000</f>
        <v>3.27602E9</v>
      </c>
      <c r="W915" s="5" t="s">
        <v>594</v>
      </c>
      <c r="X915" s="23" t="n">
        <f>10050000</f>
        <v>1.005E7</v>
      </c>
      <c r="Y915" s="23" t="n">
        <f>1344</f>
        <v>1344.0</v>
      </c>
      <c r="Z915" s="21" t="str">
        <f>"－"</f>
        <v>－</v>
      </c>
      <c r="AA915" s="21" t="n">
        <f>115</f>
        <v>115.0</v>
      </c>
      <c r="AB915" s="4" t="s">
        <v>272</v>
      </c>
      <c r="AC915" s="22" t="n">
        <f>1680</f>
        <v>1680.0</v>
      </c>
      <c r="AD915" s="5" t="s">
        <v>97</v>
      </c>
      <c r="AE915" s="23" t="n">
        <f>20</f>
        <v>20.0</v>
      </c>
    </row>
    <row r="916">
      <c r="A916" s="24" t="s">
        <v>1881</v>
      </c>
      <c r="B916" s="25" t="s">
        <v>1882</v>
      </c>
      <c r="C916" s="26" t="s">
        <v>1744</v>
      </c>
      <c r="D916" s="27" t="s">
        <v>1745</v>
      </c>
      <c r="E916" s="28" t="s">
        <v>275</v>
      </c>
      <c r="F916" s="20" t="n">
        <f>121</f>
        <v>121.0</v>
      </c>
      <c r="G916" s="21" t="n">
        <f>12762</f>
        <v>12762.0</v>
      </c>
      <c r="H916" s="21"/>
      <c r="I916" s="21" t="str">
        <f>"－"</f>
        <v>－</v>
      </c>
      <c r="J916" s="21" t="n">
        <f>105</f>
        <v>105.0</v>
      </c>
      <c r="K916" s="21" t="str">
        <f>"－"</f>
        <v>－</v>
      </c>
      <c r="L916" s="4" t="s">
        <v>82</v>
      </c>
      <c r="M916" s="22" t="n">
        <f>374</f>
        <v>374.0</v>
      </c>
      <c r="N916" s="5" t="s">
        <v>1282</v>
      </c>
      <c r="O916" s="23" t="n">
        <f>80</f>
        <v>80.0</v>
      </c>
      <c r="P916" s="3" t="s">
        <v>1895</v>
      </c>
      <c r="Q916" s="21"/>
      <c r="R916" s="3" t="s">
        <v>247</v>
      </c>
      <c r="S916" s="21" t="n">
        <f>16316736</f>
        <v>1.6316736E7</v>
      </c>
      <c r="T916" s="21" t="str">
        <f>"－"</f>
        <v>－</v>
      </c>
      <c r="U916" s="5" t="s">
        <v>90</v>
      </c>
      <c r="V916" s="23" t="n">
        <f>51520000</f>
        <v>5.152E7</v>
      </c>
      <c r="W916" s="5" t="s">
        <v>260</v>
      </c>
      <c r="X916" s="23" t="n">
        <f>4250000</f>
        <v>4250000.0</v>
      </c>
      <c r="Y916" s="23" t="n">
        <f>10</f>
        <v>10.0</v>
      </c>
      <c r="Z916" s="21" t="str">
        <f>"－"</f>
        <v>－</v>
      </c>
      <c r="AA916" s="21" t="n">
        <f>10</f>
        <v>10.0</v>
      </c>
      <c r="AB916" s="4" t="s">
        <v>82</v>
      </c>
      <c r="AC916" s="22" t="n">
        <f>110</f>
        <v>110.0</v>
      </c>
      <c r="AD916" s="5" t="s">
        <v>268</v>
      </c>
      <c r="AE916" s="23" t="n">
        <f>10</f>
        <v>10.0</v>
      </c>
    </row>
    <row r="917">
      <c r="A917" s="24" t="s">
        <v>1881</v>
      </c>
      <c r="B917" s="25" t="s">
        <v>1882</v>
      </c>
      <c r="C917" s="26" t="s">
        <v>1748</v>
      </c>
      <c r="D917" s="27" t="s">
        <v>1749</v>
      </c>
      <c r="E917" s="28" t="s">
        <v>275</v>
      </c>
      <c r="F917" s="20" t="n">
        <f>121</f>
        <v>121.0</v>
      </c>
      <c r="G917" s="21" t="n">
        <f>13308</f>
        <v>13308.0</v>
      </c>
      <c r="H917" s="21"/>
      <c r="I917" s="21" t="str">
        <f>"－"</f>
        <v>－</v>
      </c>
      <c r="J917" s="21" t="n">
        <f>110</f>
        <v>110.0</v>
      </c>
      <c r="K917" s="21" t="str">
        <f>"－"</f>
        <v>－</v>
      </c>
      <c r="L917" s="4" t="s">
        <v>82</v>
      </c>
      <c r="M917" s="22" t="n">
        <f>388</f>
        <v>388.0</v>
      </c>
      <c r="N917" s="5" t="s">
        <v>757</v>
      </c>
      <c r="O917" s="23" t="n">
        <f>80</f>
        <v>80.0</v>
      </c>
      <c r="P917" s="3" t="s">
        <v>1896</v>
      </c>
      <c r="Q917" s="21"/>
      <c r="R917" s="3" t="s">
        <v>247</v>
      </c>
      <c r="S917" s="21" t="n">
        <f>29013182</f>
        <v>2.9013182E7</v>
      </c>
      <c r="T917" s="21" t="str">
        <f>"－"</f>
        <v>－</v>
      </c>
      <c r="U917" s="5" t="s">
        <v>1277</v>
      </c>
      <c r="V917" s="23" t="n">
        <f>526320000</f>
        <v>5.2632E8</v>
      </c>
      <c r="W917" s="5" t="s">
        <v>466</v>
      </c>
      <c r="X917" s="23" t="n">
        <f>6600000</f>
        <v>6600000.0</v>
      </c>
      <c r="Y917" s="23" t="str">
        <f>"－"</f>
        <v>－</v>
      </c>
      <c r="Z917" s="21" t="str">
        <f>"－"</f>
        <v>－</v>
      </c>
      <c r="AA917" s="21" t="n">
        <f>10</f>
        <v>10.0</v>
      </c>
      <c r="AB917" s="4" t="s">
        <v>82</v>
      </c>
      <c r="AC917" s="22" t="n">
        <f>203</f>
        <v>203.0</v>
      </c>
      <c r="AD917" s="5" t="s">
        <v>54</v>
      </c>
      <c r="AE917" s="23" t="n">
        <f>10</f>
        <v>10.0</v>
      </c>
    </row>
    <row r="918">
      <c r="A918" s="24" t="s">
        <v>1881</v>
      </c>
      <c r="B918" s="25" t="s">
        <v>1882</v>
      </c>
      <c r="C918" s="26" t="s">
        <v>1752</v>
      </c>
      <c r="D918" s="27" t="s">
        <v>1753</v>
      </c>
      <c r="E918" s="28" t="s">
        <v>275</v>
      </c>
      <c r="F918" s="20" t="n">
        <f>121</f>
        <v>121.0</v>
      </c>
      <c r="G918" s="21" t="n">
        <f>26070</f>
        <v>26070.0</v>
      </c>
      <c r="H918" s="21"/>
      <c r="I918" s="21" t="str">
        <f>"－"</f>
        <v>－</v>
      </c>
      <c r="J918" s="21" t="n">
        <f>215</f>
        <v>215.0</v>
      </c>
      <c r="K918" s="21" t="str">
        <f>"－"</f>
        <v>－</v>
      </c>
      <c r="L918" s="4" t="s">
        <v>82</v>
      </c>
      <c r="M918" s="22" t="n">
        <f>762</f>
        <v>762.0</v>
      </c>
      <c r="N918" s="5" t="s">
        <v>757</v>
      </c>
      <c r="O918" s="23" t="n">
        <f>162</f>
        <v>162.0</v>
      </c>
      <c r="P918" s="3" t="s">
        <v>1897</v>
      </c>
      <c r="Q918" s="21"/>
      <c r="R918" s="3" t="s">
        <v>247</v>
      </c>
      <c r="S918" s="21" t="n">
        <f>45329917</f>
        <v>4.5329917E7</v>
      </c>
      <c r="T918" s="21" t="str">
        <f>"－"</f>
        <v>－</v>
      </c>
      <c r="U918" s="5" t="s">
        <v>1277</v>
      </c>
      <c r="V918" s="23" t="n">
        <f>541170000</f>
        <v>5.4117E8</v>
      </c>
      <c r="W918" s="5" t="s">
        <v>374</v>
      </c>
      <c r="X918" s="23" t="n">
        <f>17575000</f>
        <v>1.7575E7</v>
      </c>
      <c r="Y918" s="23" t="n">
        <f>10</f>
        <v>10.0</v>
      </c>
      <c r="Z918" s="21" t="str">
        <f>"－"</f>
        <v>－</v>
      </c>
      <c r="AA918" s="21" t="n">
        <f>20</f>
        <v>20.0</v>
      </c>
      <c r="AB918" s="4" t="s">
        <v>82</v>
      </c>
      <c r="AC918" s="22" t="n">
        <f>313</f>
        <v>313.0</v>
      </c>
      <c r="AD918" s="5" t="s">
        <v>54</v>
      </c>
      <c r="AE918" s="23" t="n">
        <f>20</f>
        <v>20.0</v>
      </c>
    </row>
    <row r="919">
      <c r="A919" s="24" t="s">
        <v>1881</v>
      </c>
      <c r="B919" s="25" t="s">
        <v>1882</v>
      </c>
      <c r="C919" s="26" t="s">
        <v>1744</v>
      </c>
      <c r="D919" s="27" t="s">
        <v>1745</v>
      </c>
      <c r="E919" s="28" t="s">
        <v>280</v>
      </c>
      <c r="F919" s="20" t="n">
        <f>126</f>
        <v>126.0</v>
      </c>
      <c r="G919" s="21" t="n">
        <f>12425</f>
        <v>12425.0</v>
      </c>
      <c r="H919" s="21"/>
      <c r="I919" s="21" t="str">
        <f>"－"</f>
        <v>－</v>
      </c>
      <c r="J919" s="21" t="n">
        <f>99</f>
        <v>99.0</v>
      </c>
      <c r="K919" s="21" t="str">
        <f>"－"</f>
        <v>－</v>
      </c>
      <c r="L919" s="4" t="s">
        <v>461</v>
      </c>
      <c r="M919" s="22" t="n">
        <f>274</f>
        <v>274.0</v>
      </c>
      <c r="N919" s="5" t="s">
        <v>848</v>
      </c>
      <c r="O919" s="23" t="n">
        <f>72</f>
        <v>72.0</v>
      </c>
      <c r="P919" s="3" t="s">
        <v>1898</v>
      </c>
      <c r="Q919" s="21"/>
      <c r="R919" s="3" t="s">
        <v>247</v>
      </c>
      <c r="S919" s="21" t="n">
        <f>16144365</f>
        <v>1.6144365E7</v>
      </c>
      <c r="T919" s="21" t="str">
        <f>"－"</f>
        <v>－</v>
      </c>
      <c r="U919" s="5" t="s">
        <v>461</v>
      </c>
      <c r="V919" s="23" t="n">
        <f>55030000</f>
        <v>5.503E7</v>
      </c>
      <c r="W919" s="5" t="s">
        <v>335</v>
      </c>
      <c r="X919" s="23" t="n">
        <f>2610000</f>
        <v>2610000.0</v>
      </c>
      <c r="Y919" s="23" t="str">
        <f>"－"</f>
        <v>－</v>
      </c>
      <c r="Z919" s="21" t="str">
        <f>"－"</f>
        <v>－</v>
      </c>
      <c r="AA919" s="21" t="n">
        <f>10</f>
        <v>10.0</v>
      </c>
      <c r="AB919" s="4" t="s">
        <v>594</v>
      </c>
      <c r="AC919" s="22" t="n">
        <f>75</f>
        <v>75.0</v>
      </c>
      <c r="AD919" s="5" t="s">
        <v>263</v>
      </c>
      <c r="AE919" s="23" t="n">
        <f>10</f>
        <v>10.0</v>
      </c>
    </row>
    <row r="920">
      <c r="A920" s="24" t="s">
        <v>1881</v>
      </c>
      <c r="B920" s="25" t="s">
        <v>1882</v>
      </c>
      <c r="C920" s="26" t="s">
        <v>1748</v>
      </c>
      <c r="D920" s="27" t="s">
        <v>1749</v>
      </c>
      <c r="E920" s="28" t="s">
        <v>280</v>
      </c>
      <c r="F920" s="20" t="n">
        <f>126</f>
        <v>126.0</v>
      </c>
      <c r="G920" s="21" t="n">
        <f>12305</f>
        <v>12305.0</v>
      </c>
      <c r="H920" s="21"/>
      <c r="I920" s="21" t="str">
        <f>"－"</f>
        <v>－</v>
      </c>
      <c r="J920" s="21" t="n">
        <f>98</f>
        <v>98.0</v>
      </c>
      <c r="K920" s="21" t="str">
        <f>"－"</f>
        <v>－</v>
      </c>
      <c r="L920" s="4" t="s">
        <v>107</v>
      </c>
      <c r="M920" s="22" t="n">
        <f>192</f>
        <v>192.0</v>
      </c>
      <c r="N920" s="5" t="s">
        <v>263</v>
      </c>
      <c r="O920" s="23" t="n">
        <f>72</f>
        <v>72.0</v>
      </c>
      <c r="P920" s="3" t="s">
        <v>1899</v>
      </c>
      <c r="Q920" s="21"/>
      <c r="R920" s="3" t="s">
        <v>247</v>
      </c>
      <c r="S920" s="21" t="n">
        <f>18763413</f>
        <v>1.8763413E7</v>
      </c>
      <c r="T920" s="21" t="str">
        <f>"－"</f>
        <v>－</v>
      </c>
      <c r="U920" s="5" t="s">
        <v>1306</v>
      </c>
      <c r="V920" s="23" t="n">
        <f>47460000</f>
        <v>4.746E7</v>
      </c>
      <c r="W920" s="5" t="s">
        <v>263</v>
      </c>
      <c r="X920" s="23" t="n">
        <f>1560000</f>
        <v>1560000.0</v>
      </c>
      <c r="Y920" s="23" t="str">
        <f>"－"</f>
        <v>－</v>
      </c>
      <c r="Z920" s="21" t="str">
        <f>"－"</f>
        <v>－</v>
      </c>
      <c r="AA920" s="21" t="n">
        <f>10</f>
        <v>10.0</v>
      </c>
      <c r="AB920" s="4" t="s">
        <v>510</v>
      </c>
      <c r="AC920" s="22" t="n">
        <f>70</f>
        <v>70.0</v>
      </c>
      <c r="AD920" s="5" t="s">
        <v>263</v>
      </c>
      <c r="AE920" s="23" t="n">
        <f>10</f>
        <v>10.0</v>
      </c>
    </row>
    <row r="921">
      <c r="A921" s="24" t="s">
        <v>1881</v>
      </c>
      <c r="B921" s="25" t="s">
        <v>1882</v>
      </c>
      <c r="C921" s="26" t="s">
        <v>1752</v>
      </c>
      <c r="D921" s="27" t="s">
        <v>1753</v>
      </c>
      <c r="E921" s="28" t="s">
        <v>280</v>
      </c>
      <c r="F921" s="20" t="n">
        <f>126</f>
        <v>126.0</v>
      </c>
      <c r="G921" s="21" t="n">
        <f>24730</f>
        <v>24730.0</v>
      </c>
      <c r="H921" s="21"/>
      <c r="I921" s="21" t="str">
        <f>"－"</f>
        <v>－</v>
      </c>
      <c r="J921" s="21" t="n">
        <f>196</f>
        <v>196.0</v>
      </c>
      <c r="K921" s="21" t="str">
        <f>"－"</f>
        <v>－</v>
      </c>
      <c r="L921" s="4" t="s">
        <v>107</v>
      </c>
      <c r="M921" s="22" t="n">
        <f>384</f>
        <v>384.0</v>
      </c>
      <c r="N921" s="5" t="s">
        <v>151</v>
      </c>
      <c r="O921" s="23" t="n">
        <f>144</f>
        <v>144.0</v>
      </c>
      <c r="P921" s="3" t="s">
        <v>1900</v>
      </c>
      <c r="Q921" s="21"/>
      <c r="R921" s="3" t="s">
        <v>247</v>
      </c>
      <c r="S921" s="21" t="n">
        <f>34907778</f>
        <v>3.4907778E7</v>
      </c>
      <c r="T921" s="21" t="str">
        <f>"－"</f>
        <v>－</v>
      </c>
      <c r="U921" s="5" t="s">
        <v>461</v>
      </c>
      <c r="V921" s="23" t="n">
        <f>77140000</f>
        <v>7.714E7</v>
      </c>
      <c r="W921" s="5" t="s">
        <v>263</v>
      </c>
      <c r="X921" s="23" t="n">
        <f>10150000</f>
        <v>1.015E7</v>
      </c>
      <c r="Y921" s="23" t="str">
        <f>"－"</f>
        <v>－</v>
      </c>
      <c r="Z921" s="21" t="str">
        <f>"－"</f>
        <v>－</v>
      </c>
      <c r="AA921" s="21" t="n">
        <f>20</f>
        <v>20.0</v>
      </c>
      <c r="AB921" s="4" t="s">
        <v>594</v>
      </c>
      <c r="AC921" s="22" t="n">
        <f>140</f>
        <v>140.0</v>
      </c>
      <c r="AD921" s="5" t="s">
        <v>263</v>
      </c>
      <c r="AE921" s="23" t="n">
        <f>20</f>
        <v>20.0</v>
      </c>
    </row>
    <row r="922">
      <c r="A922" s="24" t="s">
        <v>1881</v>
      </c>
      <c r="B922" s="25" t="s">
        <v>1882</v>
      </c>
      <c r="C922" s="26" t="s">
        <v>1744</v>
      </c>
      <c r="D922" s="27" t="s">
        <v>1745</v>
      </c>
      <c r="E922" s="28" t="s">
        <v>284</v>
      </c>
      <c r="F922" s="20" t="n">
        <f>123</f>
        <v>123.0</v>
      </c>
      <c r="G922" s="21" t="n">
        <f>10916</f>
        <v>10916.0</v>
      </c>
      <c r="H922" s="21"/>
      <c r="I922" s="21" t="str">
        <f>"－"</f>
        <v>－</v>
      </c>
      <c r="J922" s="21" t="n">
        <f>89</f>
        <v>89.0</v>
      </c>
      <c r="K922" s="21" t="str">
        <f>"－"</f>
        <v>－</v>
      </c>
      <c r="L922" s="4" t="s">
        <v>81</v>
      </c>
      <c r="M922" s="22" t="n">
        <f>180</f>
        <v>180.0</v>
      </c>
      <c r="N922" s="5" t="s">
        <v>277</v>
      </c>
      <c r="O922" s="23" t="n">
        <f>80</f>
        <v>80.0</v>
      </c>
      <c r="P922" s="3" t="s">
        <v>1901</v>
      </c>
      <c r="Q922" s="21"/>
      <c r="R922" s="3" t="s">
        <v>247</v>
      </c>
      <c r="S922" s="21" t="n">
        <f>12680203</f>
        <v>1.2680203E7</v>
      </c>
      <c r="T922" s="21" t="str">
        <f>"－"</f>
        <v>－</v>
      </c>
      <c r="U922" s="5" t="s">
        <v>1316</v>
      </c>
      <c r="V922" s="23" t="n">
        <f>46900000</f>
        <v>4.69E7</v>
      </c>
      <c r="W922" s="5" t="s">
        <v>568</v>
      </c>
      <c r="X922" s="23" t="n">
        <f>3300000</f>
        <v>3300000.0</v>
      </c>
      <c r="Y922" s="23" t="str">
        <f>"－"</f>
        <v>－</v>
      </c>
      <c r="Z922" s="21" t="str">
        <f>"－"</f>
        <v>－</v>
      </c>
      <c r="AA922" s="21" t="n">
        <f>10</f>
        <v>10.0</v>
      </c>
      <c r="AB922" s="4" t="s">
        <v>1316</v>
      </c>
      <c r="AC922" s="22" t="n">
        <f>105</f>
        <v>105.0</v>
      </c>
      <c r="AD922" s="5" t="s">
        <v>268</v>
      </c>
      <c r="AE922" s="23" t="n">
        <f>10</f>
        <v>10.0</v>
      </c>
    </row>
    <row r="923">
      <c r="A923" s="24" t="s">
        <v>1881</v>
      </c>
      <c r="B923" s="25" t="s">
        <v>1882</v>
      </c>
      <c r="C923" s="26" t="s">
        <v>1748</v>
      </c>
      <c r="D923" s="27" t="s">
        <v>1749</v>
      </c>
      <c r="E923" s="28" t="s">
        <v>284</v>
      </c>
      <c r="F923" s="20" t="n">
        <f>123</f>
        <v>123.0</v>
      </c>
      <c r="G923" s="21" t="n">
        <f>11384</f>
        <v>11384.0</v>
      </c>
      <c r="H923" s="21"/>
      <c r="I923" s="21" t="str">
        <f>"－"</f>
        <v>－</v>
      </c>
      <c r="J923" s="21" t="n">
        <f>93</f>
        <v>93.0</v>
      </c>
      <c r="K923" s="21" t="str">
        <f>"－"</f>
        <v>－</v>
      </c>
      <c r="L923" s="4" t="s">
        <v>1339</v>
      </c>
      <c r="M923" s="22" t="n">
        <f>180</f>
        <v>180.0</v>
      </c>
      <c r="N923" s="5" t="s">
        <v>504</v>
      </c>
      <c r="O923" s="23" t="n">
        <f>80</f>
        <v>80.0</v>
      </c>
      <c r="P923" s="3" t="s">
        <v>1902</v>
      </c>
      <c r="Q923" s="21"/>
      <c r="R923" s="3" t="s">
        <v>247</v>
      </c>
      <c r="S923" s="21" t="n">
        <f>16834512</f>
        <v>1.6834512E7</v>
      </c>
      <c r="T923" s="21" t="str">
        <f>"－"</f>
        <v>－</v>
      </c>
      <c r="U923" s="5" t="s">
        <v>270</v>
      </c>
      <c r="V923" s="23" t="n">
        <f>248750000</f>
        <v>2.4875E8</v>
      </c>
      <c r="W923" s="5" t="s">
        <v>285</v>
      </c>
      <c r="X923" s="23" t="n">
        <f>3050000</f>
        <v>3050000.0</v>
      </c>
      <c r="Y923" s="23" t="str">
        <f>"－"</f>
        <v>－</v>
      </c>
      <c r="Z923" s="21" t="str">
        <f>"－"</f>
        <v>－</v>
      </c>
      <c r="AA923" s="21" t="n">
        <f>110</f>
        <v>110.0</v>
      </c>
      <c r="AB923" s="4" t="s">
        <v>568</v>
      </c>
      <c r="AC923" s="22" t="n">
        <f>160</f>
        <v>160.0</v>
      </c>
      <c r="AD923" s="5" t="s">
        <v>268</v>
      </c>
      <c r="AE923" s="23" t="n">
        <f>10</f>
        <v>10.0</v>
      </c>
    </row>
    <row r="924">
      <c r="A924" s="24" t="s">
        <v>1881</v>
      </c>
      <c r="B924" s="25" t="s">
        <v>1882</v>
      </c>
      <c r="C924" s="26" t="s">
        <v>1752</v>
      </c>
      <c r="D924" s="27" t="s">
        <v>1753</v>
      </c>
      <c r="E924" s="28" t="s">
        <v>284</v>
      </c>
      <c r="F924" s="20" t="n">
        <f>123</f>
        <v>123.0</v>
      </c>
      <c r="G924" s="21" t="n">
        <f>22300</f>
        <v>22300.0</v>
      </c>
      <c r="H924" s="21"/>
      <c r="I924" s="21" t="str">
        <f>"－"</f>
        <v>－</v>
      </c>
      <c r="J924" s="21" t="n">
        <f>181</f>
        <v>181.0</v>
      </c>
      <c r="K924" s="21" t="str">
        <f>"－"</f>
        <v>－</v>
      </c>
      <c r="L924" s="4" t="s">
        <v>1339</v>
      </c>
      <c r="M924" s="22" t="n">
        <f>280</f>
        <v>280.0</v>
      </c>
      <c r="N924" s="5" t="s">
        <v>1144</v>
      </c>
      <c r="O924" s="23" t="n">
        <f>160</f>
        <v>160.0</v>
      </c>
      <c r="P924" s="3" t="s">
        <v>1903</v>
      </c>
      <c r="Q924" s="21"/>
      <c r="R924" s="3" t="s">
        <v>247</v>
      </c>
      <c r="S924" s="21" t="n">
        <f>29514715</f>
        <v>2.9514715E7</v>
      </c>
      <c r="T924" s="21" t="str">
        <f>"－"</f>
        <v>－</v>
      </c>
      <c r="U924" s="5" t="s">
        <v>270</v>
      </c>
      <c r="V924" s="23" t="n">
        <f>255325000</f>
        <v>2.55325E8</v>
      </c>
      <c r="W924" s="5" t="s">
        <v>285</v>
      </c>
      <c r="X924" s="23" t="n">
        <f>9250000</f>
        <v>9250000.0</v>
      </c>
      <c r="Y924" s="23" t="str">
        <f>"－"</f>
        <v>－</v>
      </c>
      <c r="Z924" s="21" t="str">
        <f>"－"</f>
        <v>－</v>
      </c>
      <c r="AA924" s="21" t="n">
        <f>120</f>
        <v>120.0</v>
      </c>
      <c r="AB924" s="4" t="s">
        <v>568</v>
      </c>
      <c r="AC924" s="22" t="n">
        <f>220</f>
        <v>220.0</v>
      </c>
      <c r="AD924" s="5" t="s">
        <v>268</v>
      </c>
      <c r="AE924" s="23" t="n">
        <f>20</f>
        <v>20.0</v>
      </c>
    </row>
    <row r="925">
      <c r="A925" s="24" t="s">
        <v>1881</v>
      </c>
      <c r="B925" s="25" t="s">
        <v>1882</v>
      </c>
      <c r="C925" s="26" t="s">
        <v>1744</v>
      </c>
      <c r="D925" s="27" t="s">
        <v>1745</v>
      </c>
      <c r="E925" s="28" t="s">
        <v>288</v>
      </c>
      <c r="F925" s="20" t="n">
        <f>124</f>
        <v>124.0</v>
      </c>
      <c r="G925" s="21" t="n">
        <f>10370</f>
        <v>10370.0</v>
      </c>
      <c r="H925" s="21"/>
      <c r="I925" s="21" t="str">
        <f>"－"</f>
        <v>－</v>
      </c>
      <c r="J925" s="21" t="n">
        <f>84</f>
        <v>84.0</v>
      </c>
      <c r="K925" s="21" t="str">
        <f>"－"</f>
        <v>－</v>
      </c>
      <c r="L925" s="4" t="s">
        <v>310</v>
      </c>
      <c r="M925" s="22" t="n">
        <f>180</f>
        <v>180.0</v>
      </c>
      <c r="N925" s="5" t="s">
        <v>335</v>
      </c>
      <c r="O925" s="23" t="n">
        <f>80</f>
        <v>80.0</v>
      </c>
      <c r="P925" s="3" t="s">
        <v>1904</v>
      </c>
      <c r="Q925" s="21"/>
      <c r="R925" s="3" t="s">
        <v>247</v>
      </c>
      <c r="S925" s="21" t="n">
        <f>14965927</f>
        <v>1.4965927E7</v>
      </c>
      <c r="T925" s="21" t="str">
        <f>"－"</f>
        <v>－</v>
      </c>
      <c r="U925" s="5" t="s">
        <v>1123</v>
      </c>
      <c r="V925" s="23" t="n">
        <f>35250000</f>
        <v>3.525E7</v>
      </c>
      <c r="W925" s="5" t="s">
        <v>1077</v>
      </c>
      <c r="X925" s="23" t="n">
        <f>4000000</f>
        <v>4000000.0</v>
      </c>
      <c r="Y925" s="23" t="str">
        <f>"－"</f>
        <v>－</v>
      </c>
      <c r="Z925" s="21" t="str">
        <f>"－"</f>
        <v>－</v>
      </c>
      <c r="AA925" s="21" t="n">
        <f>60</f>
        <v>60.0</v>
      </c>
      <c r="AB925" s="4" t="s">
        <v>310</v>
      </c>
      <c r="AC925" s="22" t="n">
        <f>85</f>
        <v>85.0</v>
      </c>
      <c r="AD925" s="5" t="s">
        <v>263</v>
      </c>
      <c r="AE925" s="23" t="n">
        <f>10</f>
        <v>10.0</v>
      </c>
    </row>
    <row r="926">
      <c r="A926" s="24" t="s">
        <v>1881</v>
      </c>
      <c r="B926" s="25" t="s">
        <v>1882</v>
      </c>
      <c r="C926" s="26" t="s">
        <v>1748</v>
      </c>
      <c r="D926" s="27" t="s">
        <v>1749</v>
      </c>
      <c r="E926" s="28" t="s">
        <v>288</v>
      </c>
      <c r="F926" s="20" t="n">
        <f>124</f>
        <v>124.0</v>
      </c>
      <c r="G926" s="21" t="n">
        <f>10672</f>
        <v>10672.0</v>
      </c>
      <c r="H926" s="21"/>
      <c r="I926" s="21" t="str">
        <f>"－"</f>
        <v>－</v>
      </c>
      <c r="J926" s="21" t="n">
        <f>86</f>
        <v>86.0</v>
      </c>
      <c r="K926" s="21" t="str">
        <f>"－"</f>
        <v>－</v>
      </c>
      <c r="L926" s="4" t="s">
        <v>754</v>
      </c>
      <c r="M926" s="22" t="n">
        <f>292</f>
        <v>292.0</v>
      </c>
      <c r="N926" s="5" t="s">
        <v>335</v>
      </c>
      <c r="O926" s="23" t="n">
        <f>80</f>
        <v>80.0</v>
      </c>
      <c r="P926" s="3" t="s">
        <v>1905</v>
      </c>
      <c r="Q926" s="21"/>
      <c r="R926" s="3" t="s">
        <v>247</v>
      </c>
      <c r="S926" s="21" t="n">
        <f>22223508</f>
        <v>2.2223508E7</v>
      </c>
      <c r="T926" s="21" t="str">
        <f>"－"</f>
        <v>－</v>
      </c>
      <c r="U926" s="5" t="s">
        <v>263</v>
      </c>
      <c r="V926" s="23" t="n">
        <f>329390000</f>
        <v>3.2939E8</v>
      </c>
      <c r="W926" s="5" t="s">
        <v>927</v>
      </c>
      <c r="X926" s="23" t="n">
        <f>1850000</f>
        <v>1850000.0</v>
      </c>
      <c r="Y926" s="23" t="str">
        <f>"－"</f>
        <v>－</v>
      </c>
      <c r="Z926" s="21" t="str">
        <f>"－"</f>
        <v>－</v>
      </c>
      <c r="AA926" s="21" t="n">
        <f>222</f>
        <v>222.0</v>
      </c>
      <c r="AB926" s="4" t="s">
        <v>520</v>
      </c>
      <c r="AC926" s="22" t="n">
        <f>222</f>
        <v>222.0</v>
      </c>
      <c r="AD926" s="5" t="s">
        <v>263</v>
      </c>
      <c r="AE926" s="23" t="n">
        <f>10</f>
        <v>10.0</v>
      </c>
    </row>
    <row r="927">
      <c r="A927" s="24" t="s">
        <v>1881</v>
      </c>
      <c r="B927" s="25" t="s">
        <v>1882</v>
      </c>
      <c r="C927" s="26" t="s">
        <v>1752</v>
      </c>
      <c r="D927" s="27" t="s">
        <v>1753</v>
      </c>
      <c r="E927" s="28" t="s">
        <v>288</v>
      </c>
      <c r="F927" s="20" t="n">
        <f>124</f>
        <v>124.0</v>
      </c>
      <c r="G927" s="21" t="n">
        <f>21042</f>
        <v>21042.0</v>
      </c>
      <c r="H927" s="21"/>
      <c r="I927" s="21" t="str">
        <f>"－"</f>
        <v>－</v>
      </c>
      <c r="J927" s="21" t="n">
        <f>170</f>
        <v>170.0</v>
      </c>
      <c r="K927" s="21" t="str">
        <f>"－"</f>
        <v>－</v>
      </c>
      <c r="L927" s="4" t="s">
        <v>754</v>
      </c>
      <c r="M927" s="22" t="n">
        <f>422</f>
        <v>422.0</v>
      </c>
      <c r="N927" s="5" t="s">
        <v>335</v>
      </c>
      <c r="O927" s="23" t="n">
        <f>160</f>
        <v>160.0</v>
      </c>
      <c r="P927" s="3" t="s">
        <v>1906</v>
      </c>
      <c r="Q927" s="21"/>
      <c r="R927" s="3" t="s">
        <v>247</v>
      </c>
      <c r="S927" s="21" t="n">
        <f>37189435</f>
        <v>3.7189435E7</v>
      </c>
      <c r="T927" s="21" t="str">
        <f>"－"</f>
        <v>－</v>
      </c>
      <c r="U927" s="5" t="s">
        <v>263</v>
      </c>
      <c r="V927" s="23" t="n">
        <f>334940000</f>
        <v>3.3494E8</v>
      </c>
      <c r="W927" s="5" t="s">
        <v>248</v>
      </c>
      <c r="X927" s="23" t="n">
        <f>14100000</f>
        <v>1.41E7</v>
      </c>
      <c r="Y927" s="23" t="str">
        <f>"－"</f>
        <v>－</v>
      </c>
      <c r="Z927" s="21" t="str">
        <f>"－"</f>
        <v>－</v>
      </c>
      <c r="AA927" s="21" t="n">
        <f>282</f>
        <v>282.0</v>
      </c>
      <c r="AB927" s="4" t="s">
        <v>520</v>
      </c>
      <c r="AC927" s="22" t="n">
        <f>282</f>
        <v>282.0</v>
      </c>
      <c r="AD927" s="5" t="s">
        <v>263</v>
      </c>
      <c r="AE927" s="23" t="n">
        <f>20</f>
        <v>20.0</v>
      </c>
    </row>
    <row r="928">
      <c r="A928" s="24" t="s">
        <v>1881</v>
      </c>
      <c r="B928" s="25" t="s">
        <v>1882</v>
      </c>
      <c r="C928" s="26" t="s">
        <v>1744</v>
      </c>
      <c r="D928" s="27" t="s">
        <v>1745</v>
      </c>
      <c r="E928" s="28" t="s">
        <v>291</v>
      </c>
      <c r="F928" s="20" t="n">
        <f>122</f>
        <v>122.0</v>
      </c>
      <c r="G928" s="21" t="n">
        <f>5167</f>
        <v>5167.0</v>
      </c>
      <c r="H928" s="21"/>
      <c r="I928" s="21" t="str">
        <f>"－"</f>
        <v>－</v>
      </c>
      <c r="J928" s="21" t="n">
        <f>42</f>
        <v>42.0</v>
      </c>
      <c r="K928" s="21" t="str">
        <f>"－"</f>
        <v>－</v>
      </c>
      <c r="L928" s="4" t="s">
        <v>1495</v>
      </c>
      <c r="M928" s="22" t="n">
        <f>90</f>
        <v>90.0</v>
      </c>
      <c r="N928" s="5" t="s">
        <v>568</v>
      </c>
      <c r="O928" s="23" t="n">
        <f>22</f>
        <v>22.0</v>
      </c>
      <c r="P928" s="3" t="s">
        <v>1907</v>
      </c>
      <c r="Q928" s="21"/>
      <c r="R928" s="3" t="s">
        <v>247</v>
      </c>
      <c r="S928" s="21" t="n">
        <f>10042008</f>
        <v>1.0042008E7</v>
      </c>
      <c r="T928" s="21" t="str">
        <f>"－"</f>
        <v>－</v>
      </c>
      <c r="U928" s="5" t="s">
        <v>593</v>
      </c>
      <c r="V928" s="23" t="n">
        <f>43450000</f>
        <v>4.345E7</v>
      </c>
      <c r="W928" s="5" t="s">
        <v>568</v>
      </c>
      <c r="X928" s="23" t="n">
        <f>1900000</f>
        <v>1900000.0</v>
      </c>
      <c r="Y928" s="23" t="n">
        <f>1</f>
        <v>1.0</v>
      </c>
      <c r="Z928" s="21" t="str">
        <f>"－"</f>
        <v>－</v>
      </c>
      <c r="AA928" s="21" t="n">
        <f>1</f>
        <v>1.0</v>
      </c>
      <c r="AB928" s="4" t="s">
        <v>1144</v>
      </c>
      <c r="AC928" s="22" t="n">
        <f>96</f>
        <v>96.0</v>
      </c>
      <c r="AD928" s="5" t="s">
        <v>862</v>
      </c>
      <c r="AE928" s="23" t="str">
        <f>"－"</f>
        <v>－</v>
      </c>
    </row>
    <row r="929">
      <c r="A929" s="24" t="s">
        <v>1881</v>
      </c>
      <c r="B929" s="25" t="s">
        <v>1882</v>
      </c>
      <c r="C929" s="26" t="s">
        <v>1748</v>
      </c>
      <c r="D929" s="27" t="s">
        <v>1749</v>
      </c>
      <c r="E929" s="28" t="s">
        <v>291</v>
      </c>
      <c r="F929" s="20" t="n">
        <f>122</f>
        <v>122.0</v>
      </c>
      <c r="G929" s="21" t="n">
        <f>5338</f>
        <v>5338.0</v>
      </c>
      <c r="H929" s="21"/>
      <c r="I929" s="21" t="str">
        <f>"－"</f>
        <v>－</v>
      </c>
      <c r="J929" s="21" t="n">
        <f>44</f>
        <v>44.0</v>
      </c>
      <c r="K929" s="21" t="str">
        <f>"－"</f>
        <v>－</v>
      </c>
      <c r="L929" s="4" t="s">
        <v>260</v>
      </c>
      <c r="M929" s="22" t="n">
        <f>242</f>
        <v>242.0</v>
      </c>
      <c r="N929" s="5" t="s">
        <v>1316</v>
      </c>
      <c r="O929" s="23" t="n">
        <f>30</f>
        <v>30.0</v>
      </c>
      <c r="P929" s="3" t="s">
        <v>1908</v>
      </c>
      <c r="Q929" s="21"/>
      <c r="R929" s="3" t="s">
        <v>247</v>
      </c>
      <c r="S929" s="21" t="n">
        <f>12313934</f>
        <v>1.2313934E7</v>
      </c>
      <c r="T929" s="21" t="str">
        <f>"－"</f>
        <v>－</v>
      </c>
      <c r="U929" s="5" t="s">
        <v>260</v>
      </c>
      <c r="V929" s="23" t="n">
        <f>307200000</f>
        <v>3.072E8</v>
      </c>
      <c r="W929" s="5" t="s">
        <v>330</v>
      </c>
      <c r="X929" s="23" t="n">
        <f>1590000</f>
        <v>1590000.0</v>
      </c>
      <c r="Y929" s="23" t="str">
        <f>"－"</f>
        <v>－</v>
      </c>
      <c r="Z929" s="21" t="str">
        <f>"－"</f>
        <v>－</v>
      </c>
      <c r="AA929" s="21" t="n">
        <f>1</f>
        <v>1.0</v>
      </c>
      <c r="AB929" s="4" t="s">
        <v>279</v>
      </c>
      <c r="AC929" s="22" t="n">
        <f>172</f>
        <v>172.0</v>
      </c>
      <c r="AD929" s="5" t="s">
        <v>202</v>
      </c>
      <c r="AE929" s="23" t="n">
        <f>1</f>
        <v>1.0</v>
      </c>
    </row>
    <row r="930">
      <c r="A930" s="24" t="s">
        <v>1881</v>
      </c>
      <c r="B930" s="25" t="s">
        <v>1882</v>
      </c>
      <c r="C930" s="26" t="s">
        <v>1752</v>
      </c>
      <c r="D930" s="27" t="s">
        <v>1753</v>
      </c>
      <c r="E930" s="28" t="s">
        <v>291</v>
      </c>
      <c r="F930" s="20" t="n">
        <f>122</f>
        <v>122.0</v>
      </c>
      <c r="G930" s="21" t="n">
        <f>10505</f>
        <v>10505.0</v>
      </c>
      <c r="H930" s="21"/>
      <c r="I930" s="21" t="str">
        <f>"－"</f>
        <v>－</v>
      </c>
      <c r="J930" s="21" t="n">
        <f>86</f>
        <v>86.0</v>
      </c>
      <c r="K930" s="21" t="str">
        <f>"－"</f>
        <v>－</v>
      </c>
      <c r="L930" s="4" t="s">
        <v>260</v>
      </c>
      <c r="M930" s="22" t="n">
        <f>322</f>
        <v>322.0</v>
      </c>
      <c r="N930" s="5" t="s">
        <v>568</v>
      </c>
      <c r="O930" s="23" t="n">
        <f>58</f>
        <v>58.0</v>
      </c>
      <c r="P930" s="3" t="s">
        <v>1909</v>
      </c>
      <c r="Q930" s="21"/>
      <c r="R930" s="3" t="s">
        <v>247</v>
      </c>
      <c r="S930" s="21" t="n">
        <f>22355943</f>
        <v>2.2355943E7</v>
      </c>
      <c r="T930" s="21" t="str">
        <f>"－"</f>
        <v>－</v>
      </c>
      <c r="U930" s="5" t="s">
        <v>260</v>
      </c>
      <c r="V930" s="23" t="n">
        <f>328300000</f>
        <v>3.283E8</v>
      </c>
      <c r="W930" s="5" t="s">
        <v>330</v>
      </c>
      <c r="X930" s="23" t="n">
        <f>6110000</f>
        <v>6110000.0</v>
      </c>
      <c r="Y930" s="23" t="n">
        <f>1</f>
        <v>1.0</v>
      </c>
      <c r="Z930" s="21" t="str">
        <f>"－"</f>
        <v>－</v>
      </c>
      <c r="AA930" s="21" t="n">
        <f>2</f>
        <v>2.0</v>
      </c>
      <c r="AB930" s="4" t="s">
        <v>1144</v>
      </c>
      <c r="AC930" s="22" t="n">
        <f>207</f>
        <v>207.0</v>
      </c>
      <c r="AD930" s="5" t="s">
        <v>202</v>
      </c>
      <c r="AE930" s="23" t="n">
        <f>2</f>
        <v>2.0</v>
      </c>
    </row>
    <row r="931">
      <c r="A931" s="24" t="s">
        <v>1881</v>
      </c>
      <c r="B931" s="25" t="s">
        <v>1882</v>
      </c>
      <c r="C931" s="26" t="s">
        <v>1744</v>
      </c>
      <c r="D931" s="27" t="s">
        <v>1745</v>
      </c>
      <c r="E931" s="28" t="s">
        <v>295</v>
      </c>
      <c r="F931" s="20" t="n">
        <f>125</f>
        <v>125.0</v>
      </c>
      <c r="G931" s="21" t="n">
        <f>4072</f>
        <v>4072.0</v>
      </c>
      <c r="H931" s="21"/>
      <c r="I931" s="21" t="str">
        <f>"－"</f>
        <v>－</v>
      </c>
      <c r="J931" s="21" t="n">
        <f>33</f>
        <v>33.0</v>
      </c>
      <c r="K931" s="21" t="str">
        <f>"－"</f>
        <v>－</v>
      </c>
      <c r="L931" s="4" t="s">
        <v>140</v>
      </c>
      <c r="M931" s="22" t="n">
        <f>52</f>
        <v>52.0</v>
      </c>
      <c r="N931" s="5" t="s">
        <v>335</v>
      </c>
      <c r="O931" s="23" t="n">
        <f>32</f>
        <v>32.0</v>
      </c>
      <c r="P931" s="3" t="s">
        <v>1910</v>
      </c>
      <c r="Q931" s="21"/>
      <c r="R931" s="3" t="s">
        <v>247</v>
      </c>
      <c r="S931" s="21" t="n">
        <f>5418440</f>
        <v>5418440.0</v>
      </c>
      <c r="T931" s="21" t="str">
        <f>"－"</f>
        <v>－</v>
      </c>
      <c r="U931" s="5" t="s">
        <v>731</v>
      </c>
      <c r="V931" s="23" t="n">
        <f>13190000</f>
        <v>1.319E7</v>
      </c>
      <c r="W931" s="5" t="s">
        <v>496</v>
      </c>
      <c r="X931" s="23" t="n">
        <f>1460000</f>
        <v>1460000.0</v>
      </c>
      <c r="Y931" s="23" t="str">
        <f>"－"</f>
        <v>－</v>
      </c>
      <c r="Z931" s="21" t="str">
        <f>"－"</f>
        <v>－</v>
      </c>
      <c r="AA931" s="21" t="n">
        <f>21</f>
        <v>21.0</v>
      </c>
      <c r="AB931" s="4" t="s">
        <v>1148</v>
      </c>
      <c r="AC931" s="22" t="n">
        <f>23</f>
        <v>23.0</v>
      </c>
      <c r="AD931" s="5" t="s">
        <v>751</v>
      </c>
      <c r="AE931" s="23" t="n">
        <f>1</f>
        <v>1.0</v>
      </c>
    </row>
    <row r="932">
      <c r="A932" s="24" t="s">
        <v>1881</v>
      </c>
      <c r="B932" s="25" t="s">
        <v>1882</v>
      </c>
      <c r="C932" s="26" t="s">
        <v>1748</v>
      </c>
      <c r="D932" s="27" t="s">
        <v>1749</v>
      </c>
      <c r="E932" s="28" t="s">
        <v>295</v>
      </c>
      <c r="F932" s="20" t="n">
        <f>125</f>
        <v>125.0</v>
      </c>
      <c r="G932" s="21" t="n">
        <f>5889</f>
        <v>5889.0</v>
      </c>
      <c r="H932" s="21"/>
      <c r="I932" s="21" t="str">
        <f>"－"</f>
        <v>－</v>
      </c>
      <c r="J932" s="21" t="n">
        <f>47</f>
        <v>47.0</v>
      </c>
      <c r="K932" s="21" t="str">
        <f>"－"</f>
        <v>－</v>
      </c>
      <c r="L932" s="4" t="s">
        <v>317</v>
      </c>
      <c r="M932" s="22" t="n">
        <f>332</f>
        <v>332.0</v>
      </c>
      <c r="N932" s="5" t="s">
        <v>335</v>
      </c>
      <c r="O932" s="23" t="n">
        <f>32</f>
        <v>32.0</v>
      </c>
      <c r="P932" s="3" t="s">
        <v>1911</v>
      </c>
      <c r="Q932" s="21"/>
      <c r="R932" s="3" t="s">
        <v>247</v>
      </c>
      <c r="S932" s="21" t="n">
        <f>5711480</f>
        <v>5711480.0</v>
      </c>
      <c r="T932" s="21" t="str">
        <f>"－"</f>
        <v>－</v>
      </c>
      <c r="U932" s="5" t="s">
        <v>224</v>
      </c>
      <c r="V932" s="23" t="n">
        <f>32295000</f>
        <v>3.2295E7</v>
      </c>
      <c r="W932" s="5" t="s">
        <v>869</v>
      </c>
      <c r="X932" s="23" t="n">
        <f>550000</f>
        <v>550000.0</v>
      </c>
      <c r="Y932" s="23" t="n">
        <f>6</f>
        <v>6.0</v>
      </c>
      <c r="Z932" s="21" t="str">
        <f>"－"</f>
        <v>－</v>
      </c>
      <c r="AA932" s="21" t="n">
        <f>21</f>
        <v>21.0</v>
      </c>
      <c r="AB932" s="4" t="s">
        <v>1306</v>
      </c>
      <c r="AC932" s="22" t="n">
        <f>429</f>
        <v>429.0</v>
      </c>
      <c r="AD932" s="5" t="s">
        <v>751</v>
      </c>
      <c r="AE932" s="23" t="n">
        <f>1</f>
        <v>1.0</v>
      </c>
    </row>
    <row r="933">
      <c r="A933" s="24" t="s">
        <v>1881</v>
      </c>
      <c r="B933" s="25" t="s">
        <v>1882</v>
      </c>
      <c r="C933" s="26" t="s">
        <v>1752</v>
      </c>
      <c r="D933" s="27" t="s">
        <v>1753</v>
      </c>
      <c r="E933" s="28" t="s">
        <v>295</v>
      </c>
      <c r="F933" s="20" t="n">
        <f>125</f>
        <v>125.0</v>
      </c>
      <c r="G933" s="21" t="n">
        <f>9961</f>
        <v>9961.0</v>
      </c>
      <c r="H933" s="21"/>
      <c r="I933" s="21" t="str">
        <f>"－"</f>
        <v>－</v>
      </c>
      <c r="J933" s="21" t="n">
        <f>80</f>
        <v>80.0</v>
      </c>
      <c r="K933" s="21" t="str">
        <f>"－"</f>
        <v>－</v>
      </c>
      <c r="L933" s="4" t="s">
        <v>317</v>
      </c>
      <c r="M933" s="22" t="n">
        <f>364</f>
        <v>364.0</v>
      </c>
      <c r="N933" s="5" t="s">
        <v>335</v>
      </c>
      <c r="O933" s="23" t="n">
        <f>64</f>
        <v>64.0</v>
      </c>
      <c r="P933" s="3" t="s">
        <v>1912</v>
      </c>
      <c r="Q933" s="21"/>
      <c r="R933" s="3" t="s">
        <v>247</v>
      </c>
      <c r="S933" s="21" t="n">
        <f>11129920</f>
        <v>1.112992E7</v>
      </c>
      <c r="T933" s="21" t="str">
        <f>"－"</f>
        <v>－</v>
      </c>
      <c r="U933" s="5" t="s">
        <v>224</v>
      </c>
      <c r="V933" s="23" t="n">
        <f>37795000</f>
        <v>3.7795E7</v>
      </c>
      <c r="W933" s="5" t="s">
        <v>1913</v>
      </c>
      <c r="X933" s="23" t="n">
        <f>4325000</f>
        <v>4325000.0</v>
      </c>
      <c r="Y933" s="23" t="n">
        <f>6</f>
        <v>6.0</v>
      </c>
      <c r="Z933" s="21" t="str">
        <f>"－"</f>
        <v>－</v>
      </c>
      <c r="AA933" s="21" t="n">
        <f>42</f>
        <v>42.0</v>
      </c>
      <c r="AB933" s="4" t="s">
        <v>1306</v>
      </c>
      <c r="AC933" s="22" t="n">
        <f>450</f>
        <v>450.0</v>
      </c>
      <c r="AD933" s="5" t="s">
        <v>751</v>
      </c>
      <c r="AE933" s="23" t="n">
        <f>2</f>
        <v>2.0</v>
      </c>
    </row>
    <row r="934">
      <c r="A934" s="24" t="s">
        <v>1881</v>
      </c>
      <c r="B934" s="25" t="s">
        <v>1882</v>
      </c>
      <c r="C934" s="26" t="s">
        <v>1744</v>
      </c>
      <c r="D934" s="27" t="s">
        <v>1745</v>
      </c>
      <c r="E934" s="28" t="s">
        <v>297</v>
      </c>
      <c r="F934" s="20" t="n">
        <f>122</f>
        <v>122.0</v>
      </c>
      <c r="G934" s="21" t="n">
        <f>4340</f>
        <v>4340.0</v>
      </c>
      <c r="H934" s="21"/>
      <c r="I934" s="21" t="str">
        <f>"－"</f>
        <v>－</v>
      </c>
      <c r="J934" s="21" t="n">
        <f>36</f>
        <v>36.0</v>
      </c>
      <c r="K934" s="21" t="str">
        <f>"－"</f>
        <v>－</v>
      </c>
      <c r="L934" s="4" t="s">
        <v>65</v>
      </c>
      <c r="M934" s="22" t="n">
        <f>633</f>
        <v>633.0</v>
      </c>
      <c r="N934" s="5" t="s">
        <v>54</v>
      </c>
      <c r="O934" s="23" t="n">
        <f>12</f>
        <v>12.0</v>
      </c>
      <c r="P934" s="3" t="s">
        <v>1914</v>
      </c>
      <c r="Q934" s="21"/>
      <c r="R934" s="3" t="s">
        <v>247</v>
      </c>
      <c r="S934" s="21" t="n">
        <f>8845451</f>
        <v>8845451.0</v>
      </c>
      <c r="T934" s="21" t="str">
        <f>"－"</f>
        <v>－</v>
      </c>
      <c r="U934" s="5" t="s">
        <v>259</v>
      </c>
      <c r="V934" s="23" t="n">
        <f>319650000</f>
        <v>3.1965E8</v>
      </c>
      <c r="W934" s="5" t="s">
        <v>285</v>
      </c>
      <c r="X934" s="23" t="n">
        <f>210000</f>
        <v>210000.0</v>
      </c>
      <c r="Y934" s="23" t="n">
        <f>1211</f>
        <v>1211.0</v>
      </c>
      <c r="Z934" s="21" t="str">
        <f>"－"</f>
        <v>－</v>
      </c>
      <c r="AA934" s="21" t="n">
        <f>10</f>
        <v>10.0</v>
      </c>
      <c r="AB934" s="4" t="s">
        <v>1320</v>
      </c>
      <c r="AC934" s="22" t="n">
        <f>1232</f>
        <v>1232.0</v>
      </c>
      <c r="AD934" s="5" t="s">
        <v>82</v>
      </c>
      <c r="AE934" s="23" t="n">
        <f>1</f>
        <v>1.0</v>
      </c>
    </row>
    <row r="935">
      <c r="A935" s="24" t="s">
        <v>1881</v>
      </c>
      <c r="B935" s="25" t="s">
        <v>1882</v>
      </c>
      <c r="C935" s="26" t="s">
        <v>1748</v>
      </c>
      <c r="D935" s="27" t="s">
        <v>1749</v>
      </c>
      <c r="E935" s="28" t="s">
        <v>297</v>
      </c>
      <c r="F935" s="20" t="n">
        <f>122</f>
        <v>122.0</v>
      </c>
      <c r="G935" s="21" t="n">
        <f>4501</f>
        <v>4501.0</v>
      </c>
      <c r="H935" s="21"/>
      <c r="I935" s="21" t="str">
        <f>"－"</f>
        <v>－</v>
      </c>
      <c r="J935" s="21" t="n">
        <f>37</f>
        <v>37.0</v>
      </c>
      <c r="K935" s="21" t="str">
        <f>"－"</f>
        <v>－</v>
      </c>
      <c r="L935" s="4" t="s">
        <v>65</v>
      </c>
      <c r="M935" s="22" t="n">
        <f>634</f>
        <v>634.0</v>
      </c>
      <c r="N935" s="5" t="s">
        <v>54</v>
      </c>
      <c r="O935" s="23" t="n">
        <f>12</f>
        <v>12.0</v>
      </c>
      <c r="P935" s="3" t="s">
        <v>1915</v>
      </c>
      <c r="Q935" s="21"/>
      <c r="R935" s="3" t="s">
        <v>247</v>
      </c>
      <c r="S935" s="21" t="n">
        <f>5951434</f>
        <v>5951434.0</v>
      </c>
      <c r="T935" s="21" t="str">
        <f>"－"</f>
        <v>－</v>
      </c>
      <c r="U935" s="5" t="s">
        <v>65</v>
      </c>
      <c r="V935" s="23" t="n">
        <f>131030000</f>
        <v>1.3103E8</v>
      </c>
      <c r="W935" s="5" t="s">
        <v>634</v>
      </c>
      <c r="X935" s="23" t="n">
        <f>200000</f>
        <v>200000.0</v>
      </c>
      <c r="Y935" s="23" t="str">
        <f>"－"</f>
        <v>－</v>
      </c>
      <c r="Z935" s="21" t="str">
        <f>"－"</f>
        <v>－</v>
      </c>
      <c r="AA935" s="21" t="n">
        <f>10</f>
        <v>10.0</v>
      </c>
      <c r="AB935" s="4" t="s">
        <v>65</v>
      </c>
      <c r="AC935" s="22" t="n">
        <f>693</f>
        <v>693.0</v>
      </c>
      <c r="AD935" s="5" t="s">
        <v>82</v>
      </c>
      <c r="AE935" s="23" t="n">
        <f>1</f>
        <v>1.0</v>
      </c>
    </row>
    <row r="936">
      <c r="A936" s="24" t="s">
        <v>1881</v>
      </c>
      <c r="B936" s="25" t="s">
        <v>1882</v>
      </c>
      <c r="C936" s="26" t="s">
        <v>1752</v>
      </c>
      <c r="D936" s="27" t="s">
        <v>1753</v>
      </c>
      <c r="E936" s="28" t="s">
        <v>297</v>
      </c>
      <c r="F936" s="20" t="n">
        <f>122</f>
        <v>122.0</v>
      </c>
      <c r="G936" s="21" t="n">
        <f>8841</f>
        <v>8841.0</v>
      </c>
      <c r="H936" s="21"/>
      <c r="I936" s="21" t="str">
        <f>"－"</f>
        <v>－</v>
      </c>
      <c r="J936" s="21" t="n">
        <f>72</f>
        <v>72.0</v>
      </c>
      <c r="K936" s="21" t="str">
        <f>"－"</f>
        <v>－</v>
      </c>
      <c r="L936" s="4" t="s">
        <v>65</v>
      </c>
      <c r="M936" s="22" t="n">
        <f>1267</f>
        <v>1267.0</v>
      </c>
      <c r="N936" s="5" t="s">
        <v>54</v>
      </c>
      <c r="O936" s="23" t="n">
        <f>24</f>
        <v>24.0</v>
      </c>
      <c r="P936" s="3" t="s">
        <v>1916</v>
      </c>
      <c r="Q936" s="21"/>
      <c r="R936" s="3" t="s">
        <v>247</v>
      </c>
      <c r="S936" s="21" t="n">
        <f>14796885</f>
        <v>1.4796885E7</v>
      </c>
      <c r="T936" s="21" t="str">
        <f>"－"</f>
        <v>－</v>
      </c>
      <c r="U936" s="5" t="s">
        <v>65</v>
      </c>
      <c r="V936" s="23" t="n">
        <f>358510000</f>
        <v>3.5851E8</v>
      </c>
      <c r="W936" s="5" t="s">
        <v>285</v>
      </c>
      <c r="X936" s="23" t="n">
        <f>610000</f>
        <v>610000.0</v>
      </c>
      <c r="Y936" s="23" t="n">
        <f>1211</f>
        <v>1211.0</v>
      </c>
      <c r="Z936" s="21" t="str">
        <f>"－"</f>
        <v>－</v>
      </c>
      <c r="AA936" s="21" t="n">
        <f>20</f>
        <v>20.0</v>
      </c>
      <c r="AB936" s="4" t="s">
        <v>65</v>
      </c>
      <c r="AC936" s="22" t="n">
        <f>1315</f>
        <v>1315.0</v>
      </c>
      <c r="AD936" s="5" t="s">
        <v>82</v>
      </c>
      <c r="AE936" s="23" t="n">
        <f>2</f>
        <v>2.0</v>
      </c>
    </row>
    <row r="937">
      <c r="A937" s="24" t="s">
        <v>1881</v>
      </c>
      <c r="B937" s="25" t="s">
        <v>1882</v>
      </c>
      <c r="C937" s="26" t="s">
        <v>1744</v>
      </c>
      <c r="D937" s="27" t="s">
        <v>1745</v>
      </c>
      <c r="E937" s="28" t="s">
        <v>301</v>
      </c>
      <c r="F937" s="20" t="n">
        <f>126</f>
        <v>126.0</v>
      </c>
      <c r="G937" s="21" t="n">
        <f>2887</f>
        <v>2887.0</v>
      </c>
      <c r="H937" s="21"/>
      <c r="I937" s="21" t="str">
        <f>"－"</f>
        <v>－</v>
      </c>
      <c r="J937" s="21" t="n">
        <f>23</f>
        <v>23.0</v>
      </c>
      <c r="K937" s="21" t="str">
        <f>"－"</f>
        <v>－</v>
      </c>
      <c r="L937" s="4" t="s">
        <v>100</v>
      </c>
      <c r="M937" s="22" t="n">
        <f>42</f>
        <v>42.0</v>
      </c>
      <c r="N937" s="5" t="s">
        <v>751</v>
      </c>
      <c r="O937" s="23" t="n">
        <f>21</f>
        <v>21.0</v>
      </c>
      <c r="P937" s="3" t="s">
        <v>1917</v>
      </c>
      <c r="Q937" s="21"/>
      <c r="R937" s="3" t="s">
        <v>247</v>
      </c>
      <c r="S937" s="21" t="n">
        <f>6060278</f>
        <v>6060278.0</v>
      </c>
      <c r="T937" s="21" t="str">
        <f>"－"</f>
        <v>－</v>
      </c>
      <c r="U937" s="5" t="s">
        <v>88</v>
      </c>
      <c r="V937" s="23" t="n">
        <f>15320000</f>
        <v>1.532E7</v>
      </c>
      <c r="W937" s="5" t="s">
        <v>549</v>
      </c>
      <c r="X937" s="23" t="n">
        <f>730000</f>
        <v>730000.0</v>
      </c>
      <c r="Y937" s="23" t="str">
        <f>"－"</f>
        <v>－</v>
      </c>
      <c r="Z937" s="21" t="str">
        <f>"－"</f>
        <v>－</v>
      </c>
      <c r="AA937" s="21" t="n">
        <f>1</f>
        <v>1.0</v>
      </c>
      <c r="AB937" s="4" t="s">
        <v>666</v>
      </c>
      <c r="AC937" s="22" t="n">
        <f>21</f>
        <v>21.0</v>
      </c>
      <c r="AD937" s="5" t="s">
        <v>672</v>
      </c>
      <c r="AE937" s="23" t="n">
        <f>1</f>
        <v>1.0</v>
      </c>
    </row>
    <row r="938">
      <c r="A938" s="24" t="s">
        <v>1881</v>
      </c>
      <c r="B938" s="25" t="s">
        <v>1882</v>
      </c>
      <c r="C938" s="26" t="s">
        <v>1748</v>
      </c>
      <c r="D938" s="27" t="s">
        <v>1749</v>
      </c>
      <c r="E938" s="28" t="s">
        <v>301</v>
      </c>
      <c r="F938" s="20" t="n">
        <f>126</f>
        <v>126.0</v>
      </c>
      <c r="G938" s="21" t="n">
        <f>7267</f>
        <v>7267.0</v>
      </c>
      <c r="H938" s="21"/>
      <c r="I938" s="21" t="str">
        <f>"－"</f>
        <v>－</v>
      </c>
      <c r="J938" s="21" t="n">
        <f>58</f>
        <v>58.0</v>
      </c>
      <c r="K938" s="21" t="str">
        <f>"－"</f>
        <v>－</v>
      </c>
      <c r="L938" s="4" t="s">
        <v>1306</v>
      </c>
      <c r="M938" s="22" t="n">
        <f>4388</f>
        <v>4388.0</v>
      </c>
      <c r="N938" s="5" t="s">
        <v>188</v>
      </c>
      <c r="O938" s="23" t="n">
        <f>21</f>
        <v>21.0</v>
      </c>
      <c r="P938" s="3" t="s">
        <v>1918</v>
      </c>
      <c r="Q938" s="21"/>
      <c r="R938" s="3" t="s">
        <v>247</v>
      </c>
      <c r="S938" s="21" t="n">
        <f>52018294</f>
        <v>5.2018294E7</v>
      </c>
      <c r="T938" s="21" t="str">
        <f>"－"</f>
        <v>－</v>
      </c>
      <c r="U938" s="5" t="s">
        <v>1306</v>
      </c>
      <c r="V938" s="23" t="n">
        <f>5689780000</f>
        <v>5.68978E9</v>
      </c>
      <c r="W938" s="5" t="s">
        <v>230</v>
      </c>
      <c r="X938" s="23" t="n">
        <f>530000</f>
        <v>530000.0</v>
      </c>
      <c r="Y938" s="23" t="n">
        <f>4366</f>
        <v>4366.0</v>
      </c>
      <c r="Z938" s="21" t="str">
        <f>"－"</f>
        <v>－</v>
      </c>
      <c r="AA938" s="21" t="n">
        <f>1</f>
        <v>1.0</v>
      </c>
      <c r="AB938" s="4" t="s">
        <v>666</v>
      </c>
      <c r="AC938" s="22" t="n">
        <f>21</f>
        <v>21.0</v>
      </c>
      <c r="AD938" s="5" t="s">
        <v>672</v>
      </c>
      <c r="AE938" s="23" t="n">
        <f>1</f>
        <v>1.0</v>
      </c>
    </row>
    <row r="939">
      <c r="A939" s="24" t="s">
        <v>1881</v>
      </c>
      <c r="B939" s="25" t="s">
        <v>1882</v>
      </c>
      <c r="C939" s="26" t="s">
        <v>1752</v>
      </c>
      <c r="D939" s="27" t="s">
        <v>1753</v>
      </c>
      <c r="E939" s="28" t="s">
        <v>301</v>
      </c>
      <c r="F939" s="20" t="n">
        <f>126</f>
        <v>126.0</v>
      </c>
      <c r="G939" s="21" t="n">
        <f>10154</f>
        <v>10154.0</v>
      </c>
      <c r="H939" s="21"/>
      <c r="I939" s="21" t="str">
        <f>"－"</f>
        <v>－</v>
      </c>
      <c r="J939" s="21" t="n">
        <f>81</f>
        <v>81.0</v>
      </c>
      <c r="K939" s="21" t="str">
        <f>"－"</f>
        <v>－</v>
      </c>
      <c r="L939" s="4" t="s">
        <v>1306</v>
      </c>
      <c r="M939" s="22" t="n">
        <f>4410</f>
        <v>4410.0</v>
      </c>
      <c r="N939" s="5" t="s">
        <v>188</v>
      </c>
      <c r="O939" s="23" t="n">
        <f>42</f>
        <v>42.0</v>
      </c>
      <c r="P939" s="3" t="s">
        <v>1919</v>
      </c>
      <c r="Q939" s="21"/>
      <c r="R939" s="3" t="s">
        <v>247</v>
      </c>
      <c r="S939" s="21" t="n">
        <f>58078571</f>
        <v>5.8078571E7</v>
      </c>
      <c r="T939" s="21" t="str">
        <f>"－"</f>
        <v>－</v>
      </c>
      <c r="U939" s="5" t="s">
        <v>1306</v>
      </c>
      <c r="V939" s="23" t="n">
        <f>5696650000</f>
        <v>5.69665E9</v>
      </c>
      <c r="W939" s="5" t="s">
        <v>549</v>
      </c>
      <c r="X939" s="23" t="n">
        <f>5890000</f>
        <v>5890000.0</v>
      </c>
      <c r="Y939" s="23" t="n">
        <f>4366</f>
        <v>4366.0</v>
      </c>
      <c r="Z939" s="21" t="str">
        <f>"－"</f>
        <v>－</v>
      </c>
      <c r="AA939" s="21" t="n">
        <f>2</f>
        <v>2.0</v>
      </c>
      <c r="AB939" s="4" t="s">
        <v>666</v>
      </c>
      <c r="AC939" s="22" t="n">
        <f>42</f>
        <v>42.0</v>
      </c>
      <c r="AD939" s="5" t="s">
        <v>672</v>
      </c>
      <c r="AE939" s="23" t="n">
        <f>2</f>
        <v>2.0</v>
      </c>
    </row>
    <row r="940">
      <c r="A940" s="24" t="s">
        <v>1881</v>
      </c>
      <c r="B940" s="25" t="s">
        <v>1882</v>
      </c>
      <c r="C940" s="26" t="s">
        <v>1744</v>
      </c>
      <c r="D940" s="27" t="s">
        <v>1745</v>
      </c>
      <c r="E940" s="28" t="s">
        <v>305</v>
      </c>
      <c r="F940" s="20" t="n">
        <f>121</f>
        <v>121.0</v>
      </c>
      <c r="G940" s="21" t="n">
        <f>3213</f>
        <v>3213.0</v>
      </c>
      <c r="H940" s="21"/>
      <c r="I940" s="21" t="str">
        <f>"－"</f>
        <v>－</v>
      </c>
      <c r="J940" s="21" t="n">
        <f>27</f>
        <v>27.0</v>
      </c>
      <c r="K940" s="21" t="str">
        <f>"－"</f>
        <v>－</v>
      </c>
      <c r="L940" s="4" t="s">
        <v>1920</v>
      </c>
      <c r="M940" s="22" t="n">
        <f>37</f>
        <v>37.0</v>
      </c>
      <c r="N940" s="5" t="s">
        <v>519</v>
      </c>
      <c r="O940" s="23" t="n">
        <f>22</f>
        <v>22.0</v>
      </c>
      <c r="P940" s="3" t="s">
        <v>1921</v>
      </c>
      <c r="Q940" s="21"/>
      <c r="R940" s="3" t="s">
        <v>247</v>
      </c>
      <c r="S940" s="21" t="n">
        <f>6286612</f>
        <v>6286612.0</v>
      </c>
      <c r="T940" s="21" t="str">
        <f>"－"</f>
        <v>－</v>
      </c>
      <c r="U940" s="5" t="s">
        <v>1920</v>
      </c>
      <c r="V940" s="23" t="n">
        <f>14470000</f>
        <v>1.447E7</v>
      </c>
      <c r="W940" s="5" t="s">
        <v>1070</v>
      </c>
      <c r="X940" s="23" t="n">
        <f>1840000</f>
        <v>1840000.0</v>
      </c>
      <c r="Y940" s="23" t="str">
        <f>"－"</f>
        <v>－</v>
      </c>
      <c r="Z940" s="21" t="str">
        <f>"－"</f>
        <v>－</v>
      </c>
      <c r="AA940" s="21" t="n">
        <f>10</f>
        <v>10.0</v>
      </c>
      <c r="AB940" s="4" t="s">
        <v>285</v>
      </c>
      <c r="AC940" s="22" t="n">
        <f>22</f>
        <v>22.0</v>
      </c>
      <c r="AD940" s="5" t="s">
        <v>519</v>
      </c>
      <c r="AE940" s="23" t="n">
        <f>1</f>
        <v>1.0</v>
      </c>
    </row>
    <row r="941">
      <c r="A941" s="24" t="s">
        <v>1881</v>
      </c>
      <c r="B941" s="25" t="s">
        <v>1882</v>
      </c>
      <c r="C941" s="26" t="s">
        <v>1748</v>
      </c>
      <c r="D941" s="27" t="s">
        <v>1749</v>
      </c>
      <c r="E941" s="28" t="s">
        <v>305</v>
      </c>
      <c r="F941" s="20" t="n">
        <f>121</f>
        <v>121.0</v>
      </c>
      <c r="G941" s="21" t="n">
        <f>3645</f>
        <v>3645.0</v>
      </c>
      <c r="H941" s="21"/>
      <c r="I941" s="21" t="str">
        <f>"－"</f>
        <v>－</v>
      </c>
      <c r="J941" s="21" t="n">
        <f>30</f>
        <v>30.0</v>
      </c>
      <c r="K941" s="21" t="str">
        <f>"－"</f>
        <v>－</v>
      </c>
      <c r="L941" s="4" t="s">
        <v>1064</v>
      </c>
      <c r="M941" s="22" t="n">
        <f>446</f>
        <v>446.0</v>
      </c>
      <c r="N941" s="5" t="s">
        <v>519</v>
      </c>
      <c r="O941" s="23" t="n">
        <f>22</f>
        <v>22.0</v>
      </c>
      <c r="P941" s="3" t="s">
        <v>1922</v>
      </c>
      <c r="Q941" s="21"/>
      <c r="R941" s="3" t="s">
        <v>247</v>
      </c>
      <c r="S941" s="21" t="n">
        <f>8697975</f>
        <v>8697975.0</v>
      </c>
      <c r="T941" s="21" t="str">
        <f>"－"</f>
        <v>－</v>
      </c>
      <c r="U941" s="5" t="s">
        <v>1064</v>
      </c>
      <c r="V941" s="23" t="n">
        <f>287660000</f>
        <v>2.8766E8</v>
      </c>
      <c r="W941" s="5" t="s">
        <v>767</v>
      </c>
      <c r="X941" s="23" t="n">
        <f>2215000</f>
        <v>2215000.0</v>
      </c>
      <c r="Y941" s="23" t="n">
        <f>422</f>
        <v>422.0</v>
      </c>
      <c r="Z941" s="21" t="str">
        <f>"－"</f>
        <v>－</v>
      </c>
      <c r="AA941" s="21" t="n">
        <f>10</f>
        <v>10.0</v>
      </c>
      <c r="AB941" s="4" t="s">
        <v>1015</v>
      </c>
      <c r="AC941" s="22" t="n">
        <f>24</f>
        <v>24.0</v>
      </c>
      <c r="AD941" s="5" t="s">
        <v>519</v>
      </c>
      <c r="AE941" s="23" t="n">
        <f>1</f>
        <v>1.0</v>
      </c>
    </row>
    <row r="942">
      <c r="A942" s="24" t="s">
        <v>1881</v>
      </c>
      <c r="B942" s="25" t="s">
        <v>1882</v>
      </c>
      <c r="C942" s="26" t="s">
        <v>1752</v>
      </c>
      <c r="D942" s="27" t="s">
        <v>1753</v>
      </c>
      <c r="E942" s="28" t="s">
        <v>305</v>
      </c>
      <c r="F942" s="20" t="n">
        <f>121</f>
        <v>121.0</v>
      </c>
      <c r="G942" s="21" t="n">
        <f>6858</f>
        <v>6858.0</v>
      </c>
      <c r="H942" s="21"/>
      <c r="I942" s="21" t="str">
        <f>"－"</f>
        <v>－</v>
      </c>
      <c r="J942" s="21" t="n">
        <f>57</f>
        <v>57.0</v>
      </c>
      <c r="K942" s="21" t="str">
        <f>"－"</f>
        <v>－</v>
      </c>
      <c r="L942" s="4" t="s">
        <v>1064</v>
      </c>
      <c r="M942" s="22" t="n">
        <f>473</f>
        <v>473.0</v>
      </c>
      <c r="N942" s="5" t="s">
        <v>519</v>
      </c>
      <c r="O942" s="23" t="n">
        <f>44</f>
        <v>44.0</v>
      </c>
      <c r="P942" s="3" t="s">
        <v>1923</v>
      </c>
      <c r="Q942" s="21"/>
      <c r="R942" s="3" t="s">
        <v>247</v>
      </c>
      <c r="S942" s="21" t="n">
        <f>14984587</f>
        <v>1.4984587E7</v>
      </c>
      <c r="T942" s="21" t="str">
        <f>"－"</f>
        <v>－</v>
      </c>
      <c r="U942" s="5" t="s">
        <v>1064</v>
      </c>
      <c r="V942" s="23" t="n">
        <f>295860000</f>
        <v>2.9586E8</v>
      </c>
      <c r="W942" s="5" t="s">
        <v>519</v>
      </c>
      <c r="X942" s="23" t="n">
        <f>6625000</f>
        <v>6625000.0</v>
      </c>
      <c r="Y942" s="23" t="n">
        <f>422</f>
        <v>422.0</v>
      </c>
      <c r="Z942" s="21" t="str">
        <f>"－"</f>
        <v>－</v>
      </c>
      <c r="AA942" s="21" t="n">
        <f>20</f>
        <v>20.0</v>
      </c>
      <c r="AB942" s="4" t="s">
        <v>1015</v>
      </c>
      <c r="AC942" s="22" t="n">
        <f>45</f>
        <v>45.0</v>
      </c>
      <c r="AD942" s="5" t="s">
        <v>519</v>
      </c>
      <c r="AE942" s="23" t="n">
        <f>2</f>
        <v>2.0</v>
      </c>
    </row>
    <row r="943">
      <c r="A943" s="24" t="s">
        <v>1881</v>
      </c>
      <c r="B943" s="25" t="s">
        <v>1882</v>
      </c>
      <c r="C943" s="26" t="s">
        <v>1744</v>
      </c>
      <c r="D943" s="27" t="s">
        <v>1745</v>
      </c>
      <c r="E943" s="28" t="s">
        <v>309</v>
      </c>
      <c r="F943" s="20" t="n">
        <f>126</f>
        <v>126.0</v>
      </c>
      <c r="G943" s="21" t="n">
        <f>3290</f>
        <v>3290.0</v>
      </c>
      <c r="H943" s="21"/>
      <c r="I943" s="21" t="str">
        <f>"－"</f>
        <v>－</v>
      </c>
      <c r="J943" s="21" t="n">
        <f>26</f>
        <v>26.0</v>
      </c>
      <c r="K943" s="21" t="str">
        <f>"－"</f>
        <v>－</v>
      </c>
      <c r="L943" s="4" t="s">
        <v>335</v>
      </c>
      <c r="M943" s="22" t="n">
        <f>35</f>
        <v>35.0</v>
      </c>
      <c r="N943" s="5" t="s">
        <v>751</v>
      </c>
      <c r="O943" s="23" t="n">
        <f>25</f>
        <v>25.0</v>
      </c>
      <c r="P943" s="3" t="s">
        <v>1924</v>
      </c>
      <c r="Q943" s="21"/>
      <c r="R943" s="3" t="s">
        <v>247</v>
      </c>
      <c r="S943" s="21" t="n">
        <f>5615278</f>
        <v>5615278.0</v>
      </c>
      <c r="T943" s="21" t="str">
        <f>"－"</f>
        <v>－</v>
      </c>
      <c r="U943" s="5" t="s">
        <v>525</v>
      </c>
      <c r="V943" s="23" t="n">
        <f>15000000</f>
        <v>1.5E7</v>
      </c>
      <c r="W943" s="5" t="s">
        <v>238</v>
      </c>
      <c r="X943" s="23" t="n">
        <f>2250000</f>
        <v>2250000.0</v>
      </c>
      <c r="Y943" s="23" t="str">
        <f>"－"</f>
        <v>－</v>
      </c>
      <c r="Z943" s="21" t="str">
        <f>"－"</f>
        <v>－</v>
      </c>
      <c r="AA943" s="21" t="n">
        <f>10</f>
        <v>10.0</v>
      </c>
      <c r="AB943" s="4" t="s">
        <v>781</v>
      </c>
      <c r="AC943" s="22" t="n">
        <f>25</f>
        <v>25.0</v>
      </c>
      <c r="AD943" s="5" t="s">
        <v>1396</v>
      </c>
      <c r="AE943" s="23" t="str">
        <f>"－"</f>
        <v>－</v>
      </c>
    </row>
    <row r="944">
      <c r="A944" s="24" t="s">
        <v>1881</v>
      </c>
      <c r="B944" s="25" t="s">
        <v>1882</v>
      </c>
      <c r="C944" s="26" t="s">
        <v>1748</v>
      </c>
      <c r="D944" s="27" t="s">
        <v>1749</v>
      </c>
      <c r="E944" s="28" t="s">
        <v>309</v>
      </c>
      <c r="F944" s="20" t="n">
        <f>126</f>
        <v>126.0</v>
      </c>
      <c r="G944" s="21" t="n">
        <f>3290</f>
        <v>3290.0</v>
      </c>
      <c r="H944" s="21"/>
      <c r="I944" s="21" t="str">
        <f>"－"</f>
        <v>－</v>
      </c>
      <c r="J944" s="21" t="n">
        <f>26</f>
        <v>26.0</v>
      </c>
      <c r="K944" s="21" t="str">
        <f>"－"</f>
        <v>－</v>
      </c>
      <c r="L944" s="4" t="s">
        <v>335</v>
      </c>
      <c r="M944" s="22" t="n">
        <f>35</f>
        <v>35.0</v>
      </c>
      <c r="N944" s="5" t="s">
        <v>751</v>
      </c>
      <c r="O944" s="23" t="n">
        <f>25</f>
        <v>25.0</v>
      </c>
      <c r="P944" s="3" t="s">
        <v>1925</v>
      </c>
      <c r="Q944" s="21"/>
      <c r="R944" s="3" t="s">
        <v>247</v>
      </c>
      <c r="S944" s="21" t="n">
        <f>5594127</f>
        <v>5594127.0</v>
      </c>
      <c r="T944" s="21" t="str">
        <f>"－"</f>
        <v>－</v>
      </c>
      <c r="U944" s="5" t="s">
        <v>823</v>
      </c>
      <c r="V944" s="23" t="n">
        <f>13250000</f>
        <v>1.325E7</v>
      </c>
      <c r="W944" s="5" t="s">
        <v>317</v>
      </c>
      <c r="X944" s="23" t="n">
        <f>1820000</f>
        <v>1820000.0</v>
      </c>
      <c r="Y944" s="23" t="str">
        <f>"－"</f>
        <v>－</v>
      </c>
      <c r="Z944" s="21" t="str">
        <f>"－"</f>
        <v>－</v>
      </c>
      <c r="AA944" s="21" t="n">
        <f>10</f>
        <v>10.0</v>
      </c>
      <c r="AB944" s="4" t="s">
        <v>781</v>
      </c>
      <c r="AC944" s="22" t="n">
        <f>25</f>
        <v>25.0</v>
      </c>
      <c r="AD944" s="5" t="s">
        <v>1396</v>
      </c>
      <c r="AE944" s="23" t="str">
        <f>"－"</f>
        <v>－</v>
      </c>
    </row>
    <row r="945">
      <c r="A945" s="24" t="s">
        <v>1881</v>
      </c>
      <c r="B945" s="25" t="s">
        <v>1882</v>
      </c>
      <c r="C945" s="26" t="s">
        <v>1752</v>
      </c>
      <c r="D945" s="27" t="s">
        <v>1753</v>
      </c>
      <c r="E945" s="28" t="s">
        <v>309</v>
      </c>
      <c r="F945" s="20" t="n">
        <f>126</f>
        <v>126.0</v>
      </c>
      <c r="G945" s="21" t="n">
        <f>6580</f>
        <v>6580.0</v>
      </c>
      <c r="H945" s="21"/>
      <c r="I945" s="21" t="str">
        <f>"－"</f>
        <v>－</v>
      </c>
      <c r="J945" s="21" t="n">
        <f>52</f>
        <v>52.0</v>
      </c>
      <c r="K945" s="21" t="str">
        <f>"－"</f>
        <v>－</v>
      </c>
      <c r="L945" s="4" t="s">
        <v>335</v>
      </c>
      <c r="M945" s="22" t="n">
        <f>70</f>
        <v>70.0</v>
      </c>
      <c r="N945" s="5" t="s">
        <v>751</v>
      </c>
      <c r="O945" s="23" t="n">
        <f>50</f>
        <v>50.0</v>
      </c>
      <c r="P945" s="3" t="s">
        <v>1926</v>
      </c>
      <c r="Q945" s="21"/>
      <c r="R945" s="3" t="s">
        <v>247</v>
      </c>
      <c r="S945" s="21" t="n">
        <f>11209405</f>
        <v>1.1209405E7</v>
      </c>
      <c r="T945" s="21" t="str">
        <f>"－"</f>
        <v>－</v>
      </c>
      <c r="U945" s="5" t="s">
        <v>525</v>
      </c>
      <c r="V945" s="23" t="n">
        <f>21600000</f>
        <v>2.16E7</v>
      </c>
      <c r="W945" s="5" t="s">
        <v>390</v>
      </c>
      <c r="X945" s="23" t="n">
        <f>4950000</f>
        <v>4950000.0</v>
      </c>
      <c r="Y945" s="23" t="str">
        <f>"－"</f>
        <v>－</v>
      </c>
      <c r="Z945" s="21" t="str">
        <f>"－"</f>
        <v>－</v>
      </c>
      <c r="AA945" s="21" t="n">
        <f>20</f>
        <v>20.0</v>
      </c>
      <c r="AB945" s="4" t="s">
        <v>781</v>
      </c>
      <c r="AC945" s="22" t="n">
        <f>50</f>
        <v>50.0</v>
      </c>
      <c r="AD945" s="5" t="s">
        <v>1396</v>
      </c>
      <c r="AE945" s="23" t="str">
        <f>"－"</f>
        <v>－</v>
      </c>
    </row>
    <row r="946">
      <c r="A946" s="24" t="s">
        <v>1881</v>
      </c>
      <c r="B946" s="25" t="s">
        <v>1882</v>
      </c>
      <c r="C946" s="26" t="s">
        <v>1744</v>
      </c>
      <c r="D946" s="27" t="s">
        <v>1745</v>
      </c>
      <c r="E946" s="28" t="s">
        <v>313</v>
      </c>
      <c r="F946" s="20" t="n">
        <f>120</f>
        <v>120.0</v>
      </c>
      <c r="G946" s="21" t="n">
        <f>3124</f>
        <v>3124.0</v>
      </c>
      <c r="H946" s="21"/>
      <c r="I946" s="21" t="str">
        <f>"－"</f>
        <v>－</v>
      </c>
      <c r="J946" s="21" t="n">
        <f>26</f>
        <v>26.0</v>
      </c>
      <c r="K946" s="21" t="str">
        <f>"－"</f>
        <v>－</v>
      </c>
      <c r="L946" s="4" t="s">
        <v>178</v>
      </c>
      <c r="M946" s="22" t="n">
        <f>40</f>
        <v>40.0</v>
      </c>
      <c r="N946" s="5" t="s">
        <v>279</v>
      </c>
      <c r="O946" s="23" t="n">
        <f>25</f>
        <v>25.0</v>
      </c>
      <c r="P946" s="3" t="s">
        <v>1927</v>
      </c>
      <c r="Q946" s="21"/>
      <c r="R946" s="3" t="s">
        <v>247</v>
      </c>
      <c r="S946" s="21" t="n">
        <f>6513875</f>
        <v>6513875.0</v>
      </c>
      <c r="T946" s="21" t="str">
        <f>"－"</f>
        <v>－</v>
      </c>
      <c r="U946" s="5" t="s">
        <v>178</v>
      </c>
      <c r="V946" s="23" t="n">
        <f>37800000</f>
        <v>3.78E7</v>
      </c>
      <c r="W946" s="5" t="s">
        <v>1495</v>
      </c>
      <c r="X946" s="23" t="n">
        <f>1075000</f>
        <v>1075000.0</v>
      </c>
      <c r="Y946" s="23" t="str">
        <f>"－"</f>
        <v>－</v>
      </c>
      <c r="Z946" s="21" t="str">
        <f>"－"</f>
        <v>－</v>
      </c>
      <c r="AA946" s="21" t="str">
        <f>"－"</f>
        <v>－</v>
      </c>
      <c r="AB946" s="4" t="s">
        <v>1523</v>
      </c>
      <c r="AC946" s="22" t="n">
        <f>30</f>
        <v>30.0</v>
      </c>
      <c r="AD946" s="5" t="s">
        <v>178</v>
      </c>
      <c r="AE946" s="23" t="str">
        <f>"－"</f>
        <v>－</v>
      </c>
    </row>
    <row r="947">
      <c r="A947" s="24" t="s">
        <v>1881</v>
      </c>
      <c r="B947" s="25" t="s">
        <v>1882</v>
      </c>
      <c r="C947" s="26" t="s">
        <v>1748</v>
      </c>
      <c r="D947" s="27" t="s">
        <v>1749</v>
      </c>
      <c r="E947" s="28" t="s">
        <v>313</v>
      </c>
      <c r="F947" s="20" t="n">
        <f>120</f>
        <v>120.0</v>
      </c>
      <c r="G947" s="21" t="n">
        <f>3278</f>
        <v>3278.0</v>
      </c>
      <c r="H947" s="21"/>
      <c r="I947" s="21" t="str">
        <f>"－"</f>
        <v>－</v>
      </c>
      <c r="J947" s="21" t="n">
        <f>27</f>
        <v>27.0</v>
      </c>
      <c r="K947" s="21" t="str">
        <f>"－"</f>
        <v>－</v>
      </c>
      <c r="L947" s="4" t="s">
        <v>90</v>
      </c>
      <c r="M947" s="22" t="n">
        <f>104</f>
        <v>104.0</v>
      </c>
      <c r="N947" s="5" t="s">
        <v>279</v>
      </c>
      <c r="O947" s="23" t="n">
        <f>25</f>
        <v>25.0</v>
      </c>
      <c r="P947" s="3" t="s">
        <v>1928</v>
      </c>
      <c r="Q947" s="21"/>
      <c r="R947" s="3" t="s">
        <v>247</v>
      </c>
      <c r="S947" s="21" t="n">
        <f>7075417</f>
        <v>7075417.0</v>
      </c>
      <c r="T947" s="21" t="str">
        <f>"－"</f>
        <v>－</v>
      </c>
      <c r="U947" s="5" t="s">
        <v>1126</v>
      </c>
      <c r="V947" s="23" t="n">
        <f>54040000</f>
        <v>5.404E7</v>
      </c>
      <c r="W947" s="5" t="s">
        <v>1836</v>
      </c>
      <c r="X947" s="23" t="n">
        <f>1350000</f>
        <v>1350000.0</v>
      </c>
      <c r="Y947" s="23" t="str">
        <f>"－"</f>
        <v>－</v>
      </c>
      <c r="Z947" s="21" t="str">
        <f>"－"</f>
        <v>－</v>
      </c>
      <c r="AA947" s="21" t="str">
        <f>"－"</f>
        <v>－</v>
      </c>
      <c r="AB947" s="4" t="s">
        <v>1126</v>
      </c>
      <c r="AC947" s="22" t="n">
        <f>92</f>
        <v>92.0</v>
      </c>
      <c r="AD947" s="5" t="s">
        <v>178</v>
      </c>
      <c r="AE947" s="23" t="str">
        <f>"－"</f>
        <v>－</v>
      </c>
    </row>
    <row r="948">
      <c r="A948" s="24" t="s">
        <v>1881</v>
      </c>
      <c r="B948" s="25" t="s">
        <v>1882</v>
      </c>
      <c r="C948" s="26" t="s">
        <v>1752</v>
      </c>
      <c r="D948" s="27" t="s">
        <v>1753</v>
      </c>
      <c r="E948" s="28" t="s">
        <v>313</v>
      </c>
      <c r="F948" s="20" t="n">
        <f>120</f>
        <v>120.0</v>
      </c>
      <c r="G948" s="21" t="n">
        <f>6402</f>
        <v>6402.0</v>
      </c>
      <c r="H948" s="21"/>
      <c r="I948" s="21" t="str">
        <f>"－"</f>
        <v>－</v>
      </c>
      <c r="J948" s="21" t="n">
        <f>53</f>
        <v>53.0</v>
      </c>
      <c r="K948" s="21" t="str">
        <f>"－"</f>
        <v>－</v>
      </c>
      <c r="L948" s="4" t="s">
        <v>90</v>
      </c>
      <c r="M948" s="22" t="n">
        <f>131</f>
        <v>131.0</v>
      </c>
      <c r="N948" s="5" t="s">
        <v>279</v>
      </c>
      <c r="O948" s="23" t="n">
        <f>50</f>
        <v>50.0</v>
      </c>
      <c r="P948" s="3" t="s">
        <v>1929</v>
      </c>
      <c r="Q948" s="21"/>
      <c r="R948" s="3" t="s">
        <v>247</v>
      </c>
      <c r="S948" s="21" t="n">
        <f>13589292</f>
        <v>1.3589292E7</v>
      </c>
      <c r="T948" s="21" t="str">
        <f>"－"</f>
        <v>－</v>
      </c>
      <c r="U948" s="5" t="s">
        <v>1126</v>
      </c>
      <c r="V948" s="23" t="n">
        <f>64740000</f>
        <v>6.474E7</v>
      </c>
      <c r="W948" s="5" t="s">
        <v>533</v>
      </c>
      <c r="X948" s="23" t="n">
        <f>5600000</f>
        <v>5600000.0</v>
      </c>
      <c r="Y948" s="23" t="str">
        <f>"－"</f>
        <v>－</v>
      </c>
      <c r="Z948" s="21" t="str">
        <f>"－"</f>
        <v>－</v>
      </c>
      <c r="AA948" s="21" t="str">
        <f>"－"</f>
        <v>－</v>
      </c>
      <c r="AB948" s="4" t="s">
        <v>1126</v>
      </c>
      <c r="AC948" s="22" t="n">
        <f>107</f>
        <v>107.0</v>
      </c>
      <c r="AD948" s="5" t="s">
        <v>178</v>
      </c>
      <c r="AE948" s="23" t="str">
        <f>"－"</f>
        <v>－</v>
      </c>
    </row>
    <row r="949">
      <c r="A949" s="24" t="s">
        <v>1881</v>
      </c>
      <c r="B949" s="25" t="s">
        <v>1882</v>
      </c>
      <c r="C949" s="26" t="s">
        <v>1744</v>
      </c>
      <c r="D949" s="27" t="s">
        <v>1745</v>
      </c>
      <c r="E949" s="28" t="s">
        <v>316</v>
      </c>
      <c r="F949" s="20" t="n">
        <f>126</f>
        <v>126.0</v>
      </c>
      <c r="G949" s="21" t="n">
        <f>2838</f>
        <v>2838.0</v>
      </c>
      <c r="H949" s="21"/>
      <c r="I949" s="21" t="str">
        <f>"－"</f>
        <v>－</v>
      </c>
      <c r="J949" s="21" t="n">
        <f>23</f>
        <v>23.0</v>
      </c>
      <c r="K949" s="21" t="str">
        <f>"－"</f>
        <v>－</v>
      </c>
      <c r="L949" s="4" t="s">
        <v>856</v>
      </c>
      <c r="M949" s="22" t="n">
        <f>35</f>
        <v>35.0</v>
      </c>
      <c r="N949" s="5" t="s">
        <v>1132</v>
      </c>
      <c r="O949" s="23" t="n">
        <f>15</f>
        <v>15.0</v>
      </c>
      <c r="P949" s="3" t="s">
        <v>1930</v>
      </c>
      <c r="Q949" s="21"/>
      <c r="R949" s="3" t="s">
        <v>247</v>
      </c>
      <c r="S949" s="21" t="n">
        <f>5917619</f>
        <v>5917619.0</v>
      </c>
      <c r="T949" s="21" t="str">
        <f>"－"</f>
        <v>－</v>
      </c>
      <c r="U949" s="5" t="s">
        <v>390</v>
      </c>
      <c r="V949" s="23" t="n">
        <f>11350000</f>
        <v>1.135E7</v>
      </c>
      <c r="W949" s="5" t="s">
        <v>442</v>
      </c>
      <c r="X949" s="23" t="n">
        <f>1700000</f>
        <v>1700000.0</v>
      </c>
      <c r="Y949" s="23" t="str">
        <f>"－"</f>
        <v>－</v>
      </c>
      <c r="Z949" s="21" t="str">
        <f>"－"</f>
        <v>－</v>
      </c>
      <c r="AA949" s="21" t="str">
        <f>"－"</f>
        <v>－</v>
      </c>
      <c r="AB949" s="4" t="s">
        <v>1512</v>
      </c>
      <c r="AC949" s="22" t="n">
        <f>25</f>
        <v>25.0</v>
      </c>
      <c r="AD949" s="5" t="s">
        <v>263</v>
      </c>
      <c r="AE949" s="23" t="str">
        <f>"－"</f>
        <v>－</v>
      </c>
    </row>
    <row r="950">
      <c r="A950" s="24" t="s">
        <v>1881</v>
      </c>
      <c r="B950" s="25" t="s">
        <v>1882</v>
      </c>
      <c r="C950" s="26" t="s">
        <v>1748</v>
      </c>
      <c r="D950" s="27" t="s">
        <v>1749</v>
      </c>
      <c r="E950" s="28" t="s">
        <v>316</v>
      </c>
      <c r="F950" s="20" t="n">
        <f>126</f>
        <v>126.0</v>
      </c>
      <c r="G950" s="21" t="n">
        <f>2838</f>
        <v>2838.0</v>
      </c>
      <c r="H950" s="21"/>
      <c r="I950" s="21" t="str">
        <f>"－"</f>
        <v>－</v>
      </c>
      <c r="J950" s="21" t="n">
        <f>23</f>
        <v>23.0</v>
      </c>
      <c r="K950" s="21" t="str">
        <f>"－"</f>
        <v>－</v>
      </c>
      <c r="L950" s="4" t="s">
        <v>856</v>
      </c>
      <c r="M950" s="22" t="n">
        <f>35</f>
        <v>35.0</v>
      </c>
      <c r="N950" s="5" t="s">
        <v>1132</v>
      </c>
      <c r="O950" s="23" t="n">
        <f>15</f>
        <v>15.0</v>
      </c>
      <c r="P950" s="3" t="s">
        <v>1931</v>
      </c>
      <c r="Q950" s="21"/>
      <c r="R950" s="3" t="s">
        <v>247</v>
      </c>
      <c r="S950" s="21" t="n">
        <f>5780794</f>
        <v>5780794.0</v>
      </c>
      <c r="T950" s="21" t="str">
        <f>"－"</f>
        <v>－</v>
      </c>
      <c r="U950" s="5" t="s">
        <v>856</v>
      </c>
      <c r="V950" s="23" t="n">
        <f>16250000</f>
        <v>1.625E7</v>
      </c>
      <c r="W950" s="5" t="s">
        <v>248</v>
      </c>
      <c r="X950" s="23" t="n">
        <f>1150000</f>
        <v>1150000.0</v>
      </c>
      <c r="Y950" s="23" t="str">
        <f>"－"</f>
        <v>－</v>
      </c>
      <c r="Z950" s="21" t="str">
        <f>"－"</f>
        <v>－</v>
      </c>
      <c r="AA950" s="21" t="str">
        <f>"－"</f>
        <v>－</v>
      </c>
      <c r="AB950" s="4" t="s">
        <v>1512</v>
      </c>
      <c r="AC950" s="22" t="n">
        <f>25</f>
        <v>25.0</v>
      </c>
      <c r="AD950" s="5" t="s">
        <v>263</v>
      </c>
      <c r="AE950" s="23" t="str">
        <f>"－"</f>
        <v>－</v>
      </c>
    </row>
    <row r="951">
      <c r="A951" s="24" t="s">
        <v>1881</v>
      </c>
      <c r="B951" s="25" t="s">
        <v>1882</v>
      </c>
      <c r="C951" s="26" t="s">
        <v>1752</v>
      </c>
      <c r="D951" s="27" t="s">
        <v>1753</v>
      </c>
      <c r="E951" s="28" t="s">
        <v>316</v>
      </c>
      <c r="F951" s="20" t="n">
        <f>126</f>
        <v>126.0</v>
      </c>
      <c r="G951" s="21" t="n">
        <f>5676</f>
        <v>5676.0</v>
      </c>
      <c r="H951" s="21"/>
      <c r="I951" s="21" t="str">
        <f>"－"</f>
        <v>－</v>
      </c>
      <c r="J951" s="21" t="n">
        <f>45</f>
        <v>45.0</v>
      </c>
      <c r="K951" s="21" t="str">
        <f>"－"</f>
        <v>－</v>
      </c>
      <c r="L951" s="4" t="s">
        <v>856</v>
      </c>
      <c r="M951" s="22" t="n">
        <f>70</f>
        <v>70.0</v>
      </c>
      <c r="N951" s="5" t="s">
        <v>1132</v>
      </c>
      <c r="O951" s="23" t="n">
        <f>30</f>
        <v>30.0</v>
      </c>
      <c r="P951" s="3" t="s">
        <v>1932</v>
      </c>
      <c r="Q951" s="21"/>
      <c r="R951" s="3" t="s">
        <v>247</v>
      </c>
      <c r="S951" s="21" t="n">
        <f>11698413</f>
        <v>1.1698413E7</v>
      </c>
      <c r="T951" s="21" t="str">
        <f>"－"</f>
        <v>－</v>
      </c>
      <c r="U951" s="5" t="s">
        <v>856</v>
      </c>
      <c r="V951" s="23" t="n">
        <f>25150000</f>
        <v>2.515E7</v>
      </c>
      <c r="W951" s="5" t="s">
        <v>248</v>
      </c>
      <c r="X951" s="23" t="n">
        <f>3550000</f>
        <v>3550000.0</v>
      </c>
      <c r="Y951" s="23" t="str">
        <f>"－"</f>
        <v>－</v>
      </c>
      <c r="Z951" s="21" t="str">
        <f>"－"</f>
        <v>－</v>
      </c>
      <c r="AA951" s="21" t="str">
        <f>"－"</f>
        <v>－</v>
      </c>
      <c r="AB951" s="4" t="s">
        <v>1512</v>
      </c>
      <c r="AC951" s="22" t="n">
        <f>50</f>
        <v>50.0</v>
      </c>
      <c r="AD951" s="5" t="s">
        <v>263</v>
      </c>
      <c r="AE951" s="23" t="str">
        <f>"－"</f>
        <v>－</v>
      </c>
    </row>
    <row r="952">
      <c r="A952" s="24" t="s">
        <v>1881</v>
      </c>
      <c r="B952" s="25" t="s">
        <v>1882</v>
      </c>
      <c r="C952" s="26" t="s">
        <v>1744</v>
      </c>
      <c r="D952" s="27" t="s">
        <v>1745</v>
      </c>
      <c r="E952" s="28" t="s">
        <v>320</v>
      </c>
      <c r="F952" s="20" t="n">
        <f>121</f>
        <v>121.0</v>
      </c>
      <c r="G952" s="21" t="n">
        <f>376</f>
        <v>376.0</v>
      </c>
      <c r="H952" s="21"/>
      <c r="I952" s="21" t="str">
        <f>"－"</f>
        <v>－</v>
      </c>
      <c r="J952" s="21" t="n">
        <f>3</f>
        <v>3.0</v>
      </c>
      <c r="K952" s="21" t="str">
        <f>"－"</f>
        <v>－</v>
      </c>
      <c r="L952" s="4" t="s">
        <v>432</v>
      </c>
      <c r="M952" s="22" t="n">
        <f>18</f>
        <v>18.0</v>
      </c>
      <c r="N952" s="5" t="s">
        <v>270</v>
      </c>
      <c r="O952" s="23" t="str">
        <f>"－"</f>
        <v>－</v>
      </c>
      <c r="P952" s="3" t="s">
        <v>1933</v>
      </c>
      <c r="Q952" s="21"/>
      <c r="R952" s="3" t="s">
        <v>247</v>
      </c>
      <c r="S952" s="21" t="n">
        <f>1078471</f>
        <v>1078471.0</v>
      </c>
      <c r="T952" s="21" t="str">
        <f>"－"</f>
        <v>－</v>
      </c>
      <c r="U952" s="5" t="s">
        <v>432</v>
      </c>
      <c r="V952" s="23" t="n">
        <f>10345000</f>
        <v>1.0345E7</v>
      </c>
      <c r="W952" s="5" t="s">
        <v>270</v>
      </c>
      <c r="X952" s="23" t="str">
        <f>"－"</f>
        <v>－</v>
      </c>
      <c r="Y952" s="23" t="n">
        <f>37</f>
        <v>37.0</v>
      </c>
      <c r="Z952" s="21" t="str">
        <f>"－"</f>
        <v>－</v>
      </c>
      <c r="AA952" s="21" t="str">
        <f>"－"</f>
        <v>－</v>
      </c>
      <c r="AB952" s="4" t="s">
        <v>292</v>
      </c>
      <c r="AC952" s="22" t="n">
        <f>60</f>
        <v>60.0</v>
      </c>
      <c r="AD952" s="5" t="s">
        <v>268</v>
      </c>
      <c r="AE952" s="23" t="str">
        <f>"－"</f>
        <v>－</v>
      </c>
    </row>
    <row r="953">
      <c r="A953" s="24" t="s">
        <v>1881</v>
      </c>
      <c r="B953" s="25" t="s">
        <v>1882</v>
      </c>
      <c r="C953" s="26" t="s">
        <v>1748</v>
      </c>
      <c r="D953" s="27" t="s">
        <v>1749</v>
      </c>
      <c r="E953" s="28" t="s">
        <v>320</v>
      </c>
      <c r="F953" s="20" t="n">
        <f>121</f>
        <v>121.0</v>
      </c>
      <c r="G953" s="21" t="n">
        <f>368</f>
        <v>368.0</v>
      </c>
      <c r="H953" s="21"/>
      <c r="I953" s="21" t="str">
        <f>"－"</f>
        <v>－</v>
      </c>
      <c r="J953" s="21" t="n">
        <f>3</f>
        <v>3.0</v>
      </c>
      <c r="K953" s="21" t="str">
        <f>"－"</f>
        <v>－</v>
      </c>
      <c r="L953" s="4" t="s">
        <v>432</v>
      </c>
      <c r="M953" s="22" t="n">
        <f>20</f>
        <v>20.0</v>
      </c>
      <c r="N953" s="5" t="s">
        <v>270</v>
      </c>
      <c r="O953" s="23" t="str">
        <f>"－"</f>
        <v>－</v>
      </c>
      <c r="P953" s="3" t="s">
        <v>1934</v>
      </c>
      <c r="Q953" s="21"/>
      <c r="R953" s="3" t="s">
        <v>247</v>
      </c>
      <c r="S953" s="21" t="n">
        <f>919256</f>
        <v>919256.0</v>
      </c>
      <c r="T953" s="21" t="str">
        <f>"－"</f>
        <v>－</v>
      </c>
      <c r="U953" s="5" t="s">
        <v>432</v>
      </c>
      <c r="V953" s="23" t="n">
        <f>8640000</f>
        <v>8640000.0</v>
      </c>
      <c r="W953" s="5" t="s">
        <v>270</v>
      </c>
      <c r="X953" s="23" t="str">
        <f>"－"</f>
        <v>－</v>
      </c>
      <c r="Y953" s="23" t="n">
        <f>13</f>
        <v>13.0</v>
      </c>
      <c r="Z953" s="21" t="str">
        <f>"－"</f>
        <v>－</v>
      </c>
      <c r="AA953" s="21" t="str">
        <f>"－"</f>
        <v>－</v>
      </c>
      <c r="AB953" s="4" t="s">
        <v>276</v>
      </c>
      <c r="AC953" s="22" t="n">
        <f>42</f>
        <v>42.0</v>
      </c>
      <c r="AD953" s="5" t="s">
        <v>268</v>
      </c>
      <c r="AE953" s="23" t="str">
        <f>"－"</f>
        <v>－</v>
      </c>
    </row>
    <row r="954">
      <c r="A954" s="24" t="s">
        <v>1881</v>
      </c>
      <c r="B954" s="25" t="s">
        <v>1882</v>
      </c>
      <c r="C954" s="26" t="s">
        <v>1752</v>
      </c>
      <c r="D954" s="27" t="s">
        <v>1753</v>
      </c>
      <c r="E954" s="28" t="s">
        <v>320</v>
      </c>
      <c r="F954" s="20" t="n">
        <f>121</f>
        <v>121.0</v>
      </c>
      <c r="G954" s="21" t="n">
        <f>744</f>
        <v>744.0</v>
      </c>
      <c r="H954" s="21"/>
      <c r="I954" s="21" t="str">
        <f>"－"</f>
        <v>－</v>
      </c>
      <c r="J954" s="21" t="n">
        <f>6</f>
        <v>6.0</v>
      </c>
      <c r="K954" s="21" t="str">
        <f>"－"</f>
        <v>－</v>
      </c>
      <c r="L954" s="4" t="s">
        <v>432</v>
      </c>
      <c r="M954" s="22" t="n">
        <f>38</f>
        <v>38.0</v>
      </c>
      <c r="N954" s="5" t="s">
        <v>270</v>
      </c>
      <c r="O954" s="23" t="str">
        <f>"－"</f>
        <v>－</v>
      </c>
      <c r="P954" s="3" t="s">
        <v>1935</v>
      </c>
      <c r="Q954" s="21"/>
      <c r="R954" s="3" t="s">
        <v>247</v>
      </c>
      <c r="S954" s="21" t="n">
        <f>1997727</f>
        <v>1997727.0</v>
      </c>
      <c r="T954" s="21" t="str">
        <f>"－"</f>
        <v>－</v>
      </c>
      <c r="U954" s="5" t="s">
        <v>432</v>
      </c>
      <c r="V954" s="23" t="n">
        <f>18985000</f>
        <v>1.8985E7</v>
      </c>
      <c r="W954" s="5" t="s">
        <v>270</v>
      </c>
      <c r="X954" s="23" t="str">
        <f>"－"</f>
        <v>－</v>
      </c>
      <c r="Y954" s="23" t="n">
        <f>50</f>
        <v>50.0</v>
      </c>
      <c r="Z954" s="21" t="str">
        <f>"－"</f>
        <v>－</v>
      </c>
      <c r="AA954" s="21" t="str">
        <f>"－"</f>
        <v>－</v>
      </c>
      <c r="AB954" s="4" t="s">
        <v>276</v>
      </c>
      <c r="AC954" s="22" t="n">
        <f>102</f>
        <v>102.0</v>
      </c>
      <c r="AD954" s="5" t="s">
        <v>268</v>
      </c>
      <c r="AE954" s="23" t="str">
        <f>"－"</f>
        <v>－</v>
      </c>
    </row>
    <row r="955">
      <c r="A955" s="24" t="s">
        <v>1881</v>
      </c>
      <c r="B955" s="25" t="s">
        <v>1882</v>
      </c>
      <c r="C955" s="26" t="s">
        <v>1744</v>
      </c>
      <c r="D955" s="27" t="s">
        <v>1745</v>
      </c>
      <c r="E955" s="28" t="s">
        <v>324</v>
      </c>
      <c r="F955" s="20" t="n">
        <f>125</f>
        <v>125.0</v>
      </c>
      <c r="G955" s="21" t="n">
        <f>149</f>
        <v>149.0</v>
      </c>
      <c r="H955" s="21"/>
      <c r="I955" s="21" t="str">
        <f>"－"</f>
        <v>－</v>
      </c>
      <c r="J955" s="21" t="n">
        <f>1</f>
        <v>1.0</v>
      </c>
      <c r="K955" s="21" t="str">
        <f>"－"</f>
        <v>－</v>
      </c>
      <c r="L955" s="4" t="s">
        <v>272</v>
      </c>
      <c r="M955" s="22" t="n">
        <f>10</f>
        <v>10.0</v>
      </c>
      <c r="N955" s="5" t="s">
        <v>335</v>
      </c>
      <c r="O955" s="23" t="n">
        <f>1</f>
        <v>1.0</v>
      </c>
      <c r="P955" s="3" t="s">
        <v>1936</v>
      </c>
      <c r="Q955" s="21"/>
      <c r="R955" s="3" t="s">
        <v>247</v>
      </c>
      <c r="S955" s="21" t="n">
        <f>319280</f>
        <v>319280.0</v>
      </c>
      <c r="T955" s="21" t="str">
        <f>"－"</f>
        <v>－</v>
      </c>
      <c r="U955" s="5" t="s">
        <v>272</v>
      </c>
      <c r="V955" s="23" t="n">
        <f>2850000</f>
        <v>2850000.0</v>
      </c>
      <c r="W955" s="5" t="s">
        <v>183</v>
      </c>
      <c r="X955" s="23" t="n">
        <f>60000</f>
        <v>60000.0</v>
      </c>
      <c r="Y955" s="23" t="n">
        <f>15</f>
        <v>15.0</v>
      </c>
      <c r="Z955" s="21" t="str">
        <f>"－"</f>
        <v>－</v>
      </c>
      <c r="AA955" s="21" t="n">
        <f>1</f>
        <v>1.0</v>
      </c>
      <c r="AB955" s="4" t="s">
        <v>501</v>
      </c>
      <c r="AC955" s="22" t="n">
        <f>16</f>
        <v>16.0</v>
      </c>
      <c r="AD955" s="5" t="s">
        <v>263</v>
      </c>
      <c r="AE955" s="23" t="str">
        <f>"－"</f>
        <v>－</v>
      </c>
    </row>
    <row r="956">
      <c r="A956" s="24" t="s">
        <v>1881</v>
      </c>
      <c r="B956" s="25" t="s">
        <v>1882</v>
      </c>
      <c r="C956" s="26" t="s">
        <v>1748</v>
      </c>
      <c r="D956" s="27" t="s">
        <v>1749</v>
      </c>
      <c r="E956" s="28" t="s">
        <v>324</v>
      </c>
      <c r="F956" s="20" t="n">
        <f>125</f>
        <v>125.0</v>
      </c>
      <c r="G956" s="21" t="n">
        <f>144</f>
        <v>144.0</v>
      </c>
      <c r="H956" s="21"/>
      <c r="I956" s="21" t="str">
        <f>"－"</f>
        <v>－</v>
      </c>
      <c r="J956" s="21" t="n">
        <f>1</f>
        <v>1.0</v>
      </c>
      <c r="K956" s="21" t="str">
        <f>"－"</f>
        <v>－</v>
      </c>
      <c r="L956" s="4" t="s">
        <v>272</v>
      </c>
      <c r="M956" s="22" t="n">
        <f>9</f>
        <v>9.0</v>
      </c>
      <c r="N956" s="5" t="s">
        <v>335</v>
      </c>
      <c r="O956" s="23" t="n">
        <f>1</f>
        <v>1.0</v>
      </c>
      <c r="P956" s="3" t="s">
        <v>1937</v>
      </c>
      <c r="Q956" s="21"/>
      <c r="R956" s="3" t="s">
        <v>247</v>
      </c>
      <c r="S956" s="21" t="n">
        <f>276920</f>
        <v>276920.0</v>
      </c>
      <c r="T956" s="21" t="str">
        <f>"－"</f>
        <v>－</v>
      </c>
      <c r="U956" s="5" t="s">
        <v>272</v>
      </c>
      <c r="V956" s="23" t="n">
        <f>3025000</f>
        <v>3025000.0</v>
      </c>
      <c r="W956" s="5" t="s">
        <v>909</v>
      </c>
      <c r="X956" s="23" t="n">
        <f>30000</f>
        <v>30000.0</v>
      </c>
      <c r="Y956" s="23" t="n">
        <f>3</f>
        <v>3.0</v>
      </c>
      <c r="Z956" s="21" t="str">
        <f>"－"</f>
        <v>－</v>
      </c>
      <c r="AA956" s="21" t="str">
        <f>"－"</f>
        <v>－</v>
      </c>
      <c r="AB956" s="4" t="s">
        <v>343</v>
      </c>
      <c r="AC956" s="22" t="n">
        <f>14</f>
        <v>14.0</v>
      </c>
      <c r="AD956" s="5" t="s">
        <v>263</v>
      </c>
      <c r="AE956" s="23" t="str">
        <f>"－"</f>
        <v>－</v>
      </c>
    </row>
    <row r="957">
      <c r="A957" s="24" t="s">
        <v>1881</v>
      </c>
      <c r="B957" s="25" t="s">
        <v>1882</v>
      </c>
      <c r="C957" s="26" t="s">
        <v>1752</v>
      </c>
      <c r="D957" s="27" t="s">
        <v>1753</v>
      </c>
      <c r="E957" s="28" t="s">
        <v>324</v>
      </c>
      <c r="F957" s="20" t="n">
        <f>125</f>
        <v>125.0</v>
      </c>
      <c r="G957" s="21" t="n">
        <f>293</f>
        <v>293.0</v>
      </c>
      <c r="H957" s="21"/>
      <c r="I957" s="21" t="str">
        <f>"－"</f>
        <v>－</v>
      </c>
      <c r="J957" s="21" t="n">
        <f>2</f>
        <v>2.0</v>
      </c>
      <c r="K957" s="21" t="str">
        <f>"－"</f>
        <v>－</v>
      </c>
      <c r="L957" s="4" t="s">
        <v>272</v>
      </c>
      <c r="M957" s="22" t="n">
        <f>19</f>
        <v>19.0</v>
      </c>
      <c r="N957" s="5" t="s">
        <v>335</v>
      </c>
      <c r="O957" s="23" t="n">
        <f>2</f>
        <v>2.0</v>
      </c>
      <c r="P957" s="3" t="s">
        <v>1938</v>
      </c>
      <c r="Q957" s="21"/>
      <c r="R957" s="3" t="s">
        <v>247</v>
      </c>
      <c r="S957" s="21" t="n">
        <f>596200</f>
        <v>596200.0</v>
      </c>
      <c r="T957" s="21" t="str">
        <f>"－"</f>
        <v>－</v>
      </c>
      <c r="U957" s="5" t="s">
        <v>272</v>
      </c>
      <c r="V957" s="23" t="n">
        <f>5875000</f>
        <v>5875000.0</v>
      </c>
      <c r="W957" s="5" t="s">
        <v>88</v>
      </c>
      <c r="X957" s="23" t="n">
        <f>150000</f>
        <v>150000.0</v>
      </c>
      <c r="Y957" s="23" t="n">
        <f>18</f>
        <v>18.0</v>
      </c>
      <c r="Z957" s="21" t="str">
        <f>"－"</f>
        <v>－</v>
      </c>
      <c r="AA957" s="21" t="n">
        <f>1</f>
        <v>1.0</v>
      </c>
      <c r="AB957" s="4" t="s">
        <v>343</v>
      </c>
      <c r="AC957" s="22" t="n">
        <f>30</f>
        <v>30.0</v>
      </c>
      <c r="AD957" s="5" t="s">
        <v>263</v>
      </c>
      <c r="AE957" s="23" t="str">
        <f>"－"</f>
        <v>－</v>
      </c>
    </row>
    <row r="958">
      <c r="A958" s="24" t="s">
        <v>1881</v>
      </c>
      <c r="B958" s="25" t="s">
        <v>1882</v>
      </c>
      <c r="C958" s="26" t="s">
        <v>1744</v>
      </c>
      <c r="D958" s="27" t="s">
        <v>1745</v>
      </c>
      <c r="E958" s="28" t="s">
        <v>327</v>
      </c>
      <c r="F958" s="20" t="n">
        <f>122</f>
        <v>122.0</v>
      </c>
      <c r="G958" s="21" t="n">
        <f>119</f>
        <v>119.0</v>
      </c>
      <c r="H958" s="21"/>
      <c r="I958" s="21" t="str">
        <f>"－"</f>
        <v>－</v>
      </c>
      <c r="J958" s="21" t="n">
        <f>1</f>
        <v>1.0</v>
      </c>
      <c r="K958" s="21" t="str">
        <f>"－"</f>
        <v>－</v>
      </c>
      <c r="L958" s="4" t="s">
        <v>1009</v>
      </c>
      <c r="M958" s="22" t="n">
        <f>3</f>
        <v>3.0</v>
      </c>
      <c r="N958" s="5" t="s">
        <v>279</v>
      </c>
      <c r="O958" s="23" t="str">
        <f>"－"</f>
        <v>－</v>
      </c>
      <c r="P958" s="3" t="s">
        <v>1939</v>
      </c>
      <c r="Q958" s="21"/>
      <c r="R958" s="3" t="s">
        <v>247</v>
      </c>
      <c r="S958" s="21" t="n">
        <f>225492</f>
        <v>225492.0</v>
      </c>
      <c r="T958" s="21" t="str">
        <f>"－"</f>
        <v>－</v>
      </c>
      <c r="U958" s="5" t="s">
        <v>178</v>
      </c>
      <c r="V958" s="23" t="n">
        <f>760000</f>
        <v>760000.0</v>
      </c>
      <c r="W958" s="5" t="s">
        <v>279</v>
      </c>
      <c r="X958" s="23" t="str">
        <f>"－"</f>
        <v>－</v>
      </c>
      <c r="Y958" s="23" t="n">
        <f>2</f>
        <v>2.0</v>
      </c>
      <c r="Z958" s="21" t="str">
        <f>"－"</f>
        <v>－</v>
      </c>
      <c r="AA958" s="21" t="n">
        <f>4</f>
        <v>4.0</v>
      </c>
      <c r="AB958" s="4" t="s">
        <v>170</v>
      </c>
      <c r="AC958" s="22" t="n">
        <f>5</f>
        <v>5.0</v>
      </c>
      <c r="AD958" s="5" t="s">
        <v>1277</v>
      </c>
      <c r="AE958" s="23" t="str">
        <f>"－"</f>
        <v>－</v>
      </c>
    </row>
    <row r="959">
      <c r="A959" s="24" t="s">
        <v>1881</v>
      </c>
      <c r="B959" s="25" t="s">
        <v>1882</v>
      </c>
      <c r="C959" s="26" t="s">
        <v>1748</v>
      </c>
      <c r="D959" s="27" t="s">
        <v>1749</v>
      </c>
      <c r="E959" s="28" t="s">
        <v>327</v>
      </c>
      <c r="F959" s="20" t="n">
        <f>122</f>
        <v>122.0</v>
      </c>
      <c r="G959" s="21" t="n">
        <f>116</f>
        <v>116.0</v>
      </c>
      <c r="H959" s="21"/>
      <c r="I959" s="21" t="str">
        <f>"－"</f>
        <v>－</v>
      </c>
      <c r="J959" s="21" t="n">
        <f>1</f>
        <v>1.0</v>
      </c>
      <c r="K959" s="21" t="str">
        <f>"－"</f>
        <v>－</v>
      </c>
      <c r="L959" s="4" t="s">
        <v>1009</v>
      </c>
      <c r="M959" s="22" t="n">
        <f>2</f>
        <v>2.0</v>
      </c>
      <c r="N959" s="5" t="s">
        <v>279</v>
      </c>
      <c r="O959" s="23" t="str">
        <f>"－"</f>
        <v>－</v>
      </c>
      <c r="P959" s="3" t="s">
        <v>1940</v>
      </c>
      <c r="Q959" s="21"/>
      <c r="R959" s="3" t="s">
        <v>247</v>
      </c>
      <c r="S959" s="21" t="n">
        <f>201967</f>
        <v>201967.0</v>
      </c>
      <c r="T959" s="21" t="str">
        <f>"－"</f>
        <v>－</v>
      </c>
      <c r="U959" s="5" t="s">
        <v>221</v>
      </c>
      <c r="V959" s="23" t="n">
        <f>600000</f>
        <v>600000.0</v>
      </c>
      <c r="W959" s="5" t="s">
        <v>279</v>
      </c>
      <c r="X959" s="23" t="str">
        <f>"－"</f>
        <v>－</v>
      </c>
      <c r="Y959" s="23" t="n">
        <f>1</f>
        <v>1.0</v>
      </c>
      <c r="Z959" s="21" t="str">
        <f>"－"</f>
        <v>－</v>
      </c>
      <c r="AA959" s="21" t="n">
        <f>1</f>
        <v>1.0</v>
      </c>
      <c r="AB959" s="4" t="s">
        <v>828</v>
      </c>
      <c r="AC959" s="22" t="n">
        <f>2</f>
        <v>2.0</v>
      </c>
      <c r="AD959" s="5" t="s">
        <v>279</v>
      </c>
      <c r="AE959" s="23" t="str">
        <f>"－"</f>
        <v>－</v>
      </c>
    </row>
    <row r="960">
      <c r="A960" s="24" t="s">
        <v>1881</v>
      </c>
      <c r="B960" s="25" t="s">
        <v>1882</v>
      </c>
      <c r="C960" s="26" t="s">
        <v>1752</v>
      </c>
      <c r="D960" s="27" t="s">
        <v>1753</v>
      </c>
      <c r="E960" s="28" t="s">
        <v>327</v>
      </c>
      <c r="F960" s="20" t="n">
        <f>122</f>
        <v>122.0</v>
      </c>
      <c r="G960" s="21" t="n">
        <f>235</f>
        <v>235.0</v>
      </c>
      <c r="H960" s="21"/>
      <c r="I960" s="21" t="str">
        <f>"－"</f>
        <v>－</v>
      </c>
      <c r="J960" s="21" t="n">
        <f>2</f>
        <v>2.0</v>
      </c>
      <c r="K960" s="21" t="str">
        <f>"－"</f>
        <v>－</v>
      </c>
      <c r="L960" s="4" t="s">
        <v>1009</v>
      </c>
      <c r="M960" s="22" t="n">
        <f>5</f>
        <v>5.0</v>
      </c>
      <c r="N960" s="5" t="s">
        <v>279</v>
      </c>
      <c r="O960" s="23" t="str">
        <f>"－"</f>
        <v>－</v>
      </c>
      <c r="P960" s="3" t="s">
        <v>1941</v>
      </c>
      <c r="Q960" s="21"/>
      <c r="R960" s="3" t="s">
        <v>247</v>
      </c>
      <c r="S960" s="21" t="n">
        <f>427459</f>
        <v>427459.0</v>
      </c>
      <c r="T960" s="21" t="str">
        <f>"－"</f>
        <v>－</v>
      </c>
      <c r="U960" s="5" t="s">
        <v>1009</v>
      </c>
      <c r="V960" s="23" t="n">
        <f>1140000</f>
        <v>1140000.0</v>
      </c>
      <c r="W960" s="5" t="s">
        <v>279</v>
      </c>
      <c r="X960" s="23" t="str">
        <f>"－"</f>
        <v>－</v>
      </c>
      <c r="Y960" s="23" t="n">
        <f>3</f>
        <v>3.0</v>
      </c>
      <c r="Z960" s="21" t="str">
        <f>"－"</f>
        <v>－</v>
      </c>
      <c r="AA960" s="21" t="n">
        <f>5</f>
        <v>5.0</v>
      </c>
      <c r="AB960" s="4" t="s">
        <v>170</v>
      </c>
      <c r="AC960" s="22" t="n">
        <f>7</f>
        <v>7.0</v>
      </c>
      <c r="AD960" s="5" t="s">
        <v>1277</v>
      </c>
      <c r="AE960" s="23" t="str">
        <f>"－"</f>
        <v>－</v>
      </c>
    </row>
    <row r="961">
      <c r="A961" s="24" t="s">
        <v>1881</v>
      </c>
      <c r="B961" s="25" t="s">
        <v>1882</v>
      </c>
      <c r="C961" s="26" t="s">
        <v>1744</v>
      </c>
      <c r="D961" s="27" t="s">
        <v>1745</v>
      </c>
      <c r="E961" s="28" t="s">
        <v>331</v>
      </c>
      <c r="F961" s="20" t="n">
        <f>124</f>
        <v>124.0</v>
      </c>
      <c r="G961" s="21" t="n">
        <f>120</f>
        <v>120.0</v>
      </c>
      <c r="H961" s="21"/>
      <c r="I961" s="21" t="str">
        <f>"－"</f>
        <v>－</v>
      </c>
      <c r="J961" s="21" t="n">
        <f>1</f>
        <v>1.0</v>
      </c>
      <c r="K961" s="21" t="str">
        <f>"－"</f>
        <v>－</v>
      </c>
      <c r="L961" s="4" t="s">
        <v>335</v>
      </c>
      <c r="M961" s="22" t="n">
        <f>1</f>
        <v>1.0</v>
      </c>
      <c r="N961" s="5" t="s">
        <v>1396</v>
      </c>
      <c r="O961" s="23" t="str">
        <f>"－"</f>
        <v>－</v>
      </c>
      <c r="P961" s="3" t="s">
        <v>1942</v>
      </c>
      <c r="Q961" s="21"/>
      <c r="R961" s="3" t="s">
        <v>247</v>
      </c>
      <c r="S961" s="21" t="n">
        <f>251371</f>
        <v>251371.0</v>
      </c>
      <c r="T961" s="21" t="str">
        <f>"－"</f>
        <v>－</v>
      </c>
      <c r="U961" s="5" t="s">
        <v>784</v>
      </c>
      <c r="V961" s="23" t="n">
        <f>520000</f>
        <v>520000.0</v>
      </c>
      <c r="W961" s="5" t="s">
        <v>1396</v>
      </c>
      <c r="X961" s="23" t="str">
        <f>"－"</f>
        <v>－</v>
      </c>
      <c r="Y961" s="23" t="str">
        <f>"－"</f>
        <v>－</v>
      </c>
      <c r="Z961" s="21" t="str">
        <f>"－"</f>
        <v>－</v>
      </c>
      <c r="AA961" s="21" t="str">
        <f>"－"</f>
        <v>－</v>
      </c>
      <c r="AB961" s="4" t="s">
        <v>335</v>
      </c>
      <c r="AC961" s="22" t="n">
        <f>5</f>
        <v>5.0</v>
      </c>
      <c r="AD961" s="5" t="s">
        <v>731</v>
      </c>
      <c r="AE961" s="23" t="str">
        <f>"－"</f>
        <v>－</v>
      </c>
    </row>
    <row r="962">
      <c r="A962" s="24" t="s">
        <v>1881</v>
      </c>
      <c r="B962" s="25" t="s">
        <v>1882</v>
      </c>
      <c r="C962" s="26" t="s">
        <v>1748</v>
      </c>
      <c r="D962" s="27" t="s">
        <v>1749</v>
      </c>
      <c r="E962" s="28" t="s">
        <v>331</v>
      </c>
      <c r="F962" s="20" t="n">
        <f>124</f>
        <v>124.0</v>
      </c>
      <c r="G962" s="21" t="n">
        <f>124</f>
        <v>124.0</v>
      </c>
      <c r="H962" s="21"/>
      <c r="I962" s="21" t="str">
        <f>"－"</f>
        <v>－</v>
      </c>
      <c r="J962" s="21" t="n">
        <f>1</f>
        <v>1.0</v>
      </c>
      <c r="K962" s="21" t="str">
        <f>"－"</f>
        <v>－</v>
      </c>
      <c r="L962" s="4" t="s">
        <v>216</v>
      </c>
      <c r="M962" s="22" t="n">
        <f>5</f>
        <v>5.0</v>
      </c>
      <c r="N962" s="5" t="s">
        <v>1396</v>
      </c>
      <c r="O962" s="23" t="str">
        <f>"－"</f>
        <v>－</v>
      </c>
      <c r="P962" s="3" t="s">
        <v>1943</v>
      </c>
      <c r="Q962" s="21"/>
      <c r="R962" s="3" t="s">
        <v>247</v>
      </c>
      <c r="S962" s="21" t="n">
        <f>240081</f>
        <v>240081.0</v>
      </c>
      <c r="T962" s="21" t="str">
        <f>"－"</f>
        <v>－</v>
      </c>
      <c r="U962" s="5" t="s">
        <v>216</v>
      </c>
      <c r="V962" s="23" t="n">
        <f>800000</f>
        <v>800000.0</v>
      </c>
      <c r="W962" s="5" t="s">
        <v>1396</v>
      </c>
      <c r="X962" s="23" t="str">
        <f>"－"</f>
        <v>－</v>
      </c>
      <c r="Y962" s="23" t="n">
        <f>1</f>
        <v>1.0</v>
      </c>
      <c r="Z962" s="21" t="str">
        <f>"－"</f>
        <v>－</v>
      </c>
      <c r="AA962" s="21" t="str">
        <f>"－"</f>
        <v>－</v>
      </c>
      <c r="AB962" s="4" t="s">
        <v>335</v>
      </c>
      <c r="AC962" s="22" t="n">
        <f>2</f>
        <v>2.0</v>
      </c>
      <c r="AD962" s="5" t="s">
        <v>731</v>
      </c>
      <c r="AE962" s="23" t="str">
        <f>"－"</f>
        <v>－</v>
      </c>
    </row>
    <row r="963">
      <c r="A963" s="24" t="s">
        <v>1881</v>
      </c>
      <c r="B963" s="25" t="s">
        <v>1882</v>
      </c>
      <c r="C963" s="26" t="s">
        <v>1752</v>
      </c>
      <c r="D963" s="27" t="s">
        <v>1753</v>
      </c>
      <c r="E963" s="28" t="s">
        <v>331</v>
      </c>
      <c r="F963" s="20" t="n">
        <f>124</f>
        <v>124.0</v>
      </c>
      <c r="G963" s="21" t="n">
        <f>244</f>
        <v>244.0</v>
      </c>
      <c r="H963" s="21"/>
      <c r="I963" s="21" t="str">
        <f>"－"</f>
        <v>－</v>
      </c>
      <c r="J963" s="21" t="n">
        <f>2</f>
        <v>2.0</v>
      </c>
      <c r="K963" s="21" t="str">
        <f>"－"</f>
        <v>－</v>
      </c>
      <c r="L963" s="4" t="s">
        <v>216</v>
      </c>
      <c r="M963" s="22" t="n">
        <f>6</f>
        <v>6.0</v>
      </c>
      <c r="N963" s="5" t="s">
        <v>1396</v>
      </c>
      <c r="O963" s="23" t="str">
        <f>"－"</f>
        <v>－</v>
      </c>
      <c r="P963" s="3" t="s">
        <v>1944</v>
      </c>
      <c r="Q963" s="21"/>
      <c r="R963" s="3" t="s">
        <v>247</v>
      </c>
      <c r="S963" s="21" t="n">
        <f>491452</f>
        <v>491452.0</v>
      </c>
      <c r="T963" s="21" t="str">
        <f>"－"</f>
        <v>－</v>
      </c>
      <c r="U963" s="5" t="s">
        <v>216</v>
      </c>
      <c r="V963" s="23" t="n">
        <f>1280000</f>
        <v>1280000.0</v>
      </c>
      <c r="W963" s="5" t="s">
        <v>1396</v>
      </c>
      <c r="X963" s="23" t="str">
        <f>"－"</f>
        <v>－</v>
      </c>
      <c r="Y963" s="23" t="n">
        <f>1</f>
        <v>1.0</v>
      </c>
      <c r="Z963" s="21" t="str">
        <f>"－"</f>
        <v>－</v>
      </c>
      <c r="AA963" s="21" t="str">
        <f>"－"</f>
        <v>－</v>
      </c>
      <c r="AB963" s="4" t="s">
        <v>335</v>
      </c>
      <c r="AC963" s="22" t="n">
        <f>7</f>
        <v>7.0</v>
      </c>
      <c r="AD963" s="5" t="s">
        <v>731</v>
      </c>
      <c r="AE963" s="23" t="str">
        <f>"－"</f>
        <v>－</v>
      </c>
    </row>
    <row r="964">
      <c r="A964" s="24" t="s">
        <v>1881</v>
      </c>
      <c r="B964" s="25" t="s">
        <v>1882</v>
      </c>
      <c r="C964" s="26" t="s">
        <v>1744</v>
      </c>
      <c r="D964" s="27" t="s">
        <v>1745</v>
      </c>
      <c r="E964" s="28" t="s">
        <v>336</v>
      </c>
      <c r="F964" s="20" t="n">
        <f>122</f>
        <v>122.0</v>
      </c>
      <c r="G964" s="21" t="n">
        <f>2017</f>
        <v>2017.0</v>
      </c>
      <c r="H964" s="21"/>
      <c r="I964" s="21" t="str">
        <f>"－"</f>
        <v>－</v>
      </c>
      <c r="J964" s="21" t="n">
        <f>17</f>
        <v>17.0</v>
      </c>
      <c r="K964" s="21" t="str">
        <f>"－"</f>
        <v>－</v>
      </c>
      <c r="L964" s="4" t="s">
        <v>582</v>
      </c>
      <c r="M964" s="22" t="n">
        <f>501</f>
        <v>501.0</v>
      </c>
      <c r="N964" s="5" t="s">
        <v>279</v>
      </c>
      <c r="O964" s="23" t="str">
        <f>"－"</f>
        <v>－</v>
      </c>
      <c r="P964" s="3" t="s">
        <v>1945</v>
      </c>
      <c r="Q964" s="21"/>
      <c r="R964" s="3" t="s">
        <v>247</v>
      </c>
      <c r="S964" s="21" t="n">
        <f>5246967</f>
        <v>5246967.0</v>
      </c>
      <c r="T964" s="21" t="str">
        <f>"－"</f>
        <v>－</v>
      </c>
      <c r="U964" s="5" t="s">
        <v>65</v>
      </c>
      <c r="V964" s="23" t="n">
        <f>139520000</f>
        <v>1.3952E8</v>
      </c>
      <c r="W964" s="5" t="s">
        <v>279</v>
      </c>
      <c r="X964" s="23" t="str">
        <f>"－"</f>
        <v>－</v>
      </c>
      <c r="Y964" s="23" t="n">
        <f>45</f>
        <v>45.0</v>
      </c>
      <c r="Z964" s="21" t="str">
        <f>"－"</f>
        <v>－</v>
      </c>
      <c r="AA964" s="21" t="n">
        <f>43</f>
        <v>43.0</v>
      </c>
      <c r="AB964" s="4" t="s">
        <v>757</v>
      </c>
      <c r="AC964" s="22" t="n">
        <f>1280</f>
        <v>1280.0</v>
      </c>
      <c r="AD964" s="5" t="s">
        <v>279</v>
      </c>
      <c r="AE964" s="23" t="str">
        <f>"－"</f>
        <v>－</v>
      </c>
    </row>
    <row r="965">
      <c r="A965" s="24" t="s">
        <v>1881</v>
      </c>
      <c r="B965" s="25" t="s">
        <v>1882</v>
      </c>
      <c r="C965" s="26" t="s">
        <v>1748</v>
      </c>
      <c r="D965" s="27" t="s">
        <v>1749</v>
      </c>
      <c r="E965" s="28" t="s">
        <v>336</v>
      </c>
      <c r="F965" s="20" t="n">
        <f>122</f>
        <v>122.0</v>
      </c>
      <c r="G965" s="21" t="n">
        <f>1257</f>
        <v>1257.0</v>
      </c>
      <c r="H965" s="21"/>
      <c r="I965" s="21" t="str">
        <f>"－"</f>
        <v>－</v>
      </c>
      <c r="J965" s="21" t="n">
        <f>10</f>
        <v>10.0</v>
      </c>
      <c r="K965" s="21" t="str">
        <f>"－"</f>
        <v>－</v>
      </c>
      <c r="L965" s="4" t="s">
        <v>1433</v>
      </c>
      <c r="M965" s="22" t="n">
        <f>345</f>
        <v>345.0</v>
      </c>
      <c r="N965" s="5" t="s">
        <v>279</v>
      </c>
      <c r="O965" s="23" t="str">
        <f>"－"</f>
        <v>－</v>
      </c>
      <c r="P965" s="3" t="s">
        <v>1946</v>
      </c>
      <c r="Q965" s="21"/>
      <c r="R965" s="3" t="s">
        <v>247</v>
      </c>
      <c r="S965" s="21" t="n">
        <f>4954344</f>
        <v>4954344.0</v>
      </c>
      <c r="T965" s="21" t="str">
        <f>"－"</f>
        <v>－</v>
      </c>
      <c r="U965" s="5" t="s">
        <v>184</v>
      </c>
      <c r="V965" s="23" t="n">
        <f>276000000</f>
        <v>2.76E8</v>
      </c>
      <c r="W965" s="5" t="s">
        <v>279</v>
      </c>
      <c r="X965" s="23" t="str">
        <f>"－"</f>
        <v>－</v>
      </c>
      <c r="Y965" s="23" t="n">
        <f>1</f>
        <v>1.0</v>
      </c>
      <c r="Z965" s="21" t="str">
        <f>"－"</f>
        <v>－</v>
      </c>
      <c r="AA965" s="21" t="n">
        <f>25</f>
        <v>25.0</v>
      </c>
      <c r="AB965" s="4" t="s">
        <v>1767</v>
      </c>
      <c r="AC965" s="22" t="n">
        <f>667</f>
        <v>667.0</v>
      </c>
      <c r="AD965" s="5" t="s">
        <v>279</v>
      </c>
      <c r="AE965" s="23" t="str">
        <f>"－"</f>
        <v>－</v>
      </c>
    </row>
    <row r="966">
      <c r="A966" s="24" t="s">
        <v>1881</v>
      </c>
      <c r="B966" s="25" t="s">
        <v>1882</v>
      </c>
      <c r="C966" s="26" t="s">
        <v>1752</v>
      </c>
      <c r="D966" s="27" t="s">
        <v>1753</v>
      </c>
      <c r="E966" s="28" t="s">
        <v>336</v>
      </c>
      <c r="F966" s="20" t="n">
        <f>122</f>
        <v>122.0</v>
      </c>
      <c r="G966" s="21" t="n">
        <f>3274</f>
        <v>3274.0</v>
      </c>
      <c r="H966" s="21"/>
      <c r="I966" s="21" t="str">
        <f>"－"</f>
        <v>－</v>
      </c>
      <c r="J966" s="21" t="n">
        <f>27</f>
        <v>27.0</v>
      </c>
      <c r="K966" s="21" t="str">
        <f>"－"</f>
        <v>－</v>
      </c>
      <c r="L966" s="4" t="s">
        <v>257</v>
      </c>
      <c r="M966" s="22" t="n">
        <f>502</f>
        <v>502.0</v>
      </c>
      <c r="N966" s="5" t="s">
        <v>279</v>
      </c>
      <c r="O966" s="23" t="str">
        <f>"－"</f>
        <v>－</v>
      </c>
      <c r="P966" s="3" t="s">
        <v>1947</v>
      </c>
      <c r="Q966" s="21"/>
      <c r="R966" s="3" t="s">
        <v>247</v>
      </c>
      <c r="S966" s="21" t="n">
        <f>10201311</f>
        <v>1.0201311E7</v>
      </c>
      <c r="T966" s="21" t="str">
        <f>"－"</f>
        <v>－</v>
      </c>
      <c r="U966" s="5" t="s">
        <v>184</v>
      </c>
      <c r="V966" s="23" t="n">
        <f>276740000</f>
        <v>2.7674E8</v>
      </c>
      <c r="W966" s="5" t="s">
        <v>279</v>
      </c>
      <c r="X966" s="23" t="str">
        <f>"－"</f>
        <v>－</v>
      </c>
      <c r="Y966" s="23" t="n">
        <f>46</f>
        <v>46.0</v>
      </c>
      <c r="Z966" s="21" t="str">
        <f>"－"</f>
        <v>－</v>
      </c>
      <c r="AA966" s="21" t="n">
        <f>68</f>
        <v>68.0</v>
      </c>
      <c r="AB966" s="4" t="s">
        <v>757</v>
      </c>
      <c r="AC966" s="22" t="n">
        <f>1601</f>
        <v>1601.0</v>
      </c>
      <c r="AD966" s="5" t="s">
        <v>279</v>
      </c>
      <c r="AE966" s="23" t="str">
        <f>"－"</f>
        <v>－</v>
      </c>
    </row>
    <row r="967">
      <c r="A967" s="24" t="s">
        <v>1881</v>
      </c>
      <c r="B967" s="25" t="s">
        <v>1882</v>
      </c>
      <c r="C967" s="26" t="s">
        <v>1744</v>
      </c>
      <c r="D967" s="27" t="s">
        <v>1745</v>
      </c>
      <c r="E967" s="28" t="s">
        <v>340</v>
      </c>
      <c r="F967" s="20" t="n">
        <f>125</f>
        <v>125.0</v>
      </c>
      <c r="G967" s="21" t="n">
        <f>470</f>
        <v>470.0</v>
      </c>
      <c r="H967" s="21"/>
      <c r="I967" s="21" t="str">
        <f>"－"</f>
        <v>－</v>
      </c>
      <c r="J967" s="21" t="n">
        <f>4</f>
        <v>4.0</v>
      </c>
      <c r="K967" s="21" t="str">
        <f>"－"</f>
        <v>－</v>
      </c>
      <c r="L967" s="4" t="s">
        <v>123</v>
      </c>
      <c r="M967" s="22" t="n">
        <f>169</f>
        <v>169.0</v>
      </c>
      <c r="N967" s="5" t="s">
        <v>350</v>
      </c>
      <c r="O967" s="23" t="str">
        <f>"－"</f>
        <v>－</v>
      </c>
      <c r="P967" s="3" t="s">
        <v>1948</v>
      </c>
      <c r="Q967" s="21"/>
      <c r="R967" s="3" t="s">
        <v>247</v>
      </c>
      <c r="S967" s="21" t="n">
        <f>1324400</f>
        <v>1324400.0</v>
      </c>
      <c r="T967" s="21" t="str">
        <f>"－"</f>
        <v>－</v>
      </c>
      <c r="U967" s="5" t="s">
        <v>123</v>
      </c>
      <c r="V967" s="23" t="n">
        <f>58585000</f>
        <v>5.8585E7</v>
      </c>
      <c r="W967" s="5" t="s">
        <v>350</v>
      </c>
      <c r="X967" s="23" t="str">
        <f>"－"</f>
        <v>－</v>
      </c>
      <c r="Y967" s="23" t="str">
        <f>"－"</f>
        <v>－</v>
      </c>
      <c r="Z967" s="21" t="str">
        <f>"－"</f>
        <v>－</v>
      </c>
      <c r="AA967" s="21" t="n">
        <f>21</f>
        <v>21.0</v>
      </c>
      <c r="AB967" s="4" t="s">
        <v>58</v>
      </c>
      <c r="AC967" s="22" t="n">
        <f>185</f>
        <v>185.0</v>
      </c>
      <c r="AD967" s="5" t="s">
        <v>792</v>
      </c>
      <c r="AE967" s="23" t="str">
        <f>"－"</f>
        <v>－</v>
      </c>
    </row>
    <row r="968">
      <c r="A968" s="24" t="s">
        <v>1881</v>
      </c>
      <c r="B968" s="25" t="s">
        <v>1882</v>
      </c>
      <c r="C968" s="26" t="s">
        <v>1748</v>
      </c>
      <c r="D968" s="27" t="s">
        <v>1749</v>
      </c>
      <c r="E968" s="28" t="s">
        <v>340</v>
      </c>
      <c r="F968" s="20" t="n">
        <f>125</f>
        <v>125.0</v>
      </c>
      <c r="G968" s="21" t="n">
        <f>488</f>
        <v>488.0</v>
      </c>
      <c r="H968" s="21"/>
      <c r="I968" s="21" t="str">
        <f>"－"</f>
        <v>－</v>
      </c>
      <c r="J968" s="21" t="n">
        <f>4</f>
        <v>4.0</v>
      </c>
      <c r="K968" s="21" t="str">
        <f>"－"</f>
        <v>－</v>
      </c>
      <c r="L968" s="4" t="s">
        <v>76</v>
      </c>
      <c r="M968" s="22" t="n">
        <f>145</f>
        <v>145.0</v>
      </c>
      <c r="N968" s="5" t="s">
        <v>784</v>
      </c>
      <c r="O968" s="23" t="str">
        <f>"－"</f>
        <v>－</v>
      </c>
      <c r="P968" s="3" t="s">
        <v>1949</v>
      </c>
      <c r="Q968" s="21"/>
      <c r="R968" s="3" t="s">
        <v>247</v>
      </c>
      <c r="S968" s="21" t="n">
        <f>665760</f>
        <v>665760.0</v>
      </c>
      <c r="T968" s="21" t="str">
        <f>"－"</f>
        <v>－</v>
      </c>
      <c r="U968" s="5" t="s">
        <v>76</v>
      </c>
      <c r="V968" s="23" t="n">
        <f>21025000</f>
        <v>2.1025E7</v>
      </c>
      <c r="W968" s="5" t="s">
        <v>784</v>
      </c>
      <c r="X968" s="23" t="str">
        <f>"－"</f>
        <v>－</v>
      </c>
      <c r="Y968" s="23" t="n">
        <f>15</f>
        <v>15.0</v>
      </c>
      <c r="Z968" s="21" t="str">
        <f>"－"</f>
        <v>－</v>
      </c>
      <c r="AA968" s="21" t="str">
        <f>"－"</f>
        <v>－</v>
      </c>
      <c r="AB968" s="4" t="s">
        <v>76</v>
      </c>
      <c r="AC968" s="22" t="n">
        <f>145</f>
        <v>145.0</v>
      </c>
      <c r="AD968" s="5" t="s">
        <v>1259</v>
      </c>
      <c r="AE968" s="23" t="str">
        <f>"－"</f>
        <v>－</v>
      </c>
    </row>
    <row r="969">
      <c r="A969" s="24" t="s">
        <v>1881</v>
      </c>
      <c r="B969" s="25" t="s">
        <v>1882</v>
      </c>
      <c r="C969" s="26" t="s">
        <v>1752</v>
      </c>
      <c r="D969" s="27" t="s">
        <v>1753</v>
      </c>
      <c r="E969" s="28" t="s">
        <v>340</v>
      </c>
      <c r="F969" s="20" t="n">
        <f>125</f>
        <v>125.0</v>
      </c>
      <c r="G969" s="21" t="n">
        <f>958</f>
        <v>958.0</v>
      </c>
      <c r="H969" s="21"/>
      <c r="I969" s="21" t="str">
        <f>"－"</f>
        <v>－</v>
      </c>
      <c r="J969" s="21" t="n">
        <f>8</f>
        <v>8.0</v>
      </c>
      <c r="K969" s="21" t="str">
        <f>"－"</f>
        <v>－</v>
      </c>
      <c r="L969" s="4" t="s">
        <v>123</v>
      </c>
      <c r="M969" s="22" t="n">
        <f>188</f>
        <v>188.0</v>
      </c>
      <c r="N969" s="5" t="s">
        <v>140</v>
      </c>
      <c r="O969" s="23" t="str">
        <f>"－"</f>
        <v>－</v>
      </c>
      <c r="P969" s="3" t="s">
        <v>1950</v>
      </c>
      <c r="Q969" s="21"/>
      <c r="R969" s="3" t="s">
        <v>247</v>
      </c>
      <c r="S969" s="21" t="n">
        <f>1990160</f>
        <v>1990160.0</v>
      </c>
      <c r="T969" s="21" t="str">
        <f>"－"</f>
        <v>－</v>
      </c>
      <c r="U969" s="5" t="s">
        <v>123</v>
      </c>
      <c r="V969" s="23" t="n">
        <f>62265000</f>
        <v>6.2265E7</v>
      </c>
      <c r="W969" s="5" t="s">
        <v>140</v>
      </c>
      <c r="X969" s="23" t="str">
        <f>"－"</f>
        <v>－</v>
      </c>
      <c r="Y969" s="23" t="n">
        <f>15</f>
        <v>15.0</v>
      </c>
      <c r="Z969" s="21" t="str">
        <f>"－"</f>
        <v>－</v>
      </c>
      <c r="AA969" s="21" t="n">
        <f>21</f>
        <v>21.0</v>
      </c>
      <c r="AB969" s="4" t="s">
        <v>123</v>
      </c>
      <c r="AC969" s="22" t="n">
        <f>238</f>
        <v>238.0</v>
      </c>
      <c r="AD969" s="5" t="s">
        <v>792</v>
      </c>
      <c r="AE969" s="23" t="str">
        <f>"－"</f>
        <v>－</v>
      </c>
    </row>
    <row r="970">
      <c r="A970" s="24" t="s">
        <v>1881</v>
      </c>
      <c r="B970" s="25" t="s">
        <v>1882</v>
      </c>
      <c r="C970" s="26" t="s">
        <v>1744</v>
      </c>
      <c r="D970" s="27" t="s">
        <v>1745</v>
      </c>
      <c r="E970" s="28" t="s">
        <v>344</v>
      </c>
      <c r="F970" s="20" t="n">
        <f>121</f>
        <v>121.0</v>
      </c>
      <c r="G970" s="21" t="n">
        <f>49</f>
        <v>49.0</v>
      </c>
      <c r="H970" s="21"/>
      <c r="I970" s="21" t="str">
        <f>"－"</f>
        <v>－</v>
      </c>
      <c r="J970" s="21" t="n">
        <f>0</f>
        <v>0.0</v>
      </c>
      <c r="K970" s="21" t="str">
        <f>"－"</f>
        <v>－</v>
      </c>
      <c r="L970" s="4" t="s">
        <v>603</v>
      </c>
      <c r="M970" s="22" t="n">
        <f>11</f>
        <v>11.0</v>
      </c>
      <c r="N970" s="5" t="s">
        <v>268</v>
      </c>
      <c r="O970" s="23" t="str">
        <f>"－"</f>
        <v>－</v>
      </c>
      <c r="P970" s="3" t="s">
        <v>1951</v>
      </c>
      <c r="Q970" s="21"/>
      <c r="R970" s="3" t="s">
        <v>247</v>
      </c>
      <c r="S970" s="21" t="n">
        <f>241860</f>
        <v>241860.0</v>
      </c>
      <c r="T970" s="21" t="str">
        <f>"－"</f>
        <v>－</v>
      </c>
      <c r="U970" s="5" t="s">
        <v>603</v>
      </c>
      <c r="V970" s="23" t="n">
        <f>10780000</f>
        <v>1.078E7</v>
      </c>
      <c r="W970" s="5" t="s">
        <v>268</v>
      </c>
      <c r="X970" s="23" t="str">
        <f>"－"</f>
        <v>－</v>
      </c>
      <c r="Y970" s="23" t="str">
        <f>"－"</f>
        <v>－</v>
      </c>
      <c r="Z970" s="21" t="str">
        <f>"－"</f>
        <v>－</v>
      </c>
      <c r="AA970" s="21" t="str">
        <f>"－"</f>
        <v>－</v>
      </c>
      <c r="AB970" s="4" t="s">
        <v>339</v>
      </c>
      <c r="AC970" s="22" t="n">
        <f>22</f>
        <v>22.0</v>
      </c>
      <c r="AD970" s="5" t="s">
        <v>374</v>
      </c>
      <c r="AE970" s="23" t="str">
        <f>"－"</f>
        <v>－</v>
      </c>
    </row>
    <row r="971">
      <c r="A971" s="24" t="s">
        <v>1881</v>
      </c>
      <c r="B971" s="25" t="s">
        <v>1882</v>
      </c>
      <c r="C971" s="26" t="s">
        <v>1748</v>
      </c>
      <c r="D971" s="27" t="s">
        <v>1749</v>
      </c>
      <c r="E971" s="28" t="s">
        <v>344</v>
      </c>
      <c r="F971" s="20" t="n">
        <f>121</f>
        <v>121.0</v>
      </c>
      <c r="G971" s="21" t="n">
        <f>26</f>
        <v>26.0</v>
      </c>
      <c r="H971" s="21"/>
      <c r="I971" s="21" t="str">
        <f>"－"</f>
        <v>－</v>
      </c>
      <c r="J971" s="21" t="n">
        <f>0</f>
        <v>0.0</v>
      </c>
      <c r="K971" s="21" t="str">
        <f>"－"</f>
        <v>－</v>
      </c>
      <c r="L971" s="4" t="s">
        <v>339</v>
      </c>
      <c r="M971" s="22" t="n">
        <f>1</f>
        <v>1.0</v>
      </c>
      <c r="N971" s="5" t="s">
        <v>268</v>
      </c>
      <c r="O971" s="23" t="str">
        <f>"－"</f>
        <v>－</v>
      </c>
      <c r="P971" s="3" t="s">
        <v>1952</v>
      </c>
      <c r="Q971" s="21"/>
      <c r="R971" s="3" t="s">
        <v>247</v>
      </c>
      <c r="S971" s="21" t="n">
        <f>60496</f>
        <v>60496.0</v>
      </c>
      <c r="T971" s="21" t="str">
        <f>"－"</f>
        <v>－</v>
      </c>
      <c r="U971" s="5" t="s">
        <v>194</v>
      </c>
      <c r="V971" s="23" t="n">
        <f>430000</f>
        <v>430000.0</v>
      </c>
      <c r="W971" s="5" t="s">
        <v>268</v>
      </c>
      <c r="X971" s="23" t="str">
        <f>"－"</f>
        <v>－</v>
      </c>
      <c r="Y971" s="23" t="str">
        <f>"－"</f>
        <v>－</v>
      </c>
      <c r="Z971" s="21" t="str">
        <f>"－"</f>
        <v>－</v>
      </c>
      <c r="AA971" s="21" t="str">
        <f>"－"</f>
        <v>－</v>
      </c>
      <c r="AB971" s="4" t="s">
        <v>339</v>
      </c>
      <c r="AC971" s="22" t="n">
        <f>1</f>
        <v>1.0</v>
      </c>
      <c r="AD971" s="5" t="s">
        <v>268</v>
      </c>
      <c r="AE971" s="23" t="str">
        <f>"－"</f>
        <v>－</v>
      </c>
    </row>
    <row r="972">
      <c r="A972" s="24" t="s">
        <v>1881</v>
      </c>
      <c r="B972" s="25" t="s">
        <v>1882</v>
      </c>
      <c r="C972" s="26" t="s">
        <v>1752</v>
      </c>
      <c r="D972" s="27" t="s">
        <v>1753</v>
      </c>
      <c r="E972" s="28" t="s">
        <v>344</v>
      </c>
      <c r="F972" s="20" t="n">
        <f>121</f>
        <v>121.0</v>
      </c>
      <c r="G972" s="21" t="n">
        <f>75</f>
        <v>75.0</v>
      </c>
      <c r="H972" s="21"/>
      <c r="I972" s="21" t="str">
        <f>"－"</f>
        <v>－</v>
      </c>
      <c r="J972" s="21" t="n">
        <f>1</f>
        <v>1.0</v>
      </c>
      <c r="K972" s="21" t="str">
        <f>"－"</f>
        <v>－</v>
      </c>
      <c r="L972" s="4" t="s">
        <v>603</v>
      </c>
      <c r="M972" s="22" t="n">
        <f>11</f>
        <v>11.0</v>
      </c>
      <c r="N972" s="5" t="s">
        <v>268</v>
      </c>
      <c r="O972" s="23" t="str">
        <f>"－"</f>
        <v>－</v>
      </c>
      <c r="P972" s="3" t="s">
        <v>1953</v>
      </c>
      <c r="Q972" s="21"/>
      <c r="R972" s="3" t="s">
        <v>247</v>
      </c>
      <c r="S972" s="21" t="n">
        <f>302355</f>
        <v>302355.0</v>
      </c>
      <c r="T972" s="21" t="str">
        <f>"－"</f>
        <v>－</v>
      </c>
      <c r="U972" s="5" t="s">
        <v>603</v>
      </c>
      <c r="V972" s="23" t="n">
        <f>10780000</f>
        <v>1.078E7</v>
      </c>
      <c r="W972" s="5" t="s">
        <v>268</v>
      </c>
      <c r="X972" s="23" t="str">
        <f>"－"</f>
        <v>－</v>
      </c>
      <c r="Y972" s="23" t="str">
        <f>"－"</f>
        <v>－</v>
      </c>
      <c r="Z972" s="21" t="str">
        <f>"－"</f>
        <v>－</v>
      </c>
      <c r="AA972" s="21" t="str">
        <f>"－"</f>
        <v>－</v>
      </c>
      <c r="AB972" s="4" t="s">
        <v>339</v>
      </c>
      <c r="AC972" s="22" t="n">
        <f>23</f>
        <v>23.0</v>
      </c>
      <c r="AD972" s="5" t="s">
        <v>374</v>
      </c>
      <c r="AE972" s="23" t="str">
        <f>"－"</f>
        <v>－</v>
      </c>
    </row>
    <row r="973">
      <c r="A973" s="24" t="s">
        <v>1881</v>
      </c>
      <c r="B973" s="25" t="s">
        <v>1882</v>
      </c>
      <c r="C973" s="26" t="s">
        <v>1744</v>
      </c>
      <c r="D973" s="27" t="s">
        <v>1745</v>
      </c>
      <c r="E973" s="28" t="s">
        <v>347</v>
      </c>
      <c r="F973" s="20" t="n">
        <f>125</f>
        <v>125.0</v>
      </c>
      <c r="G973" s="21" t="n">
        <f>735</f>
        <v>735.0</v>
      </c>
      <c r="H973" s="21"/>
      <c r="I973" s="21" t="str">
        <f>"－"</f>
        <v>－</v>
      </c>
      <c r="J973" s="21" t="n">
        <f>6</f>
        <v>6.0</v>
      </c>
      <c r="K973" s="21" t="str">
        <f>"－"</f>
        <v>－</v>
      </c>
      <c r="L973" s="4" t="s">
        <v>458</v>
      </c>
      <c r="M973" s="22" t="n">
        <f>310</f>
        <v>310.0</v>
      </c>
      <c r="N973" s="5" t="s">
        <v>263</v>
      </c>
      <c r="O973" s="23" t="str">
        <f>"－"</f>
        <v>－</v>
      </c>
      <c r="P973" s="3" t="s">
        <v>1954</v>
      </c>
      <c r="Q973" s="21"/>
      <c r="R973" s="3" t="s">
        <v>247</v>
      </c>
      <c r="S973" s="21" t="n">
        <f>4087120</f>
        <v>4087120.0</v>
      </c>
      <c r="T973" s="21" t="str">
        <f>"－"</f>
        <v>－</v>
      </c>
      <c r="U973" s="5" t="s">
        <v>458</v>
      </c>
      <c r="V973" s="23" t="n">
        <f>300700000</f>
        <v>3.007E8</v>
      </c>
      <c r="W973" s="5" t="s">
        <v>263</v>
      </c>
      <c r="X973" s="23" t="str">
        <f>"－"</f>
        <v>－</v>
      </c>
      <c r="Y973" s="23" t="str">
        <f>"－"</f>
        <v>－</v>
      </c>
      <c r="Z973" s="21" t="str">
        <f>"－"</f>
        <v>－</v>
      </c>
      <c r="AA973" s="21" t="n">
        <f>310</f>
        <v>310.0</v>
      </c>
      <c r="AB973" s="4" t="s">
        <v>458</v>
      </c>
      <c r="AC973" s="22" t="n">
        <f>310</f>
        <v>310.0</v>
      </c>
      <c r="AD973" s="5" t="s">
        <v>263</v>
      </c>
      <c r="AE973" s="23" t="str">
        <f>"－"</f>
        <v>－</v>
      </c>
    </row>
    <row r="974">
      <c r="A974" s="24" t="s">
        <v>1881</v>
      </c>
      <c r="B974" s="25" t="s">
        <v>1882</v>
      </c>
      <c r="C974" s="26" t="s">
        <v>1748</v>
      </c>
      <c r="D974" s="27" t="s">
        <v>1749</v>
      </c>
      <c r="E974" s="28" t="s">
        <v>347</v>
      </c>
      <c r="F974" s="20" t="n">
        <f>125</f>
        <v>125.0</v>
      </c>
      <c r="G974" s="21" t="n">
        <f>420</f>
        <v>420.0</v>
      </c>
      <c r="H974" s="21"/>
      <c r="I974" s="21" t="str">
        <f>"－"</f>
        <v>－</v>
      </c>
      <c r="J974" s="21" t="n">
        <f>3</f>
        <v>3.0</v>
      </c>
      <c r="K974" s="21" t="str">
        <f>"－"</f>
        <v>－</v>
      </c>
      <c r="L974" s="4" t="s">
        <v>1080</v>
      </c>
      <c r="M974" s="22" t="n">
        <f>210</f>
        <v>210.0</v>
      </c>
      <c r="N974" s="5" t="s">
        <v>263</v>
      </c>
      <c r="O974" s="23" t="str">
        <f>"－"</f>
        <v>－</v>
      </c>
      <c r="P974" s="3" t="s">
        <v>1955</v>
      </c>
      <c r="Q974" s="21"/>
      <c r="R974" s="3" t="s">
        <v>247</v>
      </c>
      <c r="S974" s="21" t="n">
        <f>1738800</f>
        <v>1738800.0</v>
      </c>
      <c r="T974" s="21" t="str">
        <f>"－"</f>
        <v>－</v>
      </c>
      <c r="U974" s="5" t="s">
        <v>549</v>
      </c>
      <c r="V974" s="23" t="n">
        <f>122850000</f>
        <v>1.2285E8</v>
      </c>
      <c r="W974" s="5" t="s">
        <v>263</v>
      </c>
      <c r="X974" s="23" t="str">
        <f>"－"</f>
        <v>－</v>
      </c>
      <c r="Y974" s="23" t="str">
        <f>"－"</f>
        <v>－</v>
      </c>
      <c r="Z974" s="21" t="str">
        <f>"－"</f>
        <v>－</v>
      </c>
      <c r="AA974" s="21" t="str">
        <f>"－"</f>
        <v>－</v>
      </c>
      <c r="AB974" s="4" t="s">
        <v>1080</v>
      </c>
      <c r="AC974" s="22" t="n">
        <f>210</f>
        <v>210.0</v>
      </c>
      <c r="AD974" s="5" t="s">
        <v>263</v>
      </c>
      <c r="AE974" s="23" t="str">
        <f>"－"</f>
        <v>－</v>
      </c>
    </row>
    <row r="975">
      <c r="A975" s="24" t="s">
        <v>1881</v>
      </c>
      <c r="B975" s="25" t="s">
        <v>1882</v>
      </c>
      <c r="C975" s="26" t="s">
        <v>1752</v>
      </c>
      <c r="D975" s="27" t="s">
        <v>1753</v>
      </c>
      <c r="E975" s="28" t="s">
        <v>347</v>
      </c>
      <c r="F975" s="20" t="n">
        <f>125</f>
        <v>125.0</v>
      </c>
      <c r="G975" s="21" t="n">
        <f>1155</f>
        <v>1155.0</v>
      </c>
      <c r="H975" s="21"/>
      <c r="I975" s="21" t="str">
        <f>"－"</f>
        <v>－</v>
      </c>
      <c r="J975" s="21" t="n">
        <f>9</f>
        <v>9.0</v>
      </c>
      <c r="K975" s="21" t="str">
        <f>"－"</f>
        <v>－</v>
      </c>
      <c r="L975" s="4" t="s">
        <v>1080</v>
      </c>
      <c r="M975" s="22" t="n">
        <f>420</f>
        <v>420.0</v>
      </c>
      <c r="N975" s="5" t="s">
        <v>263</v>
      </c>
      <c r="O975" s="23" t="str">
        <f>"－"</f>
        <v>－</v>
      </c>
      <c r="P975" s="3" t="s">
        <v>1956</v>
      </c>
      <c r="Q975" s="21"/>
      <c r="R975" s="3" t="s">
        <v>247</v>
      </c>
      <c r="S975" s="21" t="n">
        <f>5825920</f>
        <v>5825920.0</v>
      </c>
      <c r="T975" s="21" t="str">
        <f>"－"</f>
        <v>－</v>
      </c>
      <c r="U975" s="5" t="s">
        <v>458</v>
      </c>
      <c r="V975" s="23" t="n">
        <f>300700000</f>
        <v>3.007E8</v>
      </c>
      <c r="W975" s="5" t="s">
        <v>263</v>
      </c>
      <c r="X975" s="23" t="str">
        <f>"－"</f>
        <v>－</v>
      </c>
      <c r="Y975" s="23" t="str">
        <f>"－"</f>
        <v>－</v>
      </c>
      <c r="Z975" s="21" t="str">
        <f>"－"</f>
        <v>－</v>
      </c>
      <c r="AA975" s="21" t="n">
        <f>310</f>
        <v>310.0</v>
      </c>
      <c r="AB975" s="4" t="s">
        <v>1080</v>
      </c>
      <c r="AC975" s="22" t="n">
        <f>421</f>
        <v>421.0</v>
      </c>
      <c r="AD975" s="5" t="s">
        <v>263</v>
      </c>
      <c r="AE975" s="23" t="str">
        <f>"－"</f>
        <v>－</v>
      </c>
    </row>
    <row r="976">
      <c r="A976" s="24" t="s">
        <v>1881</v>
      </c>
      <c r="B976" s="25" t="s">
        <v>1882</v>
      </c>
      <c r="C976" s="26" t="s">
        <v>1744</v>
      </c>
      <c r="D976" s="27" t="s">
        <v>1745</v>
      </c>
      <c r="E976" s="28" t="s">
        <v>351</v>
      </c>
      <c r="F976" s="20" t="n">
        <f>120</f>
        <v>120.0</v>
      </c>
      <c r="G976" s="21" t="n">
        <f>6100</f>
        <v>6100.0</v>
      </c>
      <c r="H976" s="21"/>
      <c r="I976" s="21" t="str">
        <f>"－"</f>
        <v>－</v>
      </c>
      <c r="J976" s="21" t="n">
        <f>51</f>
        <v>51.0</v>
      </c>
      <c r="K976" s="21" t="str">
        <f>"－"</f>
        <v>－</v>
      </c>
      <c r="L976" s="4" t="s">
        <v>1473</v>
      </c>
      <c r="M976" s="22" t="n">
        <f>976</f>
        <v>976.0</v>
      </c>
      <c r="N976" s="5" t="s">
        <v>268</v>
      </c>
      <c r="O976" s="23" t="str">
        <f>"－"</f>
        <v>－</v>
      </c>
      <c r="P976" s="3" t="s">
        <v>1957</v>
      </c>
      <c r="Q976" s="21"/>
      <c r="R976" s="3" t="s">
        <v>247</v>
      </c>
      <c r="S976" s="21" t="n">
        <f>19010250</f>
        <v>1.901025E7</v>
      </c>
      <c r="T976" s="21" t="str">
        <f>"－"</f>
        <v>－</v>
      </c>
      <c r="U976" s="5" t="s">
        <v>1473</v>
      </c>
      <c r="V976" s="23" t="n">
        <f>422040000</f>
        <v>4.2204E8</v>
      </c>
      <c r="W976" s="5" t="s">
        <v>268</v>
      </c>
      <c r="X976" s="23" t="str">
        <f>"－"</f>
        <v>－</v>
      </c>
      <c r="Y976" s="23" t="n">
        <f>630</f>
        <v>630.0</v>
      </c>
      <c r="Z976" s="21" t="str">
        <f>"－"</f>
        <v>－</v>
      </c>
      <c r="AA976" s="21" t="n">
        <f>679</f>
        <v>679.0</v>
      </c>
      <c r="AB976" s="4" t="s">
        <v>945</v>
      </c>
      <c r="AC976" s="22" t="n">
        <f>1494</f>
        <v>1494.0</v>
      </c>
      <c r="AD976" s="5" t="s">
        <v>1473</v>
      </c>
      <c r="AE976" s="23" t="n">
        <f>310</f>
        <v>310.0</v>
      </c>
    </row>
    <row r="977">
      <c r="A977" s="24" t="s">
        <v>1881</v>
      </c>
      <c r="B977" s="25" t="s">
        <v>1882</v>
      </c>
      <c r="C977" s="26" t="s">
        <v>1748</v>
      </c>
      <c r="D977" s="27" t="s">
        <v>1749</v>
      </c>
      <c r="E977" s="28" t="s">
        <v>351</v>
      </c>
      <c r="F977" s="20" t="n">
        <f>120</f>
        <v>120.0</v>
      </c>
      <c r="G977" s="21" t="n">
        <f>2753</f>
        <v>2753.0</v>
      </c>
      <c r="H977" s="21"/>
      <c r="I977" s="21" t="str">
        <f>"－"</f>
        <v>－</v>
      </c>
      <c r="J977" s="21" t="n">
        <f>23</f>
        <v>23.0</v>
      </c>
      <c r="K977" s="21" t="str">
        <f>"－"</f>
        <v>－</v>
      </c>
      <c r="L977" s="4" t="s">
        <v>1473</v>
      </c>
      <c r="M977" s="22" t="n">
        <f>976</f>
        <v>976.0</v>
      </c>
      <c r="N977" s="5" t="s">
        <v>268</v>
      </c>
      <c r="O977" s="23" t="str">
        <f>"－"</f>
        <v>－</v>
      </c>
      <c r="P977" s="3" t="s">
        <v>1958</v>
      </c>
      <c r="Q977" s="21"/>
      <c r="R977" s="3" t="s">
        <v>247</v>
      </c>
      <c r="S977" s="21" t="n">
        <f>12452833</f>
        <v>1.2452833E7</v>
      </c>
      <c r="T977" s="21" t="str">
        <f>"－"</f>
        <v>－</v>
      </c>
      <c r="U977" s="5" t="s">
        <v>1473</v>
      </c>
      <c r="V977" s="23" t="n">
        <f>732000000</f>
        <v>7.32E8</v>
      </c>
      <c r="W977" s="5" t="s">
        <v>268</v>
      </c>
      <c r="X977" s="23" t="str">
        <f>"－"</f>
        <v>－</v>
      </c>
      <c r="Y977" s="23" t="str">
        <f>"－"</f>
        <v>－</v>
      </c>
      <c r="Z977" s="21" t="str">
        <f>"－"</f>
        <v>－</v>
      </c>
      <c r="AA977" s="21" t="str">
        <f>"－"</f>
        <v>－</v>
      </c>
      <c r="AB977" s="4" t="s">
        <v>194</v>
      </c>
      <c r="AC977" s="22" t="n">
        <f>976</f>
        <v>976.0</v>
      </c>
      <c r="AD977" s="5" t="s">
        <v>1473</v>
      </c>
      <c r="AE977" s="23" t="str">
        <f>"－"</f>
        <v>－</v>
      </c>
    </row>
    <row r="978">
      <c r="A978" s="24" t="s">
        <v>1881</v>
      </c>
      <c r="B978" s="25" t="s">
        <v>1882</v>
      </c>
      <c r="C978" s="26" t="s">
        <v>1752</v>
      </c>
      <c r="D978" s="27" t="s">
        <v>1753</v>
      </c>
      <c r="E978" s="28" t="s">
        <v>351</v>
      </c>
      <c r="F978" s="20" t="n">
        <f>120</f>
        <v>120.0</v>
      </c>
      <c r="G978" s="21" t="n">
        <f>8853</f>
        <v>8853.0</v>
      </c>
      <c r="H978" s="21"/>
      <c r="I978" s="21" t="str">
        <f>"－"</f>
        <v>－</v>
      </c>
      <c r="J978" s="21" t="n">
        <f>74</f>
        <v>74.0</v>
      </c>
      <c r="K978" s="21" t="str">
        <f>"－"</f>
        <v>－</v>
      </c>
      <c r="L978" s="4" t="s">
        <v>1473</v>
      </c>
      <c r="M978" s="22" t="n">
        <f>1952</f>
        <v>1952.0</v>
      </c>
      <c r="N978" s="5" t="s">
        <v>268</v>
      </c>
      <c r="O978" s="23" t="str">
        <f>"－"</f>
        <v>－</v>
      </c>
      <c r="P978" s="3" t="s">
        <v>1959</v>
      </c>
      <c r="Q978" s="21"/>
      <c r="R978" s="3" t="s">
        <v>247</v>
      </c>
      <c r="S978" s="21" t="n">
        <f>31463083</f>
        <v>3.1463083E7</v>
      </c>
      <c r="T978" s="21" t="str">
        <f>"－"</f>
        <v>－</v>
      </c>
      <c r="U978" s="5" t="s">
        <v>1473</v>
      </c>
      <c r="V978" s="23" t="n">
        <f>1154040000</f>
        <v>1.15404E9</v>
      </c>
      <c r="W978" s="5" t="s">
        <v>268</v>
      </c>
      <c r="X978" s="23" t="str">
        <f>"－"</f>
        <v>－</v>
      </c>
      <c r="Y978" s="23" t="n">
        <f>630</f>
        <v>630.0</v>
      </c>
      <c r="Z978" s="21" t="str">
        <f>"－"</f>
        <v>－</v>
      </c>
      <c r="AA978" s="21" t="n">
        <f>679</f>
        <v>679.0</v>
      </c>
      <c r="AB978" s="4" t="s">
        <v>194</v>
      </c>
      <c r="AC978" s="22" t="n">
        <f>2262</f>
        <v>2262.0</v>
      </c>
      <c r="AD978" s="5" t="s">
        <v>1473</v>
      </c>
      <c r="AE978" s="23" t="n">
        <f>310</f>
        <v>310.0</v>
      </c>
    </row>
    <row r="979">
      <c r="A979" s="24" t="s">
        <v>1881</v>
      </c>
      <c r="B979" s="25" t="s">
        <v>1882</v>
      </c>
      <c r="C979" s="26" t="s">
        <v>1744</v>
      </c>
      <c r="D979" s="27" t="s">
        <v>1745</v>
      </c>
      <c r="E979" s="28" t="s">
        <v>355</v>
      </c>
      <c r="F979" s="20" t="n">
        <f>126</f>
        <v>126.0</v>
      </c>
      <c r="G979" s="21" t="n">
        <f>28385</f>
        <v>28385.0</v>
      </c>
      <c r="H979" s="21"/>
      <c r="I979" s="21" t="str">
        <f>"－"</f>
        <v>－</v>
      </c>
      <c r="J979" s="21" t="n">
        <f>225</f>
        <v>225.0</v>
      </c>
      <c r="K979" s="21" t="str">
        <f>"－"</f>
        <v>－</v>
      </c>
      <c r="L979" s="4" t="s">
        <v>1295</v>
      </c>
      <c r="M979" s="22" t="n">
        <f>7929</f>
        <v>7929.0</v>
      </c>
      <c r="N979" s="5" t="s">
        <v>335</v>
      </c>
      <c r="O979" s="23" t="str">
        <f>"－"</f>
        <v>－</v>
      </c>
      <c r="P979" s="3" t="s">
        <v>1960</v>
      </c>
      <c r="Q979" s="21"/>
      <c r="R979" s="3" t="s">
        <v>247</v>
      </c>
      <c r="S979" s="21" t="n">
        <f>73734683</f>
        <v>7.3734683E7</v>
      </c>
      <c r="T979" s="21" t="str">
        <f>"－"</f>
        <v>－</v>
      </c>
      <c r="U979" s="5" t="s">
        <v>1446</v>
      </c>
      <c r="V979" s="23" t="n">
        <f>3545850000</f>
        <v>3.54585E9</v>
      </c>
      <c r="W979" s="5" t="s">
        <v>335</v>
      </c>
      <c r="X979" s="23" t="str">
        <f>"－"</f>
        <v>－</v>
      </c>
      <c r="Y979" s="23" t="n">
        <f>2352</f>
        <v>2352.0</v>
      </c>
      <c r="Z979" s="21" t="str">
        <f>"－"</f>
        <v>－</v>
      </c>
      <c r="AA979" s="21" t="n">
        <f>6409</f>
        <v>6409.0</v>
      </c>
      <c r="AB979" s="4" t="s">
        <v>501</v>
      </c>
      <c r="AC979" s="22" t="n">
        <f>10138</f>
        <v>10138.0</v>
      </c>
      <c r="AD979" s="5" t="s">
        <v>335</v>
      </c>
      <c r="AE979" s="23" t="n">
        <f>679</f>
        <v>679.0</v>
      </c>
    </row>
    <row r="980">
      <c r="A980" s="24" t="s">
        <v>1881</v>
      </c>
      <c r="B980" s="25" t="s">
        <v>1882</v>
      </c>
      <c r="C980" s="26" t="s">
        <v>1748</v>
      </c>
      <c r="D980" s="27" t="s">
        <v>1749</v>
      </c>
      <c r="E980" s="28" t="s">
        <v>355</v>
      </c>
      <c r="F980" s="20" t="n">
        <f>126</f>
        <v>126.0</v>
      </c>
      <c r="G980" s="21" t="n">
        <f>23270</f>
        <v>23270.0</v>
      </c>
      <c r="H980" s="21"/>
      <c r="I980" s="21" t="str">
        <f>"－"</f>
        <v>－</v>
      </c>
      <c r="J980" s="21" t="n">
        <f>185</f>
        <v>185.0</v>
      </c>
      <c r="K980" s="21" t="str">
        <f>"－"</f>
        <v>－</v>
      </c>
      <c r="L980" s="4" t="s">
        <v>1295</v>
      </c>
      <c r="M980" s="22" t="n">
        <f>6814</f>
        <v>6814.0</v>
      </c>
      <c r="N980" s="5" t="s">
        <v>335</v>
      </c>
      <c r="O980" s="23" t="str">
        <f>"－"</f>
        <v>－</v>
      </c>
      <c r="P980" s="3" t="s">
        <v>1961</v>
      </c>
      <c r="Q980" s="21"/>
      <c r="R980" s="3" t="s">
        <v>247</v>
      </c>
      <c r="S980" s="21" t="n">
        <f>18227341</f>
        <v>1.8227341E7</v>
      </c>
      <c r="T980" s="21" t="str">
        <f>"－"</f>
        <v>－</v>
      </c>
      <c r="U980" s="5" t="s">
        <v>1295</v>
      </c>
      <c r="V980" s="23" t="n">
        <f>618142000</f>
        <v>6.18142E8</v>
      </c>
      <c r="W980" s="5" t="s">
        <v>335</v>
      </c>
      <c r="X980" s="23" t="str">
        <f>"－"</f>
        <v>－</v>
      </c>
      <c r="Y980" s="23" t="str">
        <f>"－"</f>
        <v>－</v>
      </c>
      <c r="Z980" s="21" t="str">
        <f>"－"</f>
        <v>－</v>
      </c>
      <c r="AA980" s="21" t="n">
        <f>5522</f>
        <v>5522.0</v>
      </c>
      <c r="AB980" s="4" t="s">
        <v>303</v>
      </c>
      <c r="AC980" s="22" t="n">
        <f>8351</f>
        <v>8351.0</v>
      </c>
      <c r="AD980" s="5" t="s">
        <v>335</v>
      </c>
      <c r="AE980" s="23" t="str">
        <f>"－"</f>
        <v>－</v>
      </c>
    </row>
    <row r="981">
      <c r="A981" s="24" t="s">
        <v>1881</v>
      </c>
      <c r="B981" s="25" t="s">
        <v>1882</v>
      </c>
      <c r="C981" s="26" t="s">
        <v>1752</v>
      </c>
      <c r="D981" s="27" t="s">
        <v>1753</v>
      </c>
      <c r="E981" s="28" t="s">
        <v>355</v>
      </c>
      <c r="F981" s="20" t="n">
        <f>126</f>
        <v>126.0</v>
      </c>
      <c r="G981" s="21" t="n">
        <f>51655</f>
        <v>51655.0</v>
      </c>
      <c r="H981" s="21"/>
      <c r="I981" s="21" t="str">
        <f>"－"</f>
        <v>－</v>
      </c>
      <c r="J981" s="21" t="n">
        <f>410</f>
        <v>410.0</v>
      </c>
      <c r="K981" s="21" t="str">
        <f>"－"</f>
        <v>－</v>
      </c>
      <c r="L981" s="4" t="s">
        <v>1295</v>
      </c>
      <c r="M981" s="22" t="n">
        <f>14743</f>
        <v>14743.0</v>
      </c>
      <c r="N981" s="5" t="s">
        <v>335</v>
      </c>
      <c r="O981" s="23" t="str">
        <f>"－"</f>
        <v>－</v>
      </c>
      <c r="P981" s="3" t="s">
        <v>1962</v>
      </c>
      <c r="Q981" s="21"/>
      <c r="R981" s="3" t="s">
        <v>247</v>
      </c>
      <c r="S981" s="21" t="n">
        <f>91962024</f>
        <v>9.1962024E7</v>
      </c>
      <c r="T981" s="21" t="str">
        <f>"－"</f>
        <v>－</v>
      </c>
      <c r="U981" s="5" t="s">
        <v>1446</v>
      </c>
      <c r="V981" s="23" t="n">
        <f>3978381000</f>
        <v>3.978381E9</v>
      </c>
      <c r="W981" s="5" t="s">
        <v>335</v>
      </c>
      <c r="X981" s="23" t="str">
        <f>"－"</f>
        <v>－</v>
      </c>
      <c r="Y981" s="23" t="n">
        <f>2352</f>
        <v>2352.0</v>
      </c>
      <c r="Z981" s="21" t="str">
        <f>"－"</f>
        <v>－</v>
      </c>
      <c r="AA981" s="21" t="n">
        <f>11931</f>
        <v>11931.0</v>
      </c>
      <c r="AB981" s="4" t="s">
        <v>501</v>
      </c>
      <c r="AC981" s="22" t="n">
        <f>18489</f>
        <v>18489.0</v>
      </c>
      <c r="AD981" s="5" t="s">
        <v>335</v>
      </c>
      <c r="AE981" s="23" t="n">
        <f>679</f>
        <v>679.0</v>
      </c>
    </row>
    <row r="982">
      <c r="A982" s="24" t="s">
        <v>1881</v>
      </c>
      <c r="B982" s="25" t="s">
        <v>1882</v>
      </c>
      <c r="C982" s="26" t="s">
        <v>1744</v>
      </c>
      <c r="D982" s="27" t="s">
        <v>1745</v>
      </c>
      <c r="E982" s="28" t="s">
        <v>358</v>
      </c>
      <c r="F982" s="20" t="n">
        <f>120</f>
        <v>120.0</v>
      </c>
      <c r="G982" s="21" t="n">
        <f>36239</f>
        <v>36239.0</v>
      </c>
      <c r="H982" s="21"/>
      <c r="I982" s="21" t="str">
        <f>"－"</f>
        <v>－</v>
      </c>
      <c r="J982" s="21" t="n">
        <f>302</f>
        <v>302.0</v>
      </c>
      <c r="K982" s="21" t="str">
        <f>"－"</f>
        <v>－</v>
      </c>
      <c r="L982" s="4" t="s">
        <v>184</v>
      </c>
      <c r="M982" s="22" t="n">
        <f>4924</f>
        <v>4924.0</v>
      </c>
      <c r="N982" s="5" t="s">
        <v>279</v>
      </c>
      <c r="O982" s="23" t="str">
        <f>"－"</f>
        <v>－</v>
      </c>
      <c r="P982" s="3" t="s">
        <v>1963</v>
      </c>
      <c r="Q982" s="21"/>
      <c r="R982" s="3" t="s">
        <v>247</v>
      </c>
      <c r="S982" s="21" t="n">
        <f>96792183</f>
        <v>9.6792183E7</v>
      </c>
      <c r="T982" s="21" t="str">
        <f>"－"</f>
        <v>－</v>
      </c>
      <c r="U982" s="5" t="s">
        <v>260</v>
      </c>
      <c r="V982" s="23" t="n">
        <f>2105800000</f>
        <v>2.1058E9</v>
      </c>
      <c r="W982" s="5" t="s">
        <v>279</v>
      </c>
      <c r="X982" s="23" t="str">
        <f>"－"</f>
        <v>－</v>
      </c>
      <c r="Y982" s="23" t="str">
        <f>"－"</f>
        <v>－</v>
      </c>
      <c r="Z982" s="21" t="str">
        <f>"－"</f>
        <v>－</v>
      </c>
      <c r="AA982" s="21" t="n">
        <f>7481</f>
        <v>7481.0</v>
      </c>
      <c r="AB982" s="4" t="s">
        <v>259</v>
      </c>
      <c r="AC982" s="22" t="n">
        <f>12842</f>
        <v>12842.0</v>
      </c>
      <c r="AD982" s="5" t="s">
        <v>279</v>
      </c>
      <c r="AE982" s="23" t="n">
        <f>6409</f>
        <v>6409.0</v>
      </c>
    </row>
    <row r="983">
      <c r="A983" s="24" t="s">
        <v>1881</v>
      </c>
      <c r="B983" s="25" t="s">
        <v>1882</v>
      </c>
      <c r="C983" s="26" t="s">
        <v>1748</v>
      </c>
      <c r="D983" s="27" t="s">
        <v>1749</v>
      </c>
      <c r="E983" s="28" t="s">
        <v>358</v>
      </c>
      <c r="F983" s="20" t="n">
        <f>120</f>
        <v>120.0</v>
      </c>
      <c r="G983" s="21" t="n">
        <f>37578</f>
        <v>37578.0</v>
      </c>
      <c r="H983" s="21"/>
      <c r="I983" s="21" t="str">
        <f>"－"</f>
        <v>－</v>
      </c>
      <c r="J983" s="21" t="n">
        <f>313</f>
        <v>313.0</v>
      </c>
      <c r="K983" s="21" t="str">
        <f>"－"</f>
        <v>－</v>
      </c>
      <c r="L983" s="4" t="s">
        <v>184</v>
      </c>
      <c r="M983" s="22" t="n">
        <f>4266</f>
        <v>4266.0</v>
      </c>
      <c r="N983" s="5" t="s">
        <v>279</v>
      </c>
      <c r="O983" s="23" t="str">
        <f>"－"</f>
        <v>－</v>
      </c>
      <c r="P983" s="3" t="s">
        <v>1964</v>
      </c>
      <c r="Q983" s="21"/>
      <c r="R983" s="3" t="s">
        <v>247</v>
      </c>
      <c r="S983" s="21" t="n">
        <f>25637833</f>
        <v>2.5637833E7</v>
      </c>
      <c r="T983" s="21" t="str">
        <f>"－"</f>
        <v>－</v>
      </c>
      <c r="U983" s="5" t="s">
        <v>528</v>
      </c>
      <c r="V983" s="23" t="n">
        <f>418920000</f>
        <v>4.1892E8</v>
      </c>
      <c r="W983" s="5" t="s">
        <v>279</v>
      </c>
      <c r="X983" s="23" t="str">
        <f>"－"</f>
        <v>－</v>
      </c>
      <c r="Y983" s="23" t="n">
        <f>2937</f>
        <v>2937.0</v>
      </c>
      <c r="Z983" s="21" t="str">
        <f>"－"</f>
        <v>－</v>
      </c>
      <c r="AA983" s="21" t="n">
        <f>3184</f>
        <v>3184.0</v>
      </c>
      <c r="AB983" s="4" t="s">
        <v>259</v>
      </c>
      <c r="AC983" s="22" t="n">
        <f>8283</f>
        <v>8283.0</v>
      </c>
      <c r="AD983" s="5" t="s">
        <v>865</v>
      </c>
      <c r="AE983" s="23" t="n">
        <f>1500</f>
        <v>1500.0</v>
      </c>
    </row>
    <row r="984">
      <c r="A984" s="24" t="s">
        <v>1881</v>
      </c>
      <c r="B984" s="25" t="s">
        <v>1882</v>
      </c>
      <c r="C984" s="26" t="s">
        <v>1752</v>
      </c>
      <c r="D984" s="27" t="s">
        <v>1753</v>
      </c>
      <c r="E984" s="28" t="s">
        <v>358</v>
      </c>
      <c r="F984" s="20" t="n">
        <f>120</f>
        <v>120.0</v>
      </c>
      <c r="G984" s="21" t="n">
        <f>73817</f>
        <v>73817.0</v>
      </c>
      <c r="H984" s="21"/>
      <c r="I984" s="21" t="str">
        <f>"－"</f>
        <v>－</v>
      </c>
      <c r="J984" s="21" t="n">
        <f>615</f>
        <v>615.0</v>
      </c>
      <c r="K984" s="21" t="str">
        <f>"－"</f>
        <v>－</v>
      </c>
      <c r="L984" s="4" t="s">
        <v>184</v>
      </c>
      <c r="M984" s="22" t="n">
        <f>9190</f>
        <v>9190.0</v>
      </c>
      <c r="N984" s="5" t="s">
        <v>279</v>
      </c>
      <c r="O984" s="23" t="str">
        <f>"－"</f>
        <v>－</v>
      </c>
      <c r="P984" s="3" t="s">
        <v>1965</v>
      </c>
      <c r="Q984" s="21"/>
      <c r="R984" s="3" t="s">
        <v>247</v>
      </c>
      <c r="S984" s="21" t="n">
        <f>122430017</f>
        <v>1.22430017E8</v>
      </c>
      <c r="T984" s="21" t="str">
        <f>"－"</f>
        <v>－</v>
      </c>
      <c r="U984" s="5" t="s">
        <v>260</v>
      </c>
      <c r="V984" s="23" t="n">
        <f>2339166000</f>
        <v>2.339166E9</v>
      </c>
      <c r="W984" s="5" t="s">
        <v>279</v>
      </c>
      <c r="X984" s="23" t="str">
        <f>"－"</f>
        <v>－</v>
      </c>
      <c r="Y984" s="23" t="n">
        <f>2937</f>
        <v>2937.0</v>
      </c>
      <c r="Z984" s="21" t="str">
        <f>"－"</f>
        <v>－</v>
      </c>
      <c r="AA984" s="21" t="n">
        <f>10665</f>
        <v>10665.0</v>
      </c>
      <c r="AB984" s="4" t="s">
        <v>259</v>
      </c>
      <c r="AC984" s="22" t="n">
        <f>21125</f>
        <v>21125.0</v>
      </c>
      <c r="AD984" s="5" t="s">
        <v>865</v>
      </c>
      <c r="AE984" s="23" t="n">
        <f>8415</f>
        <v>8415.0</v>
      </c>
    </row>
    <row r="985">
      <c r="A985" s="24" t="s">
        <v>1881</v>
      </c>
      <c r="B985" s="25" t="s">
        <v>1882</v>
      </c>
      <c r="C985" s="26" t="s">
        <v>1744</v>
      </c>
      <c r="D985" s="27" t="s">
        <v>1745</v>
      </c>
      <c r="E985" s="28" t="s">
        <v>361</v>
      </c>
      <c r="F985" s="20" t="n">
        <f>126</f>
        <v>126.0</v>
      </c>
      <c r="G985" s="21" t="n">
        <f>31272</f>
        <v>31272.0</v>
      </c>
      <c r="H985" s="21"/>
      <c r="I985" s="21" t="str">
        <f>"－"</f>
        <v>－</v>
      </c>
      <c r="J985" s="21" t="n">
        <f>248</f>
        <v>248.0</v>
      </c>
      <c r="K985" s="21" t="str">
        <f>"－"</f>
        <v>－</v>
      </c>
      <c r="L985" s="4" t="s">
        <v>75</v>
      </c>
      <c r="M985" s="22" t="n">
        <f>7184</f>
        <v>7184.0</v>
      </c>
      <c r="N985" s="5" t="s">
        <v>335</v>
      </c>
      <c r="O985" s="23" t="str">
        <f>"－"</f>
        <v>－</v>
      </c>
      <c r="P985" s="3" t="s">
        <v>1966</v>
      </c>
      <c r="Q985" s="21"/>
      <c r="R985" s="3" t="s">
        <v>247</v>
      </c>
      <c r="S985" s="21" t="n">
        <f>22566619</f>
        <v>2.2566619E7</v>
      </c>
      <c r="T985" s="21" t="str">
        <f>"－"</f>
        <v>－</v>
      </c>
      <c r="U985" s="5" t="s">
        <v>75</v>
      </c>
      <c r="V985" s="23" t="n">
        <f>663464000</f>
        <v>6.63464E8</v>
      </c>
      <c r="W985" s="5" t="s">
        <v>335</v>
      </c>
      <c r="X985" s="23" t="str">
        <f>"－"</f>
        <v>－</v>
      </c>
      <c r="Y985" s="23" t="n">
        <f>4481</f>
        <v>4481.0</v>
      </c>
      <c r="Z985" s="21" t="str">
        <f>"－"</f>
        <v>－</v>
      </c>
      <c r="AA985" s="21" t="n">
        <f>2796</f>
        <v>2796.0</v>
      </c>
      <c r="AB985" s="4" t="s">
        <v>856</v>
      </c>
      <c r="AC985" s="22" t="n">
        <f>10349</f>
        <v>10349.0</v>
      </c>
      <c r="AD985" s="5" t="s">
        <v>266</v>
      </c>
      <c r="AE985" s="23" t="n">
        <f>2791</f>
        <v>2791.0</v>
      </c>
    </row>
    <row r="986">
      <c r="A986" s="24" t="s">
        <v>1881</v>
      </c>
      <c r="B986" s="25" t="s">
        <v>1882</v>
      </c>
      <c r="C986" s="26" t="s">
        <v>1748</v>
      </c>
      <c r="D986" s="27" t="s">
        <v>1749</v>
      </c>
      <c r="E986" s="28" t="s">
        <v>361</v>
      </c>
      <c r="F986" s="20" t="n">
        <f>126</f>
        <v>126.0</v>
      </c>
      <c r="G986" s="21" t="n">
        <f>26229</f>
        <v>26229.0</v>
      </c>
      <c r="H986" s="21"/>
      <c r="I986" s="21" t="str">
        <f>"－"</f>
        <v>－</v>
      </c>
      <c r="J986" s="21" t="n">
        <f>208</f>
        <v>208.0</v>
      </c>
      <c r="K986" s="21" t="str">
        <f>"－"</f>
        <v>－</v>
      </c>
      <c r="L986" s="4" t="s">
        <v>75</v>
      </c>
      <c r="M986" s="22" t="n">
        <f>6341</f>
        <v>6341.0</v>
      </c>
      <c r="N986" s="5" t="s">
        <v>335</v>
      </c>
      <c r="O986" s="23" t="str">
        <f>"－"</f>
        <v>－</v>
      </c>
      <c r="P986" s="3" t="s">
        <v>1967</v>
      </c>
      <c r="Q986" s="21"/>
      <c r="R986" s="3" t="s">
        <v>247</v>
      </c>
      <c r="S986" s="21" t="n">
        <f>43309365</f>
        <v>4.3309365E7</v>
      </c>
      <c r="T986" s="21" t="str">
        <f>"－"</f>
        <v>－</v>
      </c>
      <c r="U986" s="5" t="s">
        <v>1162</v>
      </c>
      <c r="V986" s="23" t="n">
        <f>1259055000</f>
        <v>1.259055E9</v>
      </c>
      <c r="W986" s="5" t="s">
        <v>335</v>
      </c>
      <c r="X986" s="23" t="str">
        <f>"－"</f>
        <v>－</v>
      </c>
      <c r="Y986" s="23" t="n">
        <f>4372</f>
        <v>4372.0</v>
      </c>
      <c r="Z986" s="21" t="str">
        <f>"－"</f>
        <v>－</v>
      </c>
      <c r="AA986" s="21" t="n">
        <f>3416</f>
        <v>3416.0</v>
      </c>
      <c r="AB986" s="4" t="s">
        <v>856</v>
      </c>
      <c r="AC986" s="22" t="n">
        <f>9408</f>
        <v>9408.0</v>
      </c>
      <c r="AD986" s="5" t="s">
        <v>1013</v>
      </c>
      <c r="AE986" s="23" t="n">
        <f>2265</f>
        <v>2265.0</v>
      </c>
    </row>
    <row r="987">
      <c r="A987" s="24" t="s">
        <v>1881</v>
      </c>
      <c r="B987" s="25" t="s">
        <v>1882</v>
      </c>
      <c r="C987" s="26" t="s">
        <v>1752</v>
      </c>
      <c r="D987" s="27" t="s">
        <v>1753</v>
      </c>
      <c r="E987" s="28" t="s">
        <v>361</v>
      </c>
      <c r="F987" s="20" t="n">
        <f>126</f>
        <v>126.0</v>
      </c>
      <c r="G987" s="21" t="n">
        <f>57501</f>
        <v>57501.0</v>
      </c>
      <c r="H987" s="21"/>
      <c r="I987" s="21" t="str">
        <f>"－"</f>
        <v>－</v>
      </c>
      <c r="J987" s="21" t="n">
        <f>456</f>
        <v>456.0</v>
      </c>
      <c r="K987" s="21" t="str">
        <f>"－"</f>
        <v>－</v>
      </c>
      <c r="L987" s="4" t="s">
        <v>75</v>
      </c>
      <c r="M987" s="22" t="n">
        <f>13525</f>
        <v>13525.0</v>
      </c>
      <c r="N987" s="5" t="s">
        <v>335</v>
      </c>
      <c r="O987" s="23" t="str">
        <f>"－"</f>
        <v>－</v>
      </c>
      <c r="P987" s="3" t="s">
        <v>1968</v>
      </c>
      <c r="Q987" s="21"/>
      <c r="R987" s="3" t="s">
        <v>247</v>
      </c>
      <c r="S987" s="21" t="n">
        <f>65875984</f>
        <v>6.5875984E7</v>
      </c>
      <c r="T987" s="21" t="str">
        <f>"－"</f>
        <v>－</v>
      </c>
      <c r="U987" s="5" t="s">
        <v>75</v>
      </c>
      <c r="V987" s="23" t="n">
        <f>1647884000</f>
        <v>1.647884E9</v>
      </c>
      <c r="W987" s="5" t="s">
        <v>335</v>
      </c>
      <c r="X987" s="23" t="str">
        <f>"－"</f>
        <v>－</v>
      </c>
      <c r="Y987" s="23" t="n">
        <f>8853</f>
        <v>8853.0</v>
      </c>
      <c r="Z987" s="21" t="str">
        <f>"－"</f>
        <v>－</v>
      </c>
      <c r="AA987" s="21" t="n">
        <f>6212</f>
        <v>6212.0</v>
      </c>
      <c r="AB987" s="4" t="s">
        <v>856</v>
      </c>
      <c r="AC987" s="22" t="n">
        <f>19757</f>
        <v>19757.0</v>
      </c>
      <c r="AD987" s="5" t="s">
        <v>144</v>
      </c>
      <c r="AE987" s="23" t="n">
        <f>5203</f>
        <v>5203.0</v>
      </c>
    </row>
    <row r="988">
      <c r="A988" s="24" t="s">
        <v>1881</v>
      </c>
      <c r="B988" s="25" t="s">
        <v>1882</v>
      </c>
      <c r="C988" s="26" t="s">
        <v>1744</v>
      </c>
      <c r="D988" s="27" t="s">
        <v>1745</v>
      </c>
      <c r="E988" s="28" t="s">
        <v>365</v>
      </c>
      <c r="F988" s="20" t="n">
        <f>122</f>
        <v>122.0</v>
      </c>
      <c r="G988" s="21" t="n">
        <f>1225</f>
        <v>1225.0</v>
      </c>
      <c r="H988" s="21"/>
      <c r="I988" s="21" t="str">
        <f>"－"</f>
        <v>－</v>
      </c>
      <c r="J988" s="21" t="n">
        <f>10</f>
        <v>10.0</v>
      </c>
      <c r="K988" s="21" t="str">
        <f>"－"</f>
        <v>－</v>
      </c>
      <c r="L988" s="4" t="s">
        <v>53</v>
      </c>
      <c r="M988" s="22" t="n">
        <f>540</f>
        <v>540.0</v>
      </c>
      <c r="N988" s="5" t="s">
        <v>279</v>
      </c>
      <c r="O988" s="23" t="str">
        <f>"－"</f>
        <v>－</v>
      </c>
      <c r="P988" s="3" t="s">
        <v>1969</v>
      </c>
      <c r="Q988" s="21"/>
      <c r="R988" s="3" t="s">
        <v>247</v>
      </c>
      <c r="S988" s="21" t="n">
        <f>876434</f>
        <v>876434.0</v>
      </c>
      <c r="T988" s="21" t="str">
        <f>"－"</f>
        <v>－</v>
      </c>
      <c r="U988" s="5" t="s">
        <v>81</v>
      </c>
      <c r="V988" s="23" t="n">
        <f>63250000</f>
        <v>6.325E7</v>
      </c>
      <c r="W988" s="5" t="s">
        <v>279</v>
      </c>
      <c r="X988" s="23" t="str">
        <f>"－"</f>
        <v>－</v>
      </c>
      <c r="Y988" s="23" t="str">
        <f>"－"</f>
        <v>－</v>
      </c>
      <c r="Z988" s="21" t="str">
        <f>"－"</f>
        <v>－</v>
      </c>
      <c r="AA988" s="21" t="n">
        <f>270</f>
        <v>270.0</v>
      </c>
      <c r="AB988" s="4" t="s">
        <v>872</v>
      </c>
      <c r="AC988" s="22" t="n">
        <f>2936</f>
        <v>2936.0</v>
      </c>
      <c r="AD988" s="5" t="s">
        <v>536</v>
      </c>
      <c r="AE988" s="23" t="n">
        <f>230</f>
        <v>230.0</v>
      </c>
    </row>
    <row r="989">
      <c r="A989" s="24" t="s">
        <v>1881</v>
      </c>
      <c r="B989" s="25" t="s">
        <v>1882</v>
      </c>
      <c r="C989" s="26" t="s">
        <v>1748</v>
      </c>
      <c r="D989" s="27" t="s">
        <v>1749</v>
      </c>
      <c r="E989" s="28" t="s">
        <v>365</v>
      </c>
      <c r="F989" s="20" t="n">
        <f>122</f>
        <v>122.0</v>
      </c>
      <c r="G989" s="21" t="n">
        <f>8228</f>
        <v>8228.0</v>
      </c>
      <c r="H989" s="21"/>
      <c r="I989" s="21" t="str">
        <f>"－"</f>
        <v>－</v>
      </c>
      <c r="J989" s="21" t="n">
        <f>67</f>
        <v>67.0</v>
      </c>
      <c r="K989" s="21" t="str">
        <f>"－"</f>
        <v>－</v>
      </c>
      <c r="L989" s="4" t="s">
        <v>231</v>
      </c>
      <c r="M989" s="22" t="n">
        <f>2111</f>
        <v>2111.0</v>
      </c>
      <c r="N989" s="5" t="s">
        <v>279</v>
      </c>
      <c r="O989" s="23" t="str">
        <f>"－"</f>
        <v>－</v>
      </c>
      <c r="P989" s="3" t="s">
        <v>1970</v>
      </c>
      <c r="Q989" s="21"/>
      <c r="R989" s="3" t="s">
        <v>247</v>
      </c>
      <c r="S989" s="21" t="n">
        <f>28671270</f>
        <v>2.867127E7</v>
      </c>
      <c r="T989" s="21" t="str">
        <f>"－"</f>
        <v>－</v>
      </c>
      <c r="U989" s="5" t="s">
        <v>231</v>
      </c>
      <c r="V989" s="23" t="n">
        <f>886370000</f>
        <v>8.8637E8</v>
      </c>
      <c r="W989" s="5" t="s">
        <v>279</v>
      </c>
      <c r="X989" s="23" t="str">
        <f>"－"</f>
        <v>－</v>
      </c>
      <c r="Y989" s="23" t="n">
        <f>2312</f>
        <v>2312.0</v>
      </c>
      <c r="Z989" s="21" t="str">
        <f>"－"</f>
        <v>－</v>
      </c>
      <c r="AA989" s="21" t="n">
        <f>1874</f>
        <v>1874.0</v>
      </c>
      <c r="AB989" s="4" t="s">
        <v>268</v>
      </c>
      <c r="AC989" s="22" t="n">
        <f>3450</f>
        <v>3450.0</v>
      </c>
      <c r="AD989" s="5" t="s">
        <v>536</v>
      </c>
      <c r="AE989" s="23" t="n">
        <f>230</f>
        <v>230.0</v>
      </c>
    </row>
    <row r="990">
      <c r="A990" s="24" t="s">
        <v>1881</v>
      </c>
      <c r="B990" s="25" t="s">
        <v>1882</v>
      </c>
      <c r="C990" s="26" t="s">
        <v>1752</v>
      </c>
      <c r="D990" s="27" t="s">
        <v>1753</v>
      </c>
      <c r="E990" s="28" t="s">
        <v>365</v>
      </c>
      <c r="F990" s="20" t="n">
        <f>122</f>
        <v>122.0</v>
      </c>
      <c r="G990" s="21" t="n">
        <f>9453</f>
        <v>9453.0</v>
      </c>
      <c r="H990" s="21"/>
      <c r="I990" s="21" t="str">
        <f>"－"</f>
        <v>－</v>
      </c>
      <c r="J990" s="21" t="n">
        <f>77</f>
        <v>77.0</v>
      </c>
      <c r="K990" s="21" t="str">
        <f>"－"</f>
        <v>－</v>
      </c>
      <c r="L990" s="4" t="s">
        <v>231</v>
      </c>
      <c r="M990" s="22" t="n">
        <f>2111</f>
        <v>2111.0</v>
      </c>
      <c r="N990" s="5" t="s">
        <v>279</v>
      </c>
      <c r="O990" s="23" t="str">
        <f>"－"</f>
        <v>－</v>
      </c>
      <c r="P990" s="3" t="s">
        <v>1971</v>
      </c>
      <c r="Q990" s="21"/>
      <c r="R990" s="3" t="s">
        <v>247</v>
      </c>
      <c r="S990" s="21" t="n">
        <f>29547705</f>
        <v>2.9547705E7</v>
      </c>
      <c r="T990" s="21" t="str">
        <f>"－"</f>
        <v>－</v>
      </c>
      <c r="U990" s="5" t="s">
        <v>231</v>
      </c>
      <c r="V990" s="23" t="n">
        <f>886370000</f>
        <v>8.8637E8</v>
      </c>
      <c r="W990" s="5" t="s">
        <v>279</v>
      </c>
      <c r="X990" s="23" t="str">
        <f>"－"</f>
        <v>－</v>
      </c>
      <c r="Y990" s="23" t="n">
        <f>2312</f>
        <v>2312.0</v>
      </c>
      <c r="Z990" s="21" t="str">
        <f>"－"</f>
        <v>－</v>
      </c>
      <c r="AA990" s="21" t="n">
        <f>2144</f>
        <v>2144.0</v>
      </c>
      <c r="AB990" s="4" t="s">
        <v>268</v>
      </c>
      <c r="AC990" s="22" t="n">
        <f>6246</f>
        <v>6246.0</v>
      </c>
      <c r="AD990" s="5" t="s">
        <v>536</v>
      </c>
      <c r="AE990" s="23" t="n">
        <f>460</f>
        <v>460.0</v>
      </c>
    </row>
    <row r="991">
      <c r="A991" s="24" t="s">
        <v>1881</v>
      </c>
      <c r="B991" s="25" t="s">
        <v>1882</v>
      </c>
      <c r="C991" s="26" t="s">
        <v>1744</v>
      </c>
      <c r="D991" s="27" t="s">
        <v>1745</v>
      </c>
      <c r="E991" s="28" t="s">
        <v>368</v>
      </c>
      <c r="F991" s="20" t="n">
        <f>124</f>
        <v>124.0</v>
      </c>
      <c r="G991" s="21" t="n">
        <f>4113</f>
        <v>4113.0</v>
      </c>
      <c r="H991" s="21"/>
      <c r="I991" s="21" t="str">
        <f>"－"</f>
        <v>－</v>
      </c>
      <c r="J991" s="21" t="n">
        <f>33</f>
        <v>33.0</v>
      </c>
      <c r="K991" s="21" t="str">
        <f>"－"</f>
        <v>－</v>
      </c>
      <c r="L991" s="4" t="s">
        <v>1162</v>
      </c>
      <c r="M991" s="22" t="n">
        <f>1000</f>
        <v>1000.0</v>
      </c>
      <c r="N991" s="5" t="s">
        <v>335</v>
      </c>
      <c r="O991" s="23" t="str">
        <f>"－"</f>
        <v>－</v>
      </c>
      <c r="P991" s="3" t="s">
        <v>1972</v>
      </c>
      <c r="Q991" s="21"/>
      <c r="R991" s="3" t="s">
        <v>247</v>
      </c>
      <c r="S991" s="21" t="n">
        <f>4397621</f>
        <v>4397621.0</v>
      </c>
      <c r="T991" s="21" t="str">
        <f>"－"</f>
        <v>－</v>
      </c>
      <c r="U991" s="5" t="s">
        <v>1162</v>
      </c>
      <c r="V991" s="23" t="n">
        <f>195000000</f>
        <v>1.95E8</v>
      </c>
      <c r="W991" s="5" t="s">
        <v>335</v>
      </c>
      <c r="X991" s="23" t="str">
        <f>"－"</f>
        <v>－</v>
      </c>
      <c r="Y991" s="23" t="n">
        <f>1500</f>
        <v>1500.0</v>
      </c>
      <c r="Z991" s="21" t="str">
        <f>"－"</f>
        <v>－</v>
      </c>
      <c r="AA991" s="21" t="n">
        <f>735</f>
        <v>735.0</v>
      </c>
      <c r="AB991" s="4" t="s">
        <v>478</v>
      </c>
      <c r="AC991" s="22" t="n">
        <f>1933</f>
        <v>1933.0</v>
      </c>
      <c r="AD991" s="5" t="s">
        <v>1080</v>
      </c>
      <c r="AE991" s="23" t="n">
        <f>265</f>
        <v>265.0</v>
      </c>
    </row>
    <row r="992">
      <c r="A992" s="24" t="s">
        <v>1881</v>
      </c>
      <c r="B992" s="25" t="s">
        <v>1882</v>
      </c>
      <c r="C992" s="26" t="s">
        <v>1748</v>
      </c>
      <c r="D992" s="27" t="s">
        <v>1749</v>
      </c>
      <c r="E992" s="28" t="s">
        <v>368</v>
      </c>
      <c r="F992" s="20" t="n">
        <f>124</f>
        <v>124.0</v>
      </c>
      <c r="G992" s="21" t="n">
        <f>6197</f>
        <v>6197.0</v>
      </c>
      <c r="H992" s="21"/>
      <c r="I992" s="21" t="str">
        <f>"－"</f>
        <v>－</v>
      </c>
      <c r="J992" s="21" t="n">
        <f>50</f>
        <v>50.0</v>
      </c>
      <c r="K992" s="21" t="str">
        <f>"－"</f>
        <v>－</v>
      </c>
      <c r="L992" s="4" t="s">
        <v>1396</v>
      </c>
      <c r="M992" s="22" t="n">
        <f>2413</f>
        <v>2413.0</v>
      </c>
      <c r="N992" s="5" t="s">
        <v>672</v>
      </c>
      <c r="O992" s="23" t="str">
        <f>"－"</f>
        <v>－</v>
      </c>
      <c r="P992" s="3" t="s">
        <v>1973</v>
      </c>
      <c r="Q992" s="21"/>
      <c r="R992" s="3" t="s">
        <v>247</v>
      </c>
      <c r="S992" s="21" t="n">
        <f>24144315</f>
        <v>2.4144315E7</v>
      </c>
      <c r="T992" s="21" t="str">
        <f>"－"</f>
        <v>－</v>
      </c>
      <c r="U992" s="5" t="s">
        <v>183</v>
      </c>
      <c r="V992" s="23" t="n">
        <f>1076210000</f>
        <v>1.07621E9</v>
      </c>
      <c r="W992" s="5" t="s">
        <v>672</v>
      </c>
      <c r="X992" s="23" t="str">
        <f>"－"</f>
        <v>－</v>
      </c>
      <c r="Y992" s="23" t="str">
        <f>"－"</f>
        <v>－</v>
      </c>
      <c r="Z992" s="21" t="str">
        <f>"－"</f>
        <v>－</v>
      </c>
      <c r="AA992" s="21" t="n">
        <f>385</f>
        <v>385.0</v>
      </c>
      <c r="AB992" s="4" t="s">
        <v>263</v>
      </c>
      <c r="AC992" s="22" t="n">
        <f>2683</f>
        <v>2683.0</v>
      </c>
      <c r="AD992" s="5" t="s">
        <v>1396</v>
      </c>
      <c r="AE992" s="23" t="n">
        <f>265</f>
        <v>265.0</v>
      </c>
    </row>
    <row r="993">
      <c r="A993" s="24" t="s">
        <v>1881</v>
      </c>
      <c r="B993" s="25" t="s">
        <v>1882</v>
      </c>
      <c r="C993" s="26" t="s">
        <v>1752</v>
      </c>
      <c r="D993" s="27" t="s">
        <v>1753</v>
      </c>
      <c r="E993" s="28" t="s">
        <v>368</v>
      </c>
      <c r="F993" s="20" t="n">
        <f>124</f>
        <v>124.0</v>
      </c>
      <c r="G993" s="21" t="n">
        <f>10310</f>
        <v>10310.0</v>
      </c>
      <c r="H993" s="21"/>
      <c r="I993" s="21" t="str">
        <f>"－"</f>
        <v>－</v>
      </c>
      <c r="J993" s="21" t="n">
        <f>83</f>
        <v>83.0</v>
      </c>
      <c r="K993" s="21" t="str">
        <f>"－"</f>
        <v>－</v>
      </c>
      <c r="L993" s="4" t="s">
        <v>1396</v>
      </c>
      <c r="M993" s="22" t="n">
        <f>2413</f>
        <v>2413.0</v>
      </c>
      <c r="N993" s="5" t="s">
        <v>672</v>
      </c>
      <c r="O993" s="23" t="str">
        <f>"－"</f>
        <v>－</v>
      </c>
      <c r="P993" s="3" t="s">
        <v>1974</v>
      </c>
      <c r="Q993" s="21"/>
      <c r="R993" s="3" t="s">
        <v>247</v>
      </c>
      <c r="S993" s="21" t="n">
        <f>28541935</f>
        <v>2.8541935E7</v>
      </c>
      <c r="T993" s="21" t="str">
        <f>"－"</f>
        <v>－</v>
      </c>
      <c r="U993" s="5" t="s">
        <v>183</v>
      </c>
      <c r="V993" s="23" t="n">
        <f>1095620000</f>
        <v>1.09562E9</v>
      </c>
      <c r="W993" s="5" t="s">
        <v>672</v>
      </c>
      <c r="X993" s="23" t="str">
        <f>"－"</f>
        <v>－</v>
      </c>
      <c r="Y993" s="23" t="n">
        <f>1500</f>
        <v>1500.0</v>
      </c>
      <c r="Z993" s="21" t="str">
        <f>"－"</f>
        <v>－</v>
      </c>
      <c r="AA993" s="21" t="n">
        <f>1120</f>
        <v>1120.0</v>
      </c>
      <c r="AB993" s="4" t="s">
        <v>478</v>
      </c>
      <c r="AC993" s="22" t="n">
        <f>3778</f>
        <v>3778.0</v>
      </c>
      <c r="AD993" s="5" t="s">
        <v>1396</v>
      </c>
      <c r="AE993" s="23" t="n">
        <f>530</f>
        <v>530.0</v>
      </c>
    </row>
    <row r="994">
      <c r="A994" s="24" t="s">
        <v>1881</v>
      </c>
      <c r="B994" s="25" t="s">
        <v>1882</v>
      </c>
      <c r="C994" s="26" t="s">
        <v>1744</v>
      </c>
      <c r="D994" s="27" t="s">
        <v>1745</v>
      </c>
      <c r="E994" s="28" t="s">
        <v>371</v>
      </c>
      <c r="F994" s="20" t="n">
        <f>121</f>
        <v>121.0</v>
      </c>
      <c r="G994" s="21" t="n">
        <f>3695</f>
        <v>3695.0</v>
      </c>
      <c r="H994" s="21"/>
      <c r="I994" s="21" t="str">
        <f>"－"</f>
        <v>－</v>
      </c>
      <c r="J994" s="21" t="n">
        <f>31</f>
        <v>31.0</v>
      </c>
      <c r="K994" s="21" t="str">
        <f>"－"</f>
        <v>－</v>
      </c>
      <c r="L994" s="4" t="s">
        <v>81</v>
      </c>
      <c r="M994" s="22" t="n">
        <f>1440</f>
        <v>1440.0</v>
      </c>
      <c r="N994" s="5" t="s">
        <v>279</v>
      </c>
      <c r="O994" s="23" t="str">
        <f>"－"</f>
        <v>－</v>
      </c>
      <c r="P994" s="3" t="s">
        <v>1975</v>
      </c>
      <c r="Q994" s="21"/>
      <c r="R994" s="3" t="s">
        <v>247</v>
      </c>
      <c r="S994" s="21" t="n">
        <f>1000579</f>
        <v>1000579.0</v>
      </c>
      <c r="T994" s="21" t="str">
        <f>"－"</f>
        <v>－</v>
      </c>
      <c r="U994" s="5" t="s">
        <v>81</v>
      </c>
      <c r="V994" s="23" t="n">
        <f>54720000</f>
        <v>5.472E7</v>
      </c>
      <c r="W994" s="5" t="s">
        <v>279</v>
      </c>
      <c r="X994" s="23" t="str">
        <f>"－"</f>
        <v>－</v>
      </c>
      <c r="Y994" s="23" t="str">
        <f>"－"</f>
        <v>－</v>
      </c>
      <c r="Z994" s="21" t="str">
        <f>"－"</f>
        <v>－</v>
      </c>
      <c r="AA994" s="21" t="n">
        <f>760</f>
        <v>760.0</v>
      </c>
      <c r="AB994" s="4" t="s">
        <v>429</v>
      </c>
      <c r="AC994" s="22" t="n">
        <f>1070</f>
        <v>1070.0</v>
      </c>
      <c r="AD994" s="5" t="s">
        <v>1039</v>
      </c>
      <c r="AE994" s="23" t="n">
        <f>715</f>
        <v>715.0</v>
      </c>
    </row>
    <row r="995">
      <c r="A995" s="24" t="s">
        <v>1881</v>
      </c>
      <c r="B995" s="25" t="s">
        <v>1882</v>
      </c>
      <c r="C995" s="26" t="s">
        <v>1748</v>
      </c>
      <c r="D995" s="27" t="s">
        <v>1749</v>
      </c>
      <c r="E995" s="28" t="s">
        <v>371</v>
      </c>
      <c r="F995" s="20" t="n">
        <f>121</f>
        <v>121.0</v>
      </c>
      <c r="G995" s="21" t="n">
        <f>3345</f>
        <v>3345.0</v>
      </c>
      <c r="H995" s="21"/>
      <c r="I995" s="21" t="str">
        <f>"－"</f>
        <v>－</v>
      </c>
      <c r="J995" s="21" t="n">
        <f>28</f>
        <v>28.0</v>
      </c>
      <c r="K995" s="21" t="str">
        <f>"－"</f>
        <v>－</v>
      </c>
      <c r="L995" s="4" t="s">
        <v>81</v>
      </c>
      <c r="M995" s="22" t="n">
        <f>1440</f>
        <v>1440.0</v>
      </c>
      <c r="N995" s="5" t="s">
        <v>279</v>
      </c>
      <c r="O995" s="23" t="str">
        <f>"－"</f>
        <v>－</v>
      </c>
      <c r="P995" s="3" t="s">
        <v>1976</v>
      </c>
      <c r="Q995" s="21"/>
      <c r="R995" s="3" t="s">
        <v>247</v>
      </c>
      <c r="S995" s="21" t="n">
        <f>34325455</f>
        <v>3.4325455E7</v>
      </c>
      <c r="T995" s="21" t="str">
        <f>"－"</f>
        <v>－</v>
      </c>
      <c r="U995" s="5" t="s">
        <v>93</v>
      </c>
      <c r="V995" s="23" t="n">
        <f>1957560000</f>
        <v>1.95756E9</v>
      </c>
      <c r="W995" s="5" t="s">
        <v>279</v>
      </c>
      <c r="X995" s="23" t="str">
        <f>"－"</f>
        <v>－</v>
      </c>
      <c r="Y995" s="23" t="str">
        <f>"－"</f>
        <v>－</v>
      </c>
      <c r="Z995" s="21" t="str">
        <f>"－"</f>
        <v>－</v>
      </c>
      <c r="AA995" s="21" t="n">
        <f>760</f>
        <v>760.0</v>
      </c>
      <c r="AB995" s="4" t="s">
        <v>149</v>
      </c>
      <c r="AC995" s="22" t="n">
        <f>760</f>
        <v>760.0</v>
      </c>
      <c r="AD995" s="5" t="s">
        <v>279</v>
      </c>
      <c r="AE995" s="23" t="n">
        <f>385</f>
        <v>385.0</v>
      </c>
    </row>
    <row r="996">
      <c r="A996" s="24" t="s">
        <v>1881</v>
      </c>
      <c r="B996" s="25" t="s">
        <v>1882</v>
      </c>
      <c r="C996" s="26" t="s">
        <v>1752</v>
      </c>
      <c r="D996" s="27" t="s">
        <v>1753</v>
      </c>
      <c r="E996" s="28" t="s">
        <v>371</v>
      </c>
      <c r="F996" s="20" t="n">
        <f>121</f>
        <v>121.0</v>
      </c>
      <c r="G996" s="21" t="n">
        <f>7040</f>
        <v>7040.0</v>
      </c>
      <c r="H996" s="21"/>
      <c r="I996" s="21" t="str">
        <f>"－"</f>
        <v>－</v>
      </c>
      <c r="J996" s="21" t="n">
        <f>58</f>
        <v>58.0</v>
      </c>
      <c r="K996" s="21" t="str">
        <f>"－"</f>
        <v>－</v>
      </c>
      <c r="L996" s="4" t="s">
        <v>81</v>
      </c>
      <c r="M996" s="22" t="n">
        <f>2880</f>
        <v>2880.0</v>
      </c>
      <c r="N996" s="5" t="s">
        <v>279</v>
      </c>
      <c r="O996" s="23" t="str">
        <f>"－"</f>
        <v>－</v>
      </c>
      <c r="P996" s="3" t="s">
        <v>1977</v>
      </c>
      <c r="Q996" s="21"/>
      <c r="R996" s="3" t="s">
        <v>247</v>
      </c>
      <c r="S996" s="21" t="n">
        <f>35326033</f>
        <v>3.5326033E7</v>
      </c>
      <c r="T996" s="21" t="str">
        <f>"－"</f>
        <v>－</v>
      </c>
      <c r="U996" s="5" t="s">
        <v>93</v>
      </c>
      <c r="V996" s="23" t="n">
        <f>2000460000</f>
        <v>2.00046E9</v>
      </c>
      <c r="W996" s="5" t="s">
        <v>279</v>
      </c>
      <c r="X996" s="23" t="str">
        <f>"－"</f>
        <v>－</v>
      </c>
      <c r="Y996" s="23" t="str">
        <f>"－"</f>
        <v>－</v>
      </c>
      <c r="Z996" s="21" t="str">
        <f>"－"</f>
        <v>－</v>
      </c>
      <c r="AA996" s="21" t="n">
        <f>1520</f>
        <v>1520.0</v>
      </c>
      <c r="AB996" s="4" t="s">
        <v>429</v>
      </c>
      <c r="AC996" s="22" t="n">
        <f>1790</f>
        <v>1790.0</v>
      </c>
      <c r="AD996" s="5" t="s">
        <v>279</v>
      </c>
      <c r="AE996" s="23" t="n">
        <f>1120</f>
        <v>1120.0</v>
      </c>
    </row>
    <row r="997">
      <c r="A997" s="24" t="s">
        <v>1881</v>
      </c>
      <c r="B997" s="25" t="s">
        <v>1882</v>
      </c>
      <c r="C997" s="26" t="s">
        <v>1744</v>
      </c>
      <c r="D997" s="27" t="s">
        <v>1745</v>
      </c>
      <c r="E997" s="28" t="s">
        <v>375</v>
      </c>
      <c r="F997" s="20" t="n">
        <f>124</f>
        <v>124.0</v>
      </c>
      <c r="G997" s="21" t="n">
        <f>4910</f>
        <v>4910.0</v>
      </c>
      <c r="H997" s="21"/>
      <c r="I997" s="21" t="str">
        <f>"－"</f>
        <v>－</v>
      </c>
      <c r="J997" s="21" t="n">
        <f>40</f>
        <v>40.0</v>
      </c>
      <c r="K997" s="21" t="str">
        <f>"－"</f>
        <v>－</v>
      </c>
      <c r="L997" s="4" t="s">
        <v>128</v>
      </c>
      <c r="M997" s="22" t="n">
        <f>2440</f>
        <v>2440.0</v>
      </c>
      <c r="N997" s="5" t="s">
        <v>335</v>
      </c>
      <c r="O997" s="23" t="str">
        <f>"－"</f>
        <v>－</v>
      </c>
      <c r="P997" s="3" t="s">
        <v>1978</v>
      </c>
      <c r="Q997" s="21"/>
      <c r="R997" s="3" t="s">
        <v>247</v>
      </c>
      <c r="S997" s="21" t="n">
        <f>796613</f>
        <v>796613.0</v>
      </c>
      <c r="T997" s="21" t="str">
        <f>"－"</f>
        <v>－</v>
      </c>
      <c r="U997" s="5" t="s">
        <v>128</v>
      </c>
      <c r="V997" s="23" t="n">
        <f>56120000</f>
        <v>5.612E7</v>
      </c>
      <c r="W997" s="5" t="s">
        <v>335</v>
      </c>
      <c r="X997" s="23" t="str">
        <f>"－"</f>
        <v>－</v>
      </c>
      <c r="Y997" s="23" t="str">
        <f>"－"</f>
        <v>－</v>
      </c>
      <c r="Z997" s="21" t="str">
        <f>"－"</f>
        <v>－</v>
      </c>
      <c r="AA997" s="21" t="n">
        <f>1050</f>
        <v>1050.0</v>
      </c>
      <c r="AB997" s="4" t="s">
        <v>1013</v>
      </c>
      <c r="AC997" s="22" t="n">
        <f>1335</f>
        <v>1335.0</v>
      </c>
      <c r="AD997" s="5" t="s">
        <v>335</v>
      </c>
      <c r="AE997" s="23" t="n">
        <f>760</f>
        <v>760.0</v>
      </c>
    </row>
    <row r="998">
      <c r="A998" s="24" t="s">
        <v>1881</v>
      </c>
      <c r="B998" s="25" t="s">
        <v>1882</v>
      </c>
      <c r="C998" s="26" t="s">
        <v>1748</v>
      </c>
      <c r="D998" s="27" t="s">
        <v>1749</v>
      </c>
      <c r="E998" s="28" t="s">
        <v>375</v>
      </c>
      <c r="F998" s="20" t="n">
        <f>124</f>
        <v>124.0</v>
      </c>
      <c r="G998" s="21" t="n">
        <f>6044</f>
        <v>6044.0</v>
      </c>
      <c r="H998" s="21"/>
      <c r="I998" s="21" t="str">
        <f>"－"</f>
        <v>－</v>
      </c>
      <c r="J998" s="21" t="n">
        <f>49</f>
        <v>49.0</v>
      </c>
      <c r="K998" s="21" t="str">
        <f>"－"</f>
        <v>－</v>
      </c>
      <c r="L998" s="4" t="s">
        <v>128</v>
      </c>
      <c r="M998" s="22" t="n">
        <f>2440</f>
        <v>2440.0</v>
      </c>
      <c r="N998" s="5" t="s">
        <v>335</v>
      </c>
      <c r="O998" s="23" t="str">
        <f>"－"</f>
        <v>－</v>
      </c>
      <c r="P998" s="3" t="s">
        <v>1979</v>
      </c>
      <c r="Q998" s="21"/>
      <c r="R998" s="3" t="s">
        <v>247</v>
      </c>
      <c r="S998" s="21" t="n">
        <f>62603065</f>
        <v>6.2603065E7</v>
      </c>
      <c r="T998" s="21" t="str">
        <f>"－"</f>
        <v>－</v>
      </c>
      <c r="U998" s="5" t="s">
        <v>128</v>
      </c>
      <c r="V998" s="23" t="n">
        <f>4501800000</f>
        <v>4.5018E9</v>
      </c>
      <c r="W998" s="5" t="s">
        <v>335</v>
      </c>
      <c r="X998" s="23" t="str">
        <f>"－"</f>
        <v>－</v>
      </c>
      <c r="Y998" s="23" t="str">
        <f>"－"</f>
        <v>－</v>
      </c>
      <c r="Z998" s="21" t="str">
        <f>"－"</f>
        <v>－</v>
      </c>
      <c r="AA998" s="21" t="n">
        <f>1050</f>
        <v>1050.0</v>
      </c>
      <c r="AB998" s="4" t="s">
        <v>183</v>
      </c>
      <c r="AC998" s="22" t="n">
        <f>1787</f>
        <v>1787.0</v>
      </c>
      <c r="AD998" s="5" t="s">
        <v>335</v>
      </c>
      <c r="AE998" s="23" t="n">
        <f>760</f>
        <v>760.0</v>
      </c>
    </row>
    <row r="999">
      <c r="A999" s="24" t="s">
        <v>1881</v>
      </c>
      <c r="B999" s="25" t="s">
        <v>1882</v>
      </c>
      <c r="C999" s="26" t="s">
        <v>1752</v>
      </c>
      <c r="D999" s="27" t="s">
        <v>1753</v>
      </c>
      <c r="E999" s="28" t="s">
        <v>375</v>
      </c>
      <c r="F999" s="20" t="n">
        <f>124</f>
        <v>124.0</v>
      </c>
      <c r="G999" s="21" t="n">
        <f>10954</f>
        <v>10954.0</v>
      </c>
      <c r="H999" s="21"/>
      <c r="I999" s="21" t="str">
        <f>"－"</f>
        <v>－</v>
      </c>
      <c r="J999" s="21" t="n">
        <f>88</f>
        <v>88.0</v>
      </c>
      <c r="K999" s="21" t="str">
        <f>"－"</f>
        <v>－</v>
      </c>
      <c r="L999" s="4" t="s">
        <v>128</v>
      </c>
      <c r="M999" s="22" t="n">
        <f>4880</f>
        <v>4880.0</v>
      </c>
      <c r="N999" s="5" t="s">
        <v>335</v>
      </c>
      <c r="O999" s="23" t="str">
        <f>"－"</f>
        <v>－</v>
      </c>
      <c r="P999" s="3" t="s">
        <v>1980</v>
      </c>
      <c r="Q999" s="21"/>
      <c r="R999" s="3" t="s">
        <v>247</v>
      </c>
      <c r="S999" s="21" t="n">
        <f>63399677</f>
        <v>6.3399677E7</v>
      </c>
      <c r="T999" s="21" t="str">
        <f>"－"</f>
        <v>－</v>
      </c>
      <c r="U999" s="5" t="s">
        <v>128</v>
      </c>
      <c r="V999" s="23" t="n">
        <f>4557920000</f>
        <v>4.55792E9</v>
      </c>
      <c r="W999" s="5" t="s">
        <v>335</v>
      </c>
      <c r="X999" s="23" t="str">
        <f>"－"</f>
        <v>－</v>
      </c>
      <c r="Y999" s="23" t="str">
        <f>"－"</f>
        <v>－</v>
      </c>
      <c r="Z999" s="21" t="str">
        <f>"－"</f>
        <v>－</v>
      </c>
      <c r="AA999" s="21" t="n">
        <f>2100</f>
        <v>2100.0</v>
      </c>
      <c r="AB999" s="4" t="s">
        <v>183</v>
      </c>
      <c r="AC999" s="22" t="n">
        <f>3007</f>
        <v>3007.0</v>
      </c>
      <c r="AD999" s="5" t="s">
        <v>335</v>
      </c>
      <c r="AE999" s="23" t="n">
        <f>1520</f>
        <v>1520.0</v>
      </c>
    </row>
    <row r="1000">
      <c r="A1000" s="24" t="s">
        <v>1881</v>
      </c>
      <c r="B1000" s="25" t="s">
        <v>1882</v>
      </c>
      <c r="C1000" s="26" t="s">
        <v>1744</v>
      </c>
      <c r="D1000" s="27" t="s">
        <v>1745</v>
      </c>
      <c r="E1000" s="28" t="s">
        <v>378</v>
      </c>
      <c r="F1000" s="20" t="n">
        <f>122</f>
        <v>122.0</v>
      </c>
      <c r="G1000" s="21" t="n">
        <f>6447</f>
        <v>6447.0</v>
      </c>
      <c r="H1000" s="21"/>
      <c r="I1000" s="21" t="str">
        <f>"－"</f>
        <v>－</v>
      </c>
      <c r="J1000" s="21" t="n">
        <f>53</f>
        <v>53.0</v>
      </c>
      <c r="K1000" s="21" t="str">
        <f>"－"</f>
        <v>－</v>
      </c>
      <c r="L1000" s="4" t="s">
        <v>78</v>
      </c>
      <c r="M1000" s="22" t="n">
        <f>1990</f>
        <v>1990.0</v>
      </c>
      <c r="N1000" s="5" t="s">
        <v>82</v>
      </c>
      <c r="O1000" s="23" t="str">
        <f>"－"</f>
        <v>－</v>
      </c>
      <c r="P1000" s="3" t="s">
        <v>1981</v>
      </c>
      <c r="Q1000" s="21"/>
      <c r="R1000" s="3" t="s">
        <v>247</v>
      </c>
      <c r="S1000" s="21" t="n">
        <f>4704221</f>
        <v>4704221.0</v>
      </c>
      <c r="T1000" s="21" t="str">
        <f>"－"</f>
        <v>－</v>
      </c>
      <c r="U1000" s="5" t="s">
        <v>81</v>
      </c>
      <c r="V1000" s="23" t="n">
        <f>160450000</f>
        <v>1.6045E8</v>
      </c>
      <c r="W1000" s="5" t="s">
        <v>82</v>
      </c>
      <c r="X1000" s="23" t="str">
        <f>"－"</f>
        <v>－</v>
      </c>
      <c r="Y1000" s="23" t="str">
        <f>"－"</f>
        <v>－</v>
      </c>
      <c r="Z1000" s="21" t="str">
        <f>"－"</f>
        <v>－</v>
      </c>
      <c r="AA1000" s="21" t="n">
        <f>677</f>
        <v>677.0</v>
      </c>
      <c r="AB1000" s="4" t="s">
        <v>81</v>
      </c>
      <c r="AC1000" s="22" t="n">
        <f>2800</f>
        <v>2800.0</v>
      </c>
      <c r="AD1000" s="5" t="s">
        <v>116</v>
      </c>
      <c r="AE1000" s="23" t="n">
        <f>677</f>
        <v>677.0</v>
      </c>
    </row>
    <row r="1001">
      <c r="A1001" s="24" t="s">
        <v>1881</v>
      </c>
      <c r="B1001" s="25" t="s">
        <v>1882</v>
      </c>
      <c r="C1001" s="26" t="s">
        <v>1748</v>
      </c>
      <c r="D1001" s="27" t="s">
        <v>1749</v>
      </c>
      <c r="E1001" s="28" t="s">
        <v>378</v>
      </c>
      <c r="F1001" s="20" t="n">
        <f>122</f>
        <v>122.0</v>
      </c>
      <c r="G1001" s="21" t="n">
        <f>3527</f>
        <v>3527.0</v>
      </c>
      <c r="H1001" s="21"/>
      <c r="I1001" s="21" t="str">
        <f>"－"</f>
        <v>－</v>
      </c>
      <c r="J1001" s="21" t="n">
        <f>29</f>
        <v>29.0</v>
      </c>
      <c r="K1001" s="21" t="str">
        <f>"－"</f>
        <v>－</v>
      </c>
      <c r="L1001" s="4" t="s">
        <v>78</v>
      </c>
      <c r="M1001" s="22" t="n">
        <f>1760</f>
        <v>1760.0</v>
      </c>
      <c r="N1001" s="5" t="s">
        <v>82</v>
      </c>
      <c r="O1001" s="23" t="str">
        <f>"－"</f>
        <v>－</v>
      </c>
      <c r="P1001" s="3" t="s">
        <v>1982</v>
      </c>
      <c r="Q1001" s="21"/>
      <c r="R1001" s="3" t="s">
        <v>247</v>
      </c>
      <c r="S1001" s="21" t="n">
        <f>79621885</f>
        <v>7.9621885E7</v>
      </c>
      <c r="T1001" s="21" t="str">
        <f>"－"</f>
        <v>－</v>
      </c>
      <c r="U1001" s="5" t="s">
        <v>78</v>
      </c>
      <c r="V1001" s="23" t="n">
        <f>5951600000</f>
        <v>5.9516E9</v>
      </c>
      <c r="W1001" s="5" t="s">
        <v>82</v>
      </c>
      <c r="X1001" s="23" t="str">
        <f>"－"</f>
        <v>－</v>
      </c>
      <c r="Y1001" s="23" t="str">
        <f>"－"</f>
        <v>－</v>
      </c>
      <c r="Z1001" s="21" t="str">
        <f>"－"</f>
        <v>－</v>
      </c>
      <c r="AA1001" s="21" t="n">
        <f>677</f>
        <v>677.0</v>
      </c>
      <c r="AB1001" s="4" t="s">
        <v>82</v>
      </c>
      <c r="AC1001" s="22" t="n">
        <f>1050</f>
        <v>1050.0</v>
      </c>
      <c r="AD1001" s="5" t="s">
        <v>259</v>
      </c>
      <c r="AE1001" s="23" t="n">
        <f>650</f>
        <v>650.0</v>
      </c>
    </row>
    <row r="1002">
      <c r="A1002" s="24" t="s">
        <v>1881</v>
      </c>
      <c r="B1002" s="25" t="s">
        <v>1882</v>
      </c>
      <c r="C1002" s="26" t="s">
        <v>1752</v>
      </c>
      <c r="D1002" s="27" t="s">
        <v>1753</v>
      </c>
      <c r="E1002" s="28" t="s">
        <v>378</v>
      </c>
      <c r="F1002" s="20" t="n">
        <f>122</f>
        <v>122.0</v>
      </c>
      <c r="G1002" s="21" t="n">
        <f>9974</f>
        <v>9974.0</v>
      </c>
      <c r="H1002" s="21"/>
      <c r="I1002" s="21" t="str">
        <f>"－"</f>
        <v>－</v>
      </c>
      <c r="J1002" s="21" t="n">
        <f>82</f>
        <v>82.0</v>
      </c>
      <c r="K1002" s="21" t="str">
        <f>"－"</f>
        <v>－</v>
      </c>
      <c r="L1002" s="4" t="s">
        <v>78</v>
      </c>
      <c r="M1002" s="22" t="n">
        <f>3750</f>
        <v>3750.0</v>
      </c>
      <c r="N1002" s="5" t="s">
        <v>82</v>
      </c>
      <c r="O1002" s="23" t="str">
        <f>"－"</f>
        <v>－</v>
      </c>
      <c r="P1002" s="3" t="s">
        <v>1983</v>
      </c>
      <c r="Q1002" s="21"/>
      <c r="R1002" s="3" t="s">
        <v>247</v>
      </c>
      <c r="S1002" s="21" t="n">
        <f>84326107</f>
        <v>8.4326107E7</v>
      </c>
      <c r="T1002" s="21" t="str">
        <f>"－"</f>
        <v>－</v>
      </c>
      <c r="U1002" s="5" t="s">
        <v>78</v>
      </c>
      <c r="V1002" s="23" t="n">
        <f>6024415000</f>
        <v>6.024415E9</v>
      </c>
      <c r="W1002" s="5" t="s">
        <v>82</v>
      </c>
      <c r="X1002" s="23" t="str">
        <f>"－"</f>
        <v>－</v>
      </c>
      <c r="Y1002" s="23" t="str">
        <f>"－"</f>
        <v>－</v>
      </c>
      <c r="Z1002" s="21" t="str">
        <f>"－"</f>
        <v>－</v>
      </c>
      <c r="AA1002" s="21" t="n">
        <f>1354</f>
        <v>1354.0</v>
      </c>
      <c r="AB1002" s="4" t="s">
        <v>81</v>
      </c>
      <c r="AC1002" s="22" t="n">
        <f>3680</f>
        <v>3680.0</v>
      </c>
      <c r="AD1002" s="5" t="s">
        <v>116</v>
      </c>
      <c r="AE1002" s="23" t="n">
        <f>1354</f>
        <v>1354.0</v>
      </c>
    </row>
    <row r="1003">
      <c r="A1003" s="24" t="s">
        <v>1881</v>
      </c>
      <c r="B1003" s="25" t="s">
        <v>1882</v>
      </c>
      <c r="C1003" s="26" t="s">
        <v>1744</v>
      </c>
      <c r="D1003" s="27" t="s">
        <v>1745</v>
      </c>
      <c r="E1003" s="28" t="s">
        <v>383</v>
      </c>
      <c r="F1003" s="20" t="n">
        <f>125</f>
        <v>125.0</v>
      </c>
      <c r="G1003" s="21" t="n">
        <f>4809</f>
        <v>4809.0</v>
      </c>
      <c r="H1003" s="21"/>
      <c r="I1003" s="21" t="str">
        <f>"－"</f>
        <v>－</v>
      </c>
      <c r="J1003" s="21" t="n">
        <f>38</f>
        <v>38.0</v>
      </c>
      <c r="K1003" s="21" t="str">
        <f>"－"</f>
        <v>－</v>
      </c>
      <c r="L1003" s="4" t="s">
        <v>458</v>
      </c>
      <c r="M1003" s="22" t="n">
        <f>1176</f>
        <v>1176.0</v>
      </c>
      <c r="N1003" s="5" t="s">
        <v>751</v>
      </c>
      <c r="O1003" s="23" t="str">
        <f>"－"</f>
        <v>－</v>
      </c>
      <c r="P1003" s="3" t="s">
        <v>1984</v>
      </c>
      <c r="Q1003" s="21"/>
      <c r="R1003" s="3" t="s">
        <v>247</v>
      </c>
      <c r="S1003" s="21" t="n">
        <f>7335280</f>
        <v>7335280.0</v>
      </c>
      <c r="T1003" s="21" t="str">
        <f>"－"</f>
        <v>－</v>
      </c>
      <c r="U1003" s="5" t="s">
        <v>666</v>
      </c>
      <c r="V1003" s="23" t="n">
        <f>153000000</f>
        <v>1.53E8</v>
      </c>
      <c r="W1003" s="5" t="s">
        <v>751</v>
      </c>
      <c r="X1003" s="23" t="str">
        <f>"－"</f>
        <v>－</v>
      </c>
      <c r="Y1003" s="23" t="str">
        <f>"－"</f>
        <v>－</v>
      </c>
      <c r="Z1003" s="21" t="str">
        <f>"－"</f>
        <v>－</v>
      </c>
      <c r="AA1003" s="21" t="n">
        <f>893</f>
        <v>893.0</v>
      </c>
      <c r="AB1003" s="4" t="s">
        <v>666</v>
      </c>
      <c r="AC1003" s="22" t="n">
        <f>977</f>
        <v>977.0</v>
      </c>
      <c r="AD1003" s="5" t="s">
        <v>224</v>
      </c>
      <c r="AE1003" s="23" t="n">
        <f>660</f>
        <v>660.0</v>
      </c>
    </row>
    <row r="1004">
      <c r="A1004" s="24" t="s">
        <v>1881</v>
      </c>
      <c r="B1004" s="25" t="s">
        <v>1882</v>
      </c>
      <c r="C1004" s="26" t="s">
        <v>1748</v>
      </c>
      <c r="D1004" s="27" t="s">
        <v>1749</v>
      </c>
      <c r="E1004" s="28" t="s">
        <v>383</v>
      </c>
      <c r="F1004" s="20" t="n">
        <f>125</f>
        <v>125.0</v>
      </c>
      <c r="G1004" s="21" t="n">
        <f>4809</f>
        <v>4809.0</v>
      </c>
      <c r="H1004" s="21"/>
      <c r="I1004" s="21" t="str">
        <f>"－"</f>
        <v>－</v>
      </c>
      <c r="J1004" s="21" t="n">
        <f>38</f>
        <v>38.0</v>
      </c>
      <c r="K1004" s="21" t="str">
        <f>"－"</f>
        <v>－</v>
      </c>
      <c r="L1004" s="4" t="s">
        <v>458</v>
      </c>
      <c r="M1004" s="22" t="n">
        <f>1176</f>
        <v>1176.0</v>
      </c>
      <c r="N1004" s="5" t="s">
        <v>751</v>
      </c>
      <c r="O1004" s="23" t="str">
        <f>"－"</f>
        <v>－</v>
      </c>
      <c r="P1004" s="3" t="s">
        <v>1985</v>
      </c>
      <c r="Q1004" s="21"/>
      <c r="R1004" s="3" t="s">
        <v>247</v>
      </c>
      <c r="S1004" s="21" t="n">
        <f>49593000</f>
        <v>4.9593E7</v>
      </c>
      <c r="T1004" s="21" t="str">
        <f>"－"</f>
        <v>－</v>
      </c>
      <c r="U1004" s="5" t="s">
        <v>458</v>
      </c>
      <c r="V1004" s="23" t="n">
        <f>2066640000</f>
        <v>2.06664E9</v>
      </c>
      <c r="W1004" s="5" t="s">
        <v>751</v>
      </c>
      <c r="X1004" s="23" t="str">
        <f>"－"</f>
        <v>－</v>
      </c>
      <c r="Y1004" s="23" t="n">
        <f>16</f>
        <v>16.0</v>
      </c>
      <c r="Z1004" s="21" t="str">
        <f>"－"</f>
        <v>－</v>
      </c>
      <c r="AA1004" s="21" t="n">
        <f>893</f>
        <v>893.0</v>
      </c>
      <c r="AB1004" s="4" t="s">
        <v>666</v>
      </c>
      <c r="AC1004" s="22" t="n">
        <f>977</f>
        <v>977.0</v>
      </c>
      <c r="AD1004" s="5" t="s">
        <v>224</v>
      </c>
      <c r="AE1004" s="23" t="n">
        <f>660</f>
        <v>660.0</v>
      </c>
    </row>
    <row r="1005">
      <c r="A1005" s="24" t="s">
        <v>1881</v>
      </c>
      <c r="B1005" s="25" t="s">
        <v>1882</v>
      </c>
      <c r="C1005" s="26" t="s">
        <v>1752</v>
      </c>
      <c r="D1005" s="27" t="s">
        <v>1753</v>
      </c>
      <c r="E1005" s="28" t="s">
        <v>383</v>
      </c>
      <c r="F1005" s="20" t="n">
        <f>125</f>
        <v>125.0</v>
      </c>
      <c r="G1005" s="21" t="n">
        <f>9618</f>
        <v>9618.0</v>
      </c>
      <c r="H1005" s="21"/>
      <c r="I1005" s="21" t="str">
        <f>"－"</f>
        <v>－</v>
      </c>
      <c r="J1005" s="21" t="n">
        <f>77</f>
        <v>77.0</v>
      </c>
      <c r="K1005" s="21" t="str">
        <f>"－"</f>
        <v>－</v>
      </c>
      <c r="L1005" s="4" t="s">
        <v>458</v>
      </c>
      <c r="M1005" s="22" t="n">
        <f>2352</f>
        <v>2352.0</v>
      </c>
      <c r="N1005" s="5" t="s">
        <v>751</v>
      </c>
      <c r="O1005" s="23" t="str">
        <f>"－"</f>
        <v>－</v>
      </c>
      <c r="P1005" s="3" t="s">
        <v>1986</v>
      </c>
      <c r="Q1005" s="21"/>
      <c r="R1005" s="3" t="s">
        <v>247</v>
      </c>
      <c r="S1005" s="21" t="n">
        <f>56928280</f>
        <v>5.692828E7</v>
      </c>
      <c r="T1005" s="21" t="str">
        <f>"－"</f>
        <v>－</v>
      </c>
      <c r="U1005" s="5" t="s">
        <v>458</v>
      </c>
      <c r="V1005" s="23" t="n">
        <f>2156420000</f>
        <v>2.15642E9</v>
      </c>
      <c r="W1005" s="5" t="s">
        <v>751</v>
      </c>
      <c r="X1005" s="23" t="str">
        <f>"－"</f>
        <v>－</v>
      </c>
      <c r="Y1005" s="23" t="n">
        <f>16</f>
        <v>16.0</v>
      </c>
      <c r="Z1005" s="21" t="str">
        <f>"－"</f>
        <v>－</v>
      </c>
      <c r="AA1005" s="21" t="n">
        <f>1786</f>
        <v>1786.0</v>
      </c>
      <c r="AB1005" s="4" t="s">
        <v>666</v>
      </c>
      <c r="AC1005" s="22" t="n">
        <f>1954</f>
        <v>1954.0</v>
      </c>
      <c r="AD1005" s="5" t="s">
        <v>224</v>
      </c>
      <c r="AE1005" s="23" t="n">
        <f>1320</f>
        <v>1320.0</v>
      </c>
    </row>
    <row r="1006">
      <c r="A1006" s="24" t="s">
        <v>1881</v>
      </c>
      <c r="B1006" s="25" t="s">
        <v>1882</v>
      </c>
      <c r="C1006" s="26" t="s">
        <v>1744</v>
      </c>
      <c r="D1006" s="27" t="s">
        <v>1745</v>
      </c>
      <c r="E1006" s="28" t="s">
        <v>386</v>
      </c>
      <c r="F1006" s="20" t="n">
        <f>121</f>
        <v>121.0</v>
      </c>
      <c r="G1006" s="21" t="n">
        <f>3867</f>
        <v>3867.0</v>
      </c>
      <c r="H1006" s="21"/>
      <c r="I1006" s="21" t="str">
        <f>"－"</f>
        <v>－</v>
      </c>
      <c r="J1006" s="21" t="n">
        <f>32</f>
        <v>32.0</v>
      </c>
      <c r="K1006" s="21" t="str">
        <f>"－"</f>
        <v>－</v>
      </c>
      <c r="L1006" s="4" t="s">
        <v>298</v>
      </c>
      <c r="M1006" s="22" t="n">
        <f>1536</f>
        <v>1536.0</v>
      </c>
      <c r="N1006" s="5" t="s">
        <v>268</v>
      </c>
      <c r="O1006" s="23" t="str">
        <f>"－"</f>
        <v>－</v>
      </c>
      <c r="P1006" s="3" t="s">
        <v>1987</v>
      </c>
      <c r="Q1006" s="21"/>
      <c r="R1006" s="3" t="s">
        <v>247</v>
      </c>
      <c r="S1006" s="21" t="n">
        <f>2754950</f>
        <v>2754950.0</v>
      </c>
      <c r="T1006" s="21" t="str">
        <f>"－"</f>
        <v>－</v>
      </c>
      <c r="U1006" s="5" t="s">
        <v>155</v>
      </c>
      <c r="V1006" s="23" t="n">
        <f>169688000</f>
        <v>1.69688E8</v>
      </c>
      <c r="W1006" s="5" t="s">
        <v>268</v>
      </c>
      <c r="X1006" s="23" t="str">
        <f>"－"</f>
        <v>－</v>
      </c>
      <c r="Y1006" s="23" t="str">
        <f>"－"</f>
        <v>－</v>
      </c>
      <c r="Z1006" s="21" t="str">
        <f>"－"</f>
        <v>－</v>
      </c>
      <c r="AA1006" s="21" t="n">
        <f>848</f>
        <v>848.0</v>
      </c>
      <c r="AB1006" s="4" t="s">
        <v>260</v>
      </c>
      <c r="AC1006" s="22" t="n">
        <f>993</f>
        <v>993.0</v>
      </c>
      <c r="AD1006" s="5" t="s">
        <v>921</v>
      </c>
      <c r="AE1006" s="23" t="n">
        <f>848</f>
        <v>848.0</v>
      </c>
    </row>
    <row r="1007">
      <c r="A1007" s="24" t="s">
        <v>1881</v>
      </c>
      <c r="B1007" s="25" t="s">
        <v>1882</v>
      </c>
      <c r="C1007" s="26" t="s">
        <v>1748</v>
      </c>
      <c r="D1007" s="27" t="s">
        <v>1749</v>
      </c>
      <c r="E1007" s="28" t="s">
        <v>386</v>
      </c>
      <c r="F1007" s="20" t="n">
        <f>121</f>
        <v>121.0</v>
      </c>
      <c r="G1007" s="21" t="n">
        <f>5575</f>
        <v>5575.0</v>
      </c>
      <c r="H1007" s="21"/>
      <c r="I1007" s="21" t="str">
        <f>"－"</f>
        <v>－</v>
      </c>
      <c r="J1007" s="21" t="n">
        <f>46</f>
        <v>46.0</v>
      </c>
      <c r="K1007" s="21" t="str">
        <f>"－"</f>
        <v>－</v>
      </c>
      <c r="L1007" s="4" t="s">
        <v>298</v>
      </c>
      <c r="M1007" s="22" t="n">
        <f>1536</f>
        <v>1536.0</v>
      </c>
      <c r="N1007" s="5" t="s">
        <v>268</v>
      </c>
      <c r="O1007" s="23" t="str">
        <f>"－"</f>
        <v>－</v>
      </c>
      <c r="P1007" s="3" t="s">
        <v>1988</v>
      </c>
      <c r="Q1007" s="21"/>
      <c r="R1007" s="3" t="s">
        <v>247</v>
      </c>
      <c r="S1007" s="21" t="n">
        <f>53051860</f>
        <v>5.305186E7</v>
      </c>
      <c r="T1007" s="21" t="str">
        <f>"－"</f>
        <v>－</v>
      </c>
      <c r="U1007" s="5" t="s">
        <v>298</v>
      </c>
      <c r="V1007" s="23" t="n">
        <f>2164955000</f>
        <v>2.164955E9</v>
      </c>
      <c r="W1007" s="5" t="s">
        <v>268</v>
      </c>
      <c r="X1007" s="23" t="str">
        <f>"－"</f>
        <v>－</v>
      </c>
      <c r="Y1007" s="23" t="n">
        <f>100</f>
        <v>100.0</v>
      </c>
      <c r="Z1007" s="21" t="str">
        <f>"－"</f>
        <v>－</v>
      </c>
      <c r="AA1007" s="21" t="n">
        <f>950</f>
        <v>950.0</v>
      </c>
      <c r="AB1007" s="4" t="s">
        <v>1147</v>
      </c>
      <c r="AC1007" s="22" t="n">
        <f>1642</f>
        <v>1642.0</v>
      </c>
      <c r="AD1007" s="5" t="s">
        <v>116</v>
      </c>
      <c r="AE1007" s="23" t="n">
        <f>884</f>
        <v>884.0</v>
      </c>
    </row>
    <row r="1008">
      <c r="A1008" s="24" t="s">
        <v>1881</v>
      </c>
      <c r="B1008" s="25" t="s">
        <v>1882</v>
      </c>
      <c r="C1008" s="26" t="s">
        <v>1752</v>
      </c>
      <c r="D1008" s="27" t="s">
        <v>1753</v>
      </c>
      <c r="E1008" s="28" t="s">
        <v>386</v>
      </c>
      <c r="F1008" s="20" t="n">
        <f>121</f>
        <v>121.0</v>
      </c>
      <c r="G1008" s="21" t="n">
        <f>9442</f>
        <v>9442.0</v>
      </c>
      <c r="H1008" s="21"/>
      <c r="I1008" s="21" t="str">
        <f>"－"</f>
        <v>－</v>
      </c>
      <c r="J1008" s="21" t="n">
        <f>78</f>
        <v>78.0</v>
      </c>
      <c r="K1008" s="21" t="str">
        <f>"－"</f>
        <v>－</v>
      </c>
      <c r="L1008" s="4" t="s">
        <v>298</v>
      </c>
      <c r="M1008" s="22" t="n">
        <f>3072</f>
        <v>3072.0</v>
      </c>
      <c r="N1008" s="5" t="s">
        <v>268</v>
      </c>
      <c r="O1008" s="23" t="str">
        <f>"－"</f>
        <v>－</v>
      </c>
      <c r="P1008" s="3" t="s">
        <v>1989</v>
      </c>
      <c r="Q1008" s="21"/>
      <c r="R1008" s="3" t="s">
        <v>247</v>
      </c>
      <c r="S1008" s="21" t="n">
        <f>55806810</f>
        <v>5.580681E7</v>
      </c>
      <c r="T1008" s="21" t="str">
        <f>"－"</f>
        <v>－</v>
      </c>
      <c r="U1008" s="5" t="s">
        <v>298</v>
      </c>
      <c r="V1008" s="23" t="n">
        <f>2250971000</f>
        <v>2.250971E9</v>
      </c>
      <c r="W1008" s="5" t="s">
        <v>268</v>
      </c>
      <c r="X1008" s="23" t="str">
        <f>"－"</f>
        <v>－</v>
      </c>
      <c r="Y1008" s="23" t="n">
        <f>100</f>
        <v>100.0</v>
      </c>
      <c r="Z1008" s="21" t="str">
        <f>"－"</f>
        <v>－</v>
      </c>
      <c r="AA1008" s="21" t="n">
        <f>1798</f>
        <v>1798.0</v>
      </c>
      <c r="AB1008" s="4" t="s">
        <v>1147</v>
      </c>
      <c r="AC1008" s="22" t="n">
        <f>2495</f>
        <v>2495.0</v>
      </c>
      <c r="AD1008" s="5" t="s">
        <v>116</v>
      </c>
      <c r="AE1008" s="23" t="n">
        <f>1732</f>
        <v>1732.0</v>
      </c>
    </row>
    <row r="1009">
      <c r="A1009" s="24" t="s">
        <v>1881</v>
      </c>
      <c r="B1009" s="25" t="s">
        <v>1882</v>
      </c>
      <c r="C1009" s="26" t="s">
        <v>1744</v>
      </c>
      <c r="D1009" s="27" t="s">
        <v>1745</v>
      </c>
      <c r="E1009" s="28" t="s">
        <v>389</v>
      </c>
      <c r="F1009" s="20" t="n">
        <f>124</f>
        <v>124.0</v>
      </c>
      <c r="G1009" s="21" t="n">
        <f>5105</f>
        <v>5105.0</v>
      </c>
      <c r="H1009" s="21"/>
      <c r="I1009" s="21" t="n">
        <f>550</f>
        <v>550.0</v>
      </c>
      <c r="J1009" s="21" t="n">
        <f>41</f>
        <v>41.0</v>
      </c>
      <c r="K1009" s="21" t="n">
        <f>4</f>
        <v>4.0</v>
      </c>
      <c r="L1009" s="4" t="s">
        <v>61</v>
      </c>
      <c r="M1009" s="22" t="n">
        <f>1430</f>
        <v>1430.0</v>
      </c>
      <c r="N1009" s="5" t="s">
        <v>263</v>
      </c>
      <c r="O1009" s="23" t="str">
        <f>"－"</f>
        <v>－</v>
      </c>
      <c r="P1009" s="3" t="s">
        <v>1990</v>
      </c>
      <c r="Q1009" s="21"/>
      <c r="R1009" s="3" t="s">
        <v>1991</v>
      </c>
      <c r="S1009" s="21" t="n">
        <f>20752702</f>
        <v>2.0752702E7</v>
      </c>
      <c r="T1009" s="21" t="n">
        <f>1132661</f>
        <v>1132661.0</v>
      </c>
      <c r="U1009" s="5" t="s">
        <v>573</v>
      </c>
      <c r="V1009" s="23" t="n">
        <f>1391770000</f>
        <v>1.39177E9</v>
      </c>
      <c r="W1009" s="5" t="s">
        <v>263</v>
      </c>
      <c r="X1009" s="23" t="str">
        <f>"－"</f>
        <v>－</v>
      </c>
      <c r="Y1009" s="23" t="n">
        <f>50</f>
        <v>50.0</v>
      </c>
      <c r="Z1009" s="21" t="str">
        <f>"－"</f>
        <v>－</v>
      </c>
      <c r="AA1009" s="21" t="n">
        <f>1015</f>
        <v>1015.0</v>
      </c>
      <c r="AB1009" s="4" t="s">
        <v>100</v>
      </c>
      <c r="AC1009" s="22" t="n">
        <f>1015</f>
        <v>1015.0</v>
      </c>
      <c r="AD1009" s="5" t="s">
        <v>544</v>
      </c>
      <c r="AE1009" s="23" t="n">
        <f>816</f>
        <v>816.0</v>
      </c>
    </row>
    <row r="1010">
      <c r="A1010" s="24" t="s">
        <v>1881</v>
      </c>
      <c r="B1010" s="25" t="s">
        <v>1882</v>
      </c>
      <c r="C1010" s="26" t="s">
        <v>1748</v>
      </c>
      <c r="D1010" s="27" t="s">
        <v>1749</v>
      </c>
      <c r="E1010" s="28" t="s">
        <v>389</v>
      </c>
      <c r="F1010" s="20" t="n">
        <f>124</f>
        <v>124.0</v>
      </c>
      <c r="G1010" s="21" t="n">
        <f>5340</f>
        <v>5340.0</v>
      </c>
      <c r="H1010" s="21"/>
      <c r="I1010" s="21" t="n">
        <f>550</f>
        <v>550.0</v>
      </c>
      <c r="J1010" s="21" t="n">
        <f>43</f>
        <v>43.0</v>
      </c>
      <c r="K1010" s="21" t="n">
        <f>4</f>
        <v>4.0</v>
      </c>
      <c r="L1010" s="4" t="s">
        <v>61</v>
      </c>
      <c r="M1010" s="22" t="n">
        <f>1430</f>
        <v>1430.0</v>
      </c>
      <c r="N1010" s="5" t="s">
        <v>263</v>
      </c>
      <c r="O1010" s="23" t="str">
        <f>"－"</f>
        <v>－</v>
      </c>
      <c r="P1010" s="3" t="s">
        <v>1992</v>
      </c>
      <c r="Q1010" s="21"/>
      <c r="R1010" s="3" t="s">
        <v>1993</v>
      </c>
      <c r="S1010" s="21" t="n">
        <f>26662298</f>
        <v>2.6662298E7</v>
      </c>
      <c r="T1010" s="21" t="n">
        <f>7057460</f>
        <v>7057460.0</v>
      </c>
      <c r="U1010" s="5" t="s">
        <v>274</v>
      </c>
      <c r="V1010" s="23" t="n">
        <f>1090145000</f>
        <v>1.090145E9</v>
      </c>
      <c r="W1010" s="5" t="s">
        <v>263</v>
      </c>
      <c r="X1010" s="23" t="str">
        <f>"－"</f>
        <v>－</v>
      </c>
      <c r="Y1010" s="23" t="str">
        <f>"－"</f>
        <v>－</v>
      </c>
      <c r="Z1010" s="21" t="str">
        <f>"－"</f>
        <v>－</v>
      </c>
      <c r="AA1010" s="21" t="n">
        <f>1200</f>
        <v>1200.0</v>
      </c>
      <c r="AB1010" s="4" t="s">
        <v>100</v>
      </c>
      <c r="AC1010" s="22" t="n">
        <f>1200</f>
        <v>1200.0</v>
      </c>
      <c r="AD1010" s="5" t="s">
        <v>792</v>
      </c>
      <c r="AE1010" s="23" t="n">
        <f>876</f>
        <v>876.0</v>
      </c>
    </row>
    <row r="1011">
      <c r="A1011" s="24" t="s">
        <v>1881</v>
      </c>
      <c r="B1011" s="25" t="s">
        <v>1882</v>
      </c>
      <c r="C1011" s="26" t="s">
        <v>1752</v>
      </c>
      <c r="D1011" s="27" t="s">
        <v>1753</v>
      </c>
      <c r="E1011" s="28" t="s">
        <v>389</v>
      </c>
      <c r="F1011" s="20" t="n">
        <f>124</f>
        <v>124.0</v>
      </c>
      <c r="G1011" s="21" t="n">
        <f>10445</f>
        <v>10445.0</v>
      </c>
      <c r="H1011" s="21"/>
      <c r="I1011" s="21" t="n">
        <f>1100</f>
        <v>1100.0</v>
      </c>
      <c r="J1011" s="21" t="n">
        <f>84</f>
        <v>84.0</v>
      </c>
      <c r="K1011" s="21" t="n">
        <f>9</f>
        <v>9.0</v>
      </c>
      <c r="L1011" s="4" t="s">
        <v>61</v>
      </c>
      <c r="M1011" s="22" t="n">
        <f>2860</f>
        <v>2860.0</v>
      </c>
      <c r="N1011" s="5" t="s">
        <v>263</v>
      </c>
      <c r="O1011" s="23" t="str">
        <f>"－"</f>
        <v>－</v>
      </c>
      <c r="P1011" s="3" t="s">
        <v>1994</v>
      </c>
      <c r="Q1011" s="21"/>
      <c r="R1011" s="3" t="s">
        <v>1995</v>
      </c>
      <c r="S1011" s="21" t="n">
        <f>47415000</f>
        <v>4.7415E7</v>
      </c>
      <c r="T1011" s="21" t="n">
        <f>8190121</f>
        <v>8190121.0</v>
      </c>
      <c r="U1011" s="5" t="s">
        <v>573</v>
      </c>
      <c r="V1011" s="23" t="n">
        <f>1543475000</f>
        <v>1.543475E9</v>
      </c>
      <c r="W1011" s="5" t="s">
        <v>263</v>
      </c>
      <c r="X1011" s="23" t="str">
        <f>"－"</f>
        <v>－</v>
      </c>
      <c r="Y1011" s="23" t="n">
        <f>50</f>
        <v>50.0</v>
      </c>
      <c r="Z1011" s="21" t="str">
        <f>"－"</f>
        <v>－</v>
      </c>
      <c r="AA1011" s="21" t="n">
        <f>2215</f>
        <v>2215.0</v>
      </c>
      <c r="AB1011" s="4" t="s">
        <v>100</v>
      </c>
      <c r="AC1011" s="22" t="n">
        <f>2215</f>
        <v>2215.0</v>
      </c>
      <c r="AD1011" s="5" t="s">
        <v>406</v>
      </c>
      <c r="AE1011" s="23" t="n">
        <f>1702</f>
        <v>1702.0</v>
      </c>
    </row>
    <row r="1012">
      <c r="A1012" s="24" t="s">
        <v>1881</v>
      </c>
      <c r="B1012" s="25" t="s">
        <v>1882</v>
      </c>
      <c r="C1012" s="26" t="s">
        <v>1744</v>
      </c>
      <c r="D1012" s="27" t="s">
        <v>1745</v>
      </c>
      <c r="E1012" s="28" t="s">
        <v>393</v>
      </c>
      <c r="F1012" s="20" t="n">
        <f>121</f>
        <v>121.0</v>
      </c>
      <c r="G1012" s="21" t="n">
        <f>16454</f>
        <v>16454.0</v>
      </c>
      <c r="H1012" s="21"/>
      <c r="I1012" s="21" t="n">
        <f>14026</f>
        <v>14026.0</v>
      </c>
      <c r="J1012" s="21" t="n">
        <f>136</f>
        <v>136.0</v>
      </c>
      <c r="K1012" s="21" t="n">
        <f>116</f>
        <v>116.0</v>
      </c>
      <c r="L1012" s="4" t="s">
        <v>1070</v>
      </c>
      <c r="M1012" s="22" t="n">
        <f>4698</f>
        <v>4698.0</v>
      </c>
      <c r="N1012" s="5" t="s">
        <v>279</v>
      </c>
      <c r="O1012" s="23" t="str">
        <f>"－"</f>
        <v>－</v>
      </c>
      <c r="P1012" s="3" t="s">
        <v>1996</v>
      </c>
      <c r="Q1012" s="21"/>
      <c r="R1012" s="3" t="s">
        <v>1997</v>
      </c>
      <c r="S1012" s="21" t="n">
        <f>90579917</f>
        <v>9.0579917E7</v>
      </c>
      <c r="T1012" s="21" t="n">
        <f>86035868</f>
        <v>8.6035868E7</v>
      </c>
      <c r="U1012" s="5" t="s">
        <v>1070</v>
      </c>
      <c r="V1012" s="23" t="n">
        <f>5010430000</f>
        <v>5.01043E9</v>
      </c>
      <c r="W1012" s="5" t="s">
        <v>279</v>
      </c>
      <c r="X1012" s="23" t="str">
        <f>"－"</f>
        <v>－</v>
      </c>
      <c r="Y1012" s="23" t="n">
        <f>85</f>
        <v>85.0</v>
      </c>
      <c r="Z1012" s="21" t="n">
        <f>5898</f>
        <v>5898.0</v>
      </c>
      <c r="AA1012" s="21" t="n">
        <f>7074</f>
        <v>7074.0</v>
      </c>
      <c r="AB1012" s="4" t="s">
        <v>102</v>
      </c>
      <c r="AC1012" s="22" t="n">
        <f>8175</f>
        <v>8175.0</v>
      </c>
      <c r="AD1012" s="5" t="s">
        <v>828</v>
      </c>
      <c r="AE1012" s="23" t="n">
        <f>870</f>
        <v>870.0</v>
      </c>
    </row>
    <row r="1013">
      <c r="A1013" s="24" t="s">
        <v>1881</v>
      </c>
      <c r="B1013" s="25" t="s">
        <v>1882</v>
      </c>
      <c r="C1013" s="26" t="s">
        <v>1748</v>
      </c>
      <c r="D1013" s="27" t="s">
        <v>1749</v>
      </c>
      <c r="E1013" s="28" t="s">
        <v>393</v>
      </c>
      <c r="F1013" s="20" t="n">
        <f>121</f>
        <v>121.0</v>
      </c>
      <c r="G1013" s="21" t="n">
        <f>14688</f>
        <v>14688.0</v>
      </c>
      <c r="H1013" s="21"/>
      <c r="I1013" s="21" t="n">
        <f>12091</f>
        <v>12091.0</v>
      </c>
      <c r="J1013" s="21" t="n">
        <f>121</f>
        <v>121.0</v>
      </c>
      <c r="K1013" s="21" t="n">
        <f>100</f>
        <v>100.0</v>
      </c>
      <c r="L1013" s="4" t="s">
        <v>1070</v>
      </c>
      <c r="M1013" s="22" t="n">
        <f>4698</f>
        <v>4698.0</v>
      </c>
      <c r="N1013" s="5" t="s">
        <v>279</v>
      </c>
      <c r="O1013" s="23" t="str">
        <f>"－"</f>
        <v>－</v>
      </c>
      <c r="P1013" s="3" t="s">
        <v>1998</v>
      </c>
      <c r="Q1013" s="21"/>
      <c r="R1013" s="3" t="s">
        <v>1999</v>
      </c>
      <c r="S1013" s="21" t="n">
        <f>56012140</f>
        <v>5.601214E7</v>
      </c>
      <c r="T1013" s="21" t="n">
        <f>38701802</f>
        <v>3.8701802E7</v>
      </c>
      <c r="U1013" s="5" t="s">
        <v>1070</v>
      </c>
      <c r="V1013" s="23" t="n">
        <f>2141115000</f>
        <v>2.141115E9</v>
      </c>
      <c r="W1013" s="5" t="s">
        <v>279</v>
      </c>
      <c r="X1013" s="23" t="str">
        <f>"－"</f>
        <v>－</v>
      </c>
      <c r="Y1013" s="23" t="n">
        <f>3001</f>
        <v>3001.0</v>
      </c>
      <c r="Z1013" s="21" t="n">
        <f>5898</f>
        <v>5898.0</v>
      </c>
      <c r="AA1013" s="21" t="n">
        <f>6874</f>
        <v>6874.0</v>
      </c>
      <c r="AB1013" s="4" t="s">
        <v>102</v>
      </c>
      <c r="AC1013" s="22" t="n">
        <f>7394</f>
        <v>7394.0</v>
      </c>
      <c r="AD1013" s="5" t="s">
        <v>105</v>
      </c>
      <c r="AE1013" s="23" t="n">
        <f>900</f>
        <v>900.0</v>
      </c>
    </row>
    <row r="1014">
      <c r="A1014" s="24" t="s">
        <v>1881</v>
      </c>
      <c r="B1014" s="25" t="s">
        <v>1882</v>
      </c>
      <c r="C1014" s="26" t="s">
        <v>1752</v>
      </c>
      <c r="D1014" s="27" t="s">
        <v>1753</v>
      </c>
      <c r="E1014" s="28" t="s">
        <v>393</v>
      </c>
      <c r="F1014" s="20" t="n">
        <f>121</f>
        <v>121.0</v>
      </c>
      <c r="G1014" s="21" t="n">
        <f>31142</f>
        <v>31142.0</v>
      </c>
      <c r="H1014" s="21"/>
      <c r="I1014" s="21" t="n">
        <f>26117</f>
        <v>26117.0</v>
      </c>
      <c r="J1014" s="21" t="n">
        <f>257</f>
        <v>257.0</v>
      </c>
      <c r="K1014" s="21" t="n">
        <f>216</f>
        <v>216.0</v>
      </c>
      <c r="L1014" s="4" t="s">
        <v>1070</v>
      </c>
      <c r="M1014" s="22" t="n">
        <f>9396</f>
        <v>9396.0</v>
      </c>
      <c r="N1014" s="5" t="s">
        <v>279</v>
      </c>
      <c r="O1014" s="23" t="str">
        <f>"－"</f>
        <v>－</v>
      </c>
      <c r="P1014" s="3" t="s">
        <v>2000</v>
      </c>
      <c r="Q1014" s="21"/>
      <c r="R1014" s="3" t="s">
        <v>2001</v>
      </c>
      <c r="S1014" s="21" t="n">
        <f>146592058</f>
        <v>1.46592058E8</v>
      </c>
      <c r="T1014" s="21" t="n">
        <f>124737669</f>
        <v>1.24737669E8</v>
      </c>
      <c r="U1014" s="5" t="s">
        <v>1070</v>
      </c>
      <c r="V1014" s="23" t="n">
        <f>7151545000</f>
        <v>7.151545E9</v>
      </c>
      <c r="W1014" s="5" t="s">
        <v>279</v>
      </c>
      <c r="X1014" s="23" t="str">
        <f>"－"</f>
        <v>－</v>
      </c>
      <c r="Y1014" s="23" t="n">
        <f>3086</f>
        <v>3086.0</v>
      </c>
      <c r="Z1014" s="21" t="n">
        <f>11796</f>
        <v>11796.0</v>
      </c>
      <c r="AA1014" s="21" t="n">
        <f>13948</f>
        <v>13948.0</v>
      </c>
      <c r="AB1014" s="4" t="s">
        <v>102</v>
      </c>
      <c r="AC1014" s="22" t="n">
        <f>15569</f>
        <v>15569.0</v>
      </c>
      <c r="AD1014" s="5" t="s">
        <v>828</v>
      </c>
      <c r="AE1014" s="23" t="n">
        <f>1790</f>
        <v>1790.0</v>
      </c>
    </row>
    <row r="1015">
      <c r="A1015" s="24" t="s">
        <v>1881</v>
      </c>
      <c r="B1015" s="25" t="s">
        <v>1882</v>
      </c>
      <c r="C1015" s="26" t="s">
        <v>1744</v>
      </c>
      <c r="D1015" s="27" t="s">
        <v>1745</v>
      </c>
      <c r="E1015" s="28" t="s">
        <v>397</v>
      </c>
      <c r="F1015" s="20" t="n">
        <f>125</f>
        <v>125.0</v>
      </c>
      <c r="G1015" s="21" t="n">
        <f>6015</f>
        <v>6015.0</v>
      </c>
      <c r="H1015" s="21"/>
      <c r="I1015" s="21" t="n">
        <f>5744</f>
        <v>5744.0</v>
      </c>
      <c r="J1015" s="21" t="n">
        <f>48</f>
        <v>48.0</v>
      </c>
      <c r="K1015" s="21" t="n">
        <f>46</f>
        <v>46.0</v>
      </c>
      <c r="L1015" s="4" t="s">
        <v>310</v>
      </c>
      <c r="M1015" s="22" t="n">
        <f>1375</f>
        <v>1375.0</v>
      </c>
      <c r="N1015" s="5" t="s">
        <v>335</v>
      </c>
      <c r="O1015" s="23" t="str">
        <f>"－"</f>
        <v>－</v>
      </c>
      <c r="P1015" s="3" t="s">
        <v>2002</v>
      </c>
      <c r="Q1015" s="21"/>
      <c r="R1015" s="3" t="s">
        <v>2003</v>
      </c>
      <c r="S1015" s="21" t="n">
        <f>27305896</f>
        <v>2.7305896E7</v>
      </c>
      <c r="T1015" s="21" t="n">
        <f>26694536</f>
        <v>2.6694536E7</v>
      </c>
      <c r="U1015" s="5" t="s">
        <v>281</v>
      </c>
      <c r="V1015" s="23" t="n">
        <f>1048605000</f>
        <v>1.048605E9</v>
      </c>
      <c r="W1015" s="5" t="s">
        <v>335</v>
      </c>
      <c r="X1015" s="23" t="str">
        <f>"－"</f>
        <v>－</v>
      </c>
      <c r="Y1015" s="23" t="n">
        <f>201</f>
        <v>201.0</v>
      </c>
      <c r="Z1015" s="21" t="n">
        <f>1375</f>
        <v>1375.0</v>
      </c>
      <c r="AA1015" s="21" t="n">
        <f>8566</f>
        <v>8566.0</v>
      </c>
      <c r="AB1015" s="4" t="s">
        <v>310</v>
      </c>
      <c r="AC1015" s="22" t="n">
        <f>8656</f>
        <v>8656.0</v>
      </c>
      <c r="AD1015" s="5" t="s">
        <v>335</v>
      </c>
      <c r="AE1015" s="23" t="n">
        <f>7074</f>
        <v>7074.0</v>
      </c>
    </row>
    <row r="1016">
      <c r="A1016" s="24" t="s">
        <v>1881</v>
      </c>
      <c r="B1016" s="25" t="s">
        <v>1882</v>
      </c>
      <c r="C1016" s="26" t="s">
        <v>1748</v>
      </c>
      <c r="D1016" s="27" t="s">
        <v>1749</v>
      </c>
      <c r="E1016" s="28" t="s">
        <v>397</v>
      </c>
      <c r="F1016" s="20" t="n">
        <f>125</f>
        <v>125.0</v>
      </c>
      <c r="G1016" s="21" t="n">
        <f>6075</f>
        <v>6075.0</v>
      </c>
      <c r="H1016" s="21"/>
      <c r="I1016" s="21" t="n">
        <f>5705</f>
        <v>5705.0</v>
      </c>
      <c r="J1016" s="21" t="n">
        <f>49</f>
        <v>49.0</v>
      </c>
      <c r="K1016" s="21" t="n">
        <f>46</f>
        <v>46.0</v>
      </c>
      <c r="L1016" s="4" t="s">
        <v>310</v>
      </c>
      <c r="M1016" s="22" t="n">
        <f>1375</f>
        <v>1375.0</v>
      </c>
      <c r="N1016" s="5" t="s">
        <v>335</v>
      </c>
      <c r="O1016" s="23" t="str">
        <f>"－"</f>
        <v>－</v>
      </c>
      <c r="P1016" s="3" t="s">
        <v>2004</v>
      </c>
      <c r="Q1016" s="21"/>
      <c r="R1016" s="3" t="s">
        <v>2005</v>
      </c>
      <c r="S1016" s="21" t="n">
        <f>43934792</f>
        <v>4.3934792E7</v>
      </c>
      <c r="T1016" s="21" t="n">
        <f>43553592</f>
        <v>4.3553592E7</v>
      </c>
      <c r="U1016" s="5" t="s">
        <v>75</v>
      </c>
      <c r="V1016" s="23" t="n">
        <f>2007575000</f>
        <v>2.007575E9</v>
      </c>
      <c r="W1016" s="5" t="s">
        <v>335</v>
      </c>
      <c r="X1016" s="23" t="str">
        <f>"－"</f>
        <v>－</v>
      </c>
      <c r="Y1016" s="23" t="n">
        <f>30</f>
        <v>30.0</v>
      </c>
      <c r="Z1016" s="21" t="n">
        <f>1375</f>
        <v>1375.0</v>
      </c>
      <c r="AA1016" s="21" t="n">
        <f>8366</f>
        <v>8366.0</v>
      </c>
      <c r="AB1016" s="4" t="s">
        <v>310</v>
      </c>
      <c r="AC1016" s="22" t="n">
        <f>8516</f>
        <v>8516.0</v>
      </c>
      <c r="AD1016" s="5" t="s">
        <v>335</v>
      </c>
      <c r="AE1016" s="23" t="n">
        <f>6874</f>
        <v>6874.0</v>
      </c>
    </row>
    <row r="1017">
      <c r="A1017" s="24" t="s">
        <v>1881</v>
      </c>
      <c r="B1017" s="25" t="s">
        <v>1882</v>
      </c>
      <c r="C1017" s="26" t="s">
        <v>1752</v>
      </c>
      <c r="D1017" s="27" t="s">
        <v>1753</v>
      </c>
      <c r="E1017" s="28" t="s">
        <v>397</v>
      </c>
      <c r="F1017" s="20" t="n">
        <f>125</f>
        <v>125.0</v>
      </c>
      <c r="G1017" s="21" t="n">
        <f>12090</f>
        <v>12090.0</v>
      </c>
      <c r="H1017" s="21"/>
      <c r="I1017" s="21" t="n">
        <f>11449</f>
        <v>11449.0</v>
      </c>
      <c r="J1017" s="21" t="n">
        <f>97</f>
        <v>97.0</v>
      </c>
      <c r="K1017" s="21" t="n">
        <f>92</f>
        <v>92.0</v>
      </c>
      <c r="L1017" s="4" t="s">
        <v>310</v>
      </c>
      <c r="M1017" s="22" t="n">
        <f>2750</f>
        <v>2750.0</v>
      </c>
      <c r="N1017" s="5" t="s">
        <v>335</v>
      </c>
      <c r="O1017" s="23" t="str">
        <f>"－"</f>
        <v>－</v>
      </c>
      <c r="P1017" s="3" t="s">
        <v>2006</v>
      </c>
      <c r="Q1017" s="21"/>
      <c r="R1017" s="3" t="s">
        <v>2007</v>
      </c>
      <c r="S1017" s="21" t="n">
        <f>71240688</f>
        <v>7.1240688E7</v>
      </c>
      <c r="T1017" s="21" t="n">
        <f>70248128</f>
        <v>7.0248128E7</v>
      </c>
      <c r="U1017" s="5" t="s">
        <v>75</v>
      </c>
      <c r="V1017" s="23" t="n">
        <f>2082621000</f>
        <v>2.082621E9</v>
      </c>
      <c r="W1017" s="5" t="s">
        <v>335</v>
      </c>
      <c r="X1017" s="23" t="str">
        <f>"－"</f>
        <v>－</v>
      </c>
      <c r="Y1017" s="23" t="n">
        <f>231</f>
        <v>231.0</v>
      </c>
      <c r="Z1017" s="21" t="n">
        <f>2750</f>
        <v>2750.0</v>
      </c>
      <c r="AA1017" s="21" t="n">
        <f>16932</f>
        <v>16932.0</v>
      </c>
      <c r="AB1017" s="4" t="s">
        <v>310</v>
      </c>
      <c r="AC1017" s="22" t="n">
        <f>17172</f>
        <v>17172.0</v>
      </c>
      <c r="AD1017" s="5" t="s">
        <v>335</v>
      </c>
      <c r="AE1017" s="23" t="n">
        <f>13948</f>
        <v>13948.0</v>
      </c>
    </row>
    <row r="1018">
      <c r="A1018" s="24" t="s">
        <v>1881</v>
      </c>
      <c r="B1018" s="25" t="s">
        <v>1882</v>
      </c>
      <c r="C1018" s="26" t="s">
        <v>1744</v>
      </c>
      <c r="D1018" s="27" t="s">
        <v>1745</v>
      </c>
      <c r="E1018" s="28" t="s">
        <v>401</v>
      </c>
      <c r="F1018" s="20" t="n">
        <f>120</f>
        <v>120.0</v>
      </c>
      <c r="G1018" s="21" t="n">
        <f>15479</f>
        <v>15479.0</v>
      </c>
      <c r="H1018" s="21"/>
      <c r="I1018" s="21" t="n">
        <f>15364</f>
        <v>15364.0</v>
      </c>
      <c r="J1018" s="21" t="n">
        <f>129</f>
        <v>129.0</v>
      </c>
      <c r="K1018" s="21" t="n">
        <f>128</f>
        <v>128.0</v>
      </c>
      <c r="L1018" s="4" t="s">
        <v>352</v>
      </c>
      <c r="M1018" s="22" t="n">
        <f>2910</f>
        <v>2910.0</v>
      </c>
      <c r="N1018" s="5" t="s">
        <v>279</v>
      </c>
      <c r="O1018" s="23" t="str">
        <f>"－"</f>
        <v>－</v>
      </c>
      <c r="P1018" s="3" t="s">
        <v>2008</v>
      </c>
      <c r="Q1018" s="21"/>
      <c r="R1018" s="3" t="s">
        <v>2009</v>
      </c>
      <c r="S1018" s="21" t="n">
        <f>268750083</f>
        <v>2.68750083E8</v>
      </c>
      <c r="T1018" s="21" t="n">
        <f>268151125</f>
        <v>2.68151125E8</v>
      </c>
      <c r="U1018" s="5" t="s">
        <v>352</v>
      </c>
      <c r="V1018" s="23" t="n">
        <f>9640400000</f>
        <v>9.6404E9</v>
      </c>
      <c r="W1018" s="5" t="s">
        <v>279</v>
      </c>
      <c r="X1018" s="23" t="str">
        <f>"－"</f>
        <v>－</v>
      </c>
      <c r="Y1018" s="23" t="n">
        <f>2350</f>
        <v>2350.0</v>
      </c>
      <c r="Z1018" s="21" t="n">
        <f>7288</f>
        <v>7288.0</v>
      </c>
      <c r="AA1018" s="21" t="n">
        <f>1958</f>
        <v>1958.0</v>
      </c>
      <c r="AB1018" s="4" t="s">
        <v>865</v>
      </c>
      <c r="AC1018" s="22" t="n">
        <f>8626</f>
        <v>8626.0</v>
      </c>
      <c r="AD1018" s="5" t="s">
        <v>178</v>
      </c>
      <c r="AE1018" s="23" t="n">
        <f>1239</f>
        <v>1239.0</v>
      </c>
    </row>
    <row r="1019">
      <c r="A1019" s="24" t="s">
        <v>1881</v>
      </c>
      <c r="B1019" s="25" t="s">
        <v>1882</v>
      </c>
      <c r="C1019" s="26" t="s">
        <v>1748</v>
      </c>
      <c r="D1019" s="27" t="s">
        <v>1749</v>
      </c>
      <c r="E1019" s="28" t="s">
        <v>401</v>
      </c>
      <c r="F1019" s="20" t="n">
        <f>120</f>
        <v>120.0</v>
      </c>
      <c r="G1019" s="21" t="n">
        <f>14594</f>
        <v>14594.0</v>
      </c>
      <c r="H1019" s="21"/>
      <c r="I1019" s="21" t="n">
        <f>14484</f>
        <v>14484.0</v>
      </c>
      <c r="J1019" s="21" t="n">
        <f>122</f>
        <v>122.0</v>
      </c>
      <c r="K1019" s="21" t="n">
        <f>121</f>
        <v>121.0</v>
      </c>
      <c r="L1019" s="4" t="s">
        <v>352</v>
      </c>
      <c r="M1019" s="22" t="n">
        <f>2968</f>
        <v>2968.0</v>
      </c>
      <c r="N1019" s="5" t="s">
        <v>279</v>
      </c>
      <c r="O1019" s="23" t="str">
        <f>"－"</f>
        <v>－</v>
      </c>
      <c r="P1019" s="3" t="s">
        <v>2010</v>
      </c>
      <c r="Q1019" s="21"/>
      <c r="R1019" s="3" t="s">
        <v>2011</v>
      </c>
      <c r="S1019" s="21" t="n">
        <f>32341908</f>
        <v>3.2341908E7</v>
      </c>
      <c r="T1019" s="21" t="n">
        <f>31818992</f>
        <v>3.1818992E7</v>
      </c>
      <c r="U1019" s="5" t="s">
        <v>64</v>
      </c>
      <c r="V1019" s="23" t="n">
        <f>1493127000</f>
        <v>1.493127E9</v>
      </c>
      <c r="W1019" s="5" t="s">
        <v>279</v>
      </c>
      <c r="X1019" s="23" t="str">
        <f>"－"</f>
        <v>－</v>
      </c>
      <c r="Y1019" s="23" t="n">
        <f>80</f>
        <v>80.0</v>
      </c>
      <c r="Z1019" s="21" t="n">
        <f>6363</f>
        <v>6363.0</v>
      </c>
      <c r="AA1019" s="21" t="n">
        <f>1958</f>
        <v>1958.0</v>
      </c>
      <c r="AB1019" s="4" t="s">
        <v>277</v>
      </c>
      <c r="AC1019" s="22" t="n">
        <f>8647</f>
        <v>8647.0</v>
      </c>
      <c r="AD1019" s="5" t="s">
        <v>178</v>
      </c>
      <c r="AE1019" s="23" t="n">
        <f>1224</f>
        <v>1224.0</v>
      </c>
    </row>
    <row r="1020">
      <c r="A1020" s="24" t="s">
        <v>1881</v>
      </c>
      <c r="B1020" s="25" t="s">
        <v>1882</v>
      </c>
      <c r="C1020" s="26" t="s">
        <v>1752</v>
      </c>
      <c r="D1020" s="27" t="s">
        <v>1753</v>
      </c>
      <c r="E1020" s="28" t="s">
        <v>401</v>
      </c>
      <c r="F1020" s="20" t="n">
        <f>120</f>
        <v>120.0</v>
      </c>
      <c r="G1020" s="21" t="n">
        <f>30073</f>
        <v>30073.0</v>
      </c>
      <c r="H1020" s="21"/>
      <c r="I1020" s="21" t="n">
        <f>29848</f>
        <v>29848.0</v>
      </c>
      <c r="J1020" s="21" t="n">
        <f>251</f>
        <v>251.0</v>
      </c>
      <c r="K1020" s="21" t="n">
        <f>249</f>
        <v>249.0</v>
      </c>
      <c r="L1020" s="4" t="s">
        <v>352</v>
      </c>
      <c r="M1020" s="22" t="n">
        <f>5878</f>
        <v>5878.0</v>
      </c>
      <c r="N1020" s="5" t="s">
        <v>279</v>
      </c>
      <c r="O1020" s="23" t="str">
        <f>"－"</f>
        <v>－</v>
      </c>
      <c r="P1020" s="3" t="s">
        <v>2012</v>
      </c>
      <c r="Q1020" s="21"/>
      <c r="R1020" s="3" t="s">
        <v>2013</v>
      </c>
      <c r="S1020" s="21" t="n">
        <f>301091992</f>
        <v>3.01091992E8</v>
      </c>
      <c r="T1020" s="21" t="n">
        <f>299970117</f>
        <v>2.99970117E8</v>
      </c>
      <c r="U1020" s="5" t="s">
        <v>352</v>
      </c>
      <c r="V1020" s="23" t="n">
        <f>9681446000</f>
        <v>9.681446E9</v>
      </c>
      <c r="W1020" s="5" t="s">
        <v>279</v>
      </c>
      <c r="X1020" s="23" t="str">
        <f>"－"</f>
        <v>－</v>
      </c>
      <c r="Y1020" s="23" t="n">
        <f>2430</f>
        <v>2430.0</v>
      </c>
      <c r="Z1020" s="21" t="n">
        <f>13651</f>
        <v>13651.0</v>
      </c>
      <c r="AA1020" s="21" t="n">
        <f>3916</f>
        <v>3916.0</v>
      </c>
      <c r="AB1020" s="4" t="s">
        <v>277</v>
      </c>
      <c r="AC1020" s="22" t="n">
        <f>17086</f>
        <v>17086.0</v>
      </c>
      <c r="AD1020" s="5" t="s">
        <v>178</v>
      </c>
      <c r="AE1020" s="23" t="n">
        <f>2463</f>
        <v>2463.0</v>
      </c>
    </row>
    <row r="1021">
      <c r="A1021" s="24" t="s">
        <v>1881</v>
      </c>
      <c r="B1021" s="25" t="s">
        <v>1882</v>
      </c>
      <c r="C1021" s="26" t="s">
        <v>1744</v>
      </c>
      <c r="D1021" s="27" t="s">
        <v>1745</v>
      </c>
      <c r="E1021" s="28" t="s">
        <v>405</v>
      </c>
      <c r="F1021" s="20" t="n">
        <f>123</f>
        <v>123.0</v>
      </c>
      <c r="G1021" s="21" t="n">
        <f>7400</f>
        <v>7400.0</v>
      </c>
      <c r="H1021" s="21"/>
      <c r="I1021" s="21" t="n">
        <f>7400</f>
        <v>7400.0</v>
      </c>
      <c r="J1021" s="21" t="n">
        <f>60</f>
        <v>60.0</v>
      </c>
      <c r="K1021" s="21" t="n">
        <f>60</f>
        <v>60.0</v>
      </c>
      <c r="L1021" s="4" t="s">
        <v>281</v>
      </c>
      <c r="M1021" s="22" t="n">
        <f>2160</f>
        <v>2160.0</v>
      </c>
      <c r="N1021" s="5" t="s">
        <v>335</v>
      </c>
      <c r="O1021" s="23" t="str">
        <f>"－"</f>
        <v>－</v>
      </c>
      <c r="P1021" s="3" t="s">
        <v>2014</v>
      </c>
      <c r="Q1021" s="21"/>
      <c r="R1021" s="3" t="s">
        <v>2014</v>
      </c>
      <c r="S1021" s="21" t="n">
        <f>10148976</f>
        <v>1.0148976E7</v>
      </c>
      <c r="T1021" s="21" t="n">
        <f>10148976</f>
        <v>1.0148976E7</v>
      </c>
      <c r="U1021" s="5" t="s">
        <v>281</v>
      </c>
      <c r="V1021" s="23" t="n">
        <f>502200000</f>
        <v>5.022E8</v>
      </c>
      <c r="W1021" s="5" t="s">
        <v>335</v>
      </c>
      <c r="X1021" s="23" t="str">
        <f>"－"</f>
        <v>－</v>
      </c>
      <c r="Y1021" s="23" t="str">
        <f>"－"</f>
        <v>－</v>
      </c>
      <c r="Z1021" s="21" t="str">
        <f>"－"</f>
        <v>－</v>
      </c>
      <c r="AA1021" s="21" t="n">
        <f>1550</f>
        <v>1550.0</v>
      </c>
      <c r="AB1021" s="4" t="s">
        <v>75</v>
      </c>
      <c r="AC1021" s="22" t="n">
        <f>2448</f>
        <v>2448.0</v>
      </c>
      <c r="AD1021" s="5" t="s">
        <v>1265</v>
      </c>
      <c r="AE1021" s="23" t="n">
        <f>1171</f>
        <v>1171.0</v>
      </c>
    </row>
    <row r="1022">
      <c r="A1022" s="24" t="s">
        <v>1881</v>
      </c>
      <c r="B1022" s="25" t="s">
        <v>1882</v>
      </c>
      <c r="C1022" s="26" t="s">
        <v>1748</v>
      </c>
      <c r="D1022" s="27" t="s">
        <v>1749</v>
      </c>
      <c r="E1022" s="28" t="s">
        <v>405</v>
      </c>
      <c r="F1022" s="20" t="n">
        <f>123</f>
        <v>123.0</v>
      </c>
      <c r="G1022" s="21" t="n">
        <f>21393</f>
        <v>21393.0</v>
      </c>
      <c r="H1022" s="21"/>
      <c r="I1022" s="21" t="n">
        <f>21392</f>
        <v>21392.0</v>
      </c>
      <c r="J1022" s="21" t="n">
        <f>174</f>
        <v>174.0</v>
      </c>
      <c r="K1022" s="21" t="n">
        <f>174</f>
        <v>174.0</v>
      </c>
      <c r="L1022" s="4" t="s">
        <v>792</v>
      </c>
      <c r="M1022" s="22" t="n">
        <f>3054</f>
        <v>3054.0</v>
      </c>
      <c r="N1022" s="5" t="s">
        <v>335</v>
      </c>
      <c r="O1022" s="23" t="str">
        <f>"－"</f>
        <v>－</v>
      </c>
      <c r="P1022" s="3" t="s">
        <v>2015</v>
      </c>
      <c r="Q1022" s="21"/>
      <c r="R1022" s="3" t="s">
        <v>2016</v>
      </c>
      <c r="S1022" s="21" t="n">
        <f>92502780</f>
        <v>9.250278E7</v>
      </c>
      <c r="T1022" s="21" t="n">
        <f>92499935</f>
        <v>9.2499935E7</v>
      </c>
      <c r="U1022" s="5" t="s">
        <v>88</v>
      </c>
      <c r="V1022" s="23" t="n">
        <f>2601807000</f>
        <v>2.601807E9</v>
      </c>
      <c r="W1022" s="5" t="s">
        <v>335</v>
      </c>
      <c r="X1022" s="23" t="str">
        <f>"－"</f>
        <v>－</v>
      </c>
      <c r="Y1022" s="23" t="n">
        <f>2528</f>
        <v>2528.0</v>
      </c>
      <c r="Z1022" s="21" t="n">
        <f>997</f>
        <v>997.0</v>
      </c>
      <c r="AA1022" s="21" t="n">
        <f>10912</f>
        <v>10912.0</v>
      </c>
      <c r="AB1022" s="4" t="s">
        <v>281</v>
      </c>
      <c r="AC1022" s="22" t="n">
        <f>11452</f>
        <v>11452.0</v>
      </c>
      <c r="AD1022" s="5" t="s">
        <v>335</v>
      </c>
      <c r="AE1022" s="23" t="n">
        <f>1958</f>
        <v>1958.0</v>
      </c>
    </row>
    <row r="1023">
      <c r="A1023" s="24" t="s">
        <v>1881</v>
      </c>
      <c r="B1023" s="25" t="s">
        <v>1882</v>
      </c>
      <c r="C1023" s="26" t="s">
        <v>1752</v>
      </c>
      <c r="D1023" s="27" t="s">
        <v>1753</v>
      </c>
      <c r="E1023" s="28" t="s">
        <v>405</v>
      </c>
      <c r="F1023" s="20" t="n">
        <f>123</f>
        <v>123.0</v>
      </c>
      <c r="G1023" s="21" t="n">
        <f>28793</f>
        <v>28793.0</v>
      </c>
      <c r="H1023" s="21"/>
      <c r="I1023" s="21" t="n">
        <f>28792</f>
        <v>28792.0</v>
      </c>
      <c r="J1023" s="21" t="n">
        <f>234</f>
        <v>234.0</v>
      </c>
      <c r="K1023" s="21" t="n">
        <f>234</f>
        <v>234.0</v>
      </c>
      <c r="L1023" s="4" t="s">
        <v>281</v>
      </c>
      <c r="M1023" s="22" t="n">
        <f>4570</f>
        <v>4570.0</v>
      </c>
      <c r="N1023" s="5" t="s">
        <v>335</v>
      </c>
      <c r="O1023" s="23" t="str">
        <f>"－"</f>
        <v>－</v>
      </c>
      <c r="P1023" s="3" t="s">
        <v>2017</v>
      </c>
      <c r="Q1023" s="21"/>
      <c r="R1023" s="3" t="s">
        <v>2018</v>
      </c>
      <c r="S1023" s="21" t="n">
        <f>102651756</f>
        <v>1.02651756E8</v>
      </c>
      <c r="T1023" s="21" t="n">
        <f>102648911</f>
        <v>1.02648911E8</v>
      </c>
      <c r="U1023" s="5" t="s">
        <v>88</v>
      </c>
      <c r="V1023" s="23" t="n">
        <f>2791031000</f>
        <v>2.791031E9</v>
      </c>
      <c r="W1023" s="5" t="s">
        <v>335</v>
      </c>
      <c r="X1023" s="23" t="str">
        <f>"－"</f>
        <v>－</v>
      </c>
      <c r="Y1023" s="23" t="n">
        <f>2528</f>
        <v>2528.0</v>
      </c>
      <c r="Z1023" s="21" t="n">
        <f>997</f>
        <v>997.0</v>
      </c>
      <c r="AA1023" s="21" t="n">
        <f>12462</f>
        <v>12462.0</v>
      </c>
      <c r="AB1023" s="4" t="s">
        <v>281</v>
      </c>
      <c r="AC1023" s="22" t="n">
        <f>13542</f>
        <v>13542.0</v>
      </c>
      <c r="AD1023" s="5" t="s">
        <v>335</v>
      </c>
      <c r="AE1023" s="23" t="n">
        <f>3916</f>
        <v>3916.0</v>
      </c>
    </row>
    <row r="1024">
      <c r="A1024" s="24" t="s">
        <v>1881</v>
      </c>
      <c r="B1024" s="25" t="s">
        <v>1882</v>
      </c>
      <c r="C1024" s="26" t="s">
        <v>1744</v>
      </c>
      <c r="D1024" s="27" t="s">
        <v>1745</v>
      </c>
      <c r="E1024" s="28" t="s">
        <v>409</v>
      </c>
      <c r="F1024" s="20" t="n">
        <f>121</f>
        <v>121.0</v>
      </c>
      <c r="G1024" s="21" t="n">
        <f>17784</f>
        <v>17784.0</v>
      </c>
      <c r="H1024" s="21"/>
      <c r="I1024" s="21" t="n">
        <f>17768</f>
        <v>17768.0</v>
      </c>
      <c r="J1024" s="21" t="n">
        <f>147</f>
        <v>147.0</v>
      </c>
      <c r="K1024" s="21" t="n">
        <f>147</f>
        <v>147.0</v>
      </c>
      <c r="L1024" s="4" t="s">
        <v>49</v>
      </c>
      <c r="M1024" s="22" t="n">
        <f>2160</f>
        <v>2160.0</v>
      </c>
      <c r="N1024" s="5" t="s">
        <v>279</v>
      </c>
      <c r="O1024" s="23" t="str">
        <f>"－"</f>
        <v>－</v>
      </c>
      <c r="P1024" s="3" t="s">
        <v>2019</v>
      </c>
      <c r="Q1024" s="21"/>
      <c r="R1024" s="3" t="s">
        <v>2020</v>
      </c>
      <c r="S1024" s="21" t="n">
        <f>48354116</f>
        <v>4.8354116E7</v>
      </c>
      <c r="T1024" s="21" t="n">
        <f>48337868</f>
        <v>4.8337868E7</v>
      </c>
      <c r="U1024" s="5" t="s">
        <v>49</v>
      </c>
      <c r="V1024" s="23" t="n">
        <f>1833840000</f>
        <v>1.83384E9</v>
      </c>
      <c r="W1024" s="5" t="s">
        <v>279</v>
      </c>
      <c r="X1024" s="23" t="str">
        <f>"－"</f>
        <v>－</v>
      </c>
      <c r="Y1024" s="23" t="n">
        <f>5</f>
        <v>5.0</v>
      </c>
      <c r="Z1024" s="21" t="n">
        <f>2522</f>
        <v>2522.0</v>
      </c>
      <c r="AA1024" s="21" t="n">
        <f>2735</f>
        <v>2735.0</v>
      </c>
      <c r="AB1024" s="4" t="s">
        <v>945</v>
      </c>
      <c r="AC1024" s="22" t="n">
        <f>4749</f>
        <v>4749.0</v>
      </c>
      <c r="AD1024" s="5" t="s">
        <v>974</v>
      </c>
      <c r="AE1024" s="23" t="n">
        <f>1548</f>
        <v>1548.0</v>
      </c>
    </row>
    <row r="1025">
      <c r="A1025" s="24" t="s">
        <v>1881</v>
      </c>
      <c r="B1025" s="25" t="s">
        <v>1882</v>
      </c>
      <c r="C1025" s="26" t="s">
        <v>1748</v>
      </c>
      <c r="D1025" s="27" t="s">
        <v>1749</v>
      </c>
      <c r="E1025" s="28" t="s">
        <v>409</v>
      </c>
      <c r="F1025" s="20" t="n">
        <f>121</f>
        <v>121.0</v>
      </c>
      <c r="G1025" s="21" t="n">
        <f>32090</f>
        <v>32090.0</v>
      </c>
      <c r="H1025" s="21"/>
      <c r="I1025" s="21" t="n">
        <f>32030</f>
        <v>32030.0</v>
      </c>
      <c r="J1025" s="21" t="n">
        <f>265</f>
        <v>265.0</v>
      </c>
      <c r="K1025" s="21" t="n">
        <f>265</f>
        <v>265.0</v>
      </c>
      <c r="L1025" s="4" t="s">
        <v>187</v>
      </c>
      <c r="M1025" s="22" t="n">
        <f>6530</f>
        <v>6530.0</v>
      </c>
      <c r="N1025" s="5" t="s">
        <v>279</v>
      </c>
      <c r="O1025" s="23" t="str">
        <f>"－"</f>
        <v>－</v>
      </c>
      <c r="P1025" s="3" t="s">
        <v>2021</v>
      </c>
      <c r="Q1025" s="21"/>
      <c r="R1025" s="3" t="s">
        <v>2022</v>
      </c>
      <c r="S1025" s="21" t="n">
        <f>55248950</f>
        <v>5.524895E7</v>
      </c>
      <c r="T1025" s="21" t="n">
        <f>55175645</f>
        <v>5.5175645E7</v>
      </c>
      <c r="U1025" s="5" t="s">
        <v>330</v>
      </c>
      <c r="V1025" s="23" t="n">
        <f>1093484000</f>
        <v>1.093484E9</v>
      </c>
      <c r="W1025" s="5" t="s">
        <v>279</v>
      </c>
      <c r="X1025" s="23" t="str">
        <f>"－"</f>
        <v>－</v>
      </c>
      <c r="Y1025" s="23" t="n">
        <f>4152</f>
        <v>4152.0</v>
      </c>
      <c r="Z1025" s="21" t="n">
        <f>7128</f>
        <v>7128.0</v>
      </c>
      <c r="AA1025" s="21" t="n">
        <f>11665</f>
        <v>11665.0</v>
      </c>
      <c r="AB1025" s="4" t="s">
        <v>187</v>
      </c>
      <c r="AC1025" s="22" t="n">
        <f>17898</f>
        <v>17898.0</v>
      </c>
      <c r="AD1025" s="5" t="s">
        <v>279</v>
      </c>
      <c r="AE1025" s="23" t="n">
        <f>10912</f>
        <v>10912.0</v>
      </c>
    </row>
    <row r="1026">
      <c r="A1026" s="24" t="s">
        <v>1881</v>
      </c>
      <c r="B1026" s="25" t="s">
        <v>1882</v>
      </c>
      <c r="C1026" s="26" t="s">
        <v>1752</v>
      </c>
      <c r="D1026" s="27" t="s">
        <v>1753</v>
      </c>
      <c r="E1026" s="28" t="s">
        <v>409</v>
      </c>
      <c r="F1026" s="20" t="n">
        <f>121</f>
        <v>121.0</v>
      </c>
      <c r="G1026" s="21" t="n">
        <f>49874</f>
        <v>49874.0</v>
      </c>
      <c r="H1026" s="21"/>
      <c r="I1026" s="21" t="n">
        <f>49798</f>
        <v>49798.0</v>
      </c>
      <c r="J1026" s="21" t="n">
        <f>412</f>
        <v>412.0</v>
      </c>
      <c r="K1026" s="21" t="n">
        <f>412</f>
        <v>412.0</v>
      </c>
      <c r="L1026" s="4" t="s">
        <v>187</v>
      </c>
      <c r="M1026" s="22" t="n">
        <f>6530</f>
        <v>6530.0</v>
      </c>
      <c r="N1026" s="5" t="s">
        <v>279</v>
      </c>
      <c r="O1026" s="23" t="str">
        <f>"－"</f>
        <v>－</v>
      </c>
      <c r="P1026" s="3" t="s">
        <v>2023</v>
      </c>
      <c r="Q1026" s="21"/>
      <c r="R1026" s="3" t="s">
        <v>2024</v>
      </c>
      <c r="S1026" s="21" t="n">
        <f>103603066</f>
        <v>1.03603066E8</v>
      </c>
      <c r="T1026" s="21" t="n">
        <f>103513512</f>
        <v>1.03513512E8</v>
      </c>
      <c r="U1026" s="5" t="s">
        <v>49</v>
      </c>
      <c r="V1026" s="23" t="n">
        <f>1996920000</f>
        <v>1.99692E9</v>
      </c>
      <c r="W1026" s="5" t="s">
        <v>279</v>
      </c>
      <c r="X1026" s="23" t="str">
        <f>"－"</f>
        <v>－</v>
      </c>
      <c r="Y1026" s="23" t="n">
        <f>4157</f>
        <v>4157.0</v>
      </c>
      <c r="Z1026" s="21" t="n">
        <f>9650</f>
        <v>9650.0</v>
      </c>
      <c r="AA1026" s="21" t="n">
        <f>14400</f>
        <v>14400.0</v>
      </c>
      <c r="AB1026" s="4" t="s">
        <v>945</v>
      </c>
      <c r="AC1026" s="22" t="n">
        <f>21884</f>
        <v>21884.0</v>
      </c>
      <c r="AD1026" s="5" t="s">
        <v>279</v>
      </c>
      <c r="AE1026" s="23" t="n">
        <f>12462</f>
        <v>12462.0</v>
      </c>
    </row>
    <row r="1027">
      <c r="A1027" s="24" t="s">
        <v>1881</v>
      </c>
      <c r="B1027" s="25" t="s">
        <v>1882</v>
      </c>
      <c r="C1027" s="26" t="s">
        <v>1744</v>
      </c>
      <c r="D1027" s="27" t="s">
        <v>1745</v>
      </c>
      <c r="E1027" s="28" t="s">
        <v>412</v>
      </c>
      <c r="F1027" s="20" t="n">
        <f>124</f>
        <v>124.0</v>
      </c>
      <c r="G1027" s="21" t="n">
        <f>19330</f>
        <v>19330.0</v>
      </c>
      <c r="H1027" s="21"/>
      <c r="I1027" s="21" t="n">
        <f>19330</f>
        <v>19330.0</v>
      </c>
      <c r="J1027" s="21" t="n">
        <f>156</f>
        <v>156.0</v>
      </c>
      <c r="K1027" s="21" t="n">
        <f>156</f>
        <v>156.0</v>
      </c>
      <c r="L1027" s="4" t="s">
        <v>1077</v>
      </c>
      <c r="M1027" s="22" t="n">
        <f>4705</f>
        <v>4705.0</v>
      </c>
      <c r="N1027" s="5" t="s">
        <v>335</v>
      </c>
      <c r="O1027" s="23" t="str">
        <f>"－"</f>
        <v>－</v>
      </c>
      <c r="P1027" s="3" t="s">
        <v>2025</v>
      </c>
      <c r="Q1027" s="21"/>
      <c r="R1027" s="3" t="s">
        <v>2025</v>
      </c>
      <c r="S1027" s="21" t="n">
        <f>39963613</f>
        <v>3.9963613E7</v>
      </c>
      <c r="T1027" s="21" t="n">
        <f>39963613</f>
        <v>3.9963613E7</v>
      </c>
      <c r="U1027" s="5" t="s">
        <v>88</v>
      </c>
      <c r="V1027" s="23" t="n">
        <f>1087600000</f>
        <v>1.0876E9</v>
      </c>
      <c r="W1027" s="5" t="s">
        <v>335</v>
      </c>
      <c r="X1027" s="23" t="str">
        <f>"－"</f>
        <v>－</v>
      </c>
      <c r="Y1027" s="23" t="n">
        <f>1486</f>
        <v>1486.0</v>
      </c>
      <c r="Z1027" s="21" t="n">
        <f>4265</f>
        <v>4265.0</v>
      </c>
      <c r="AA1027" s="21" t="n">
        <f>855</f>
        <v>855.0</v>
      </c>
      <c r="AB1027" s="4" t="s">
        <v>1077</v>
      </c>
      <c r="AC1027" s="22" t="n">
        <f>5751</f>
        <v>5751.0</v>
      </c>
      <c r="AD1027" s="5" t="s">
        <v>999</v>
      </c>
      <c r="AE1027" s="23" t="n">
        <f>805</f>
        <v>805.0</v>
      </c>
    </row>
    <row r="1028">
      <c r="A1028" s="24" t="s">
        <v>1881</v>
      </c>
      <c r="B1028" s="25" t="s">
        <v>1882</v>
      </c>
      <c r="C1028" s="26" t="s">
        <v>1748</v>
      </c>
      <c r="D1028" s="27" t="s">
        <v>1749</v>
      </c>
      <c r="E1028" s="28" t="s">
        <v>412</v>
      </c>
      <c r="F1028" s="20" t="n">
        <f>124</f>
        <v>124.0</v>
      </c>
      <c r="G1028" s="21" t="n">
        <f>52439</f>
        <v>52439.0</v>
      </c>
      <c r="H1028" s="21"/>
      <c r="I1028" s="21" t="n">
        <f>52439</f>
        <v>52439.0</v>
      </c>
      <c r="J1028" s="21" t="n">
        <f>423</f>
        <v>423.0</v>
      </c>
      <c r="K1028" s="21" t="n">
        <f>423</f>
        <v>423.0</v>
      </c>
      <c r="L1028" s="4" t="s">
        <v>263</v>
      </c>
      <c r="M1028" s="22" t="n">
        <f>9108</f>
        <v>9108.0</v>
      </c>
      <c r="N1028" s="5" t="s">
        <v>350</v>
      </c>
      <c r="O1028" s="23" t="str">
        <f>"－"</f>
        <v>－</v>
      </c>
      <c r="P1028" s="3" t="s">
        <v>2026</v>
      </c>
      <c r="Q1028" s="21"/>
      <c r="R1028" s="3" t="s">
        <v>2026</v>
      </c>
      <c r="S1028" s="21" t="n">
        <f>59581371</f>
        <v>5.9581371E7</v>
      </c>
      <c r="T1028" s="21" t="n">
        <f>59581371</f>
        <v>5.9581371E7</v>
      </c>
      <c r="U1028" s="5" t="s">
        <v>263</v>
      </c>
      <c r="V1028" s="23" t="n">
        <f>1913848000</f>
        <v>1.913848E9</v>
      </c>
      <c r="W1028" s="5" t="s">
        <v>350</v>
      </c>
      <c r="X1028" s="23" t="str">
        <f>"－"</f>
        <v>－</v>
      </c>
      <c r="Y1028" s="23" t="n">
        <f>1440</f>
        <v>1440.0</v>
      </c>
      <c r="Z1028" s="21" t="n">
        <f>9776</f>
        <v>9776.0</v>
      </c>
      <c r="AA1028" s="21" t="n">
        <f>3325</f>
        <v>3325.0</v>
      </c>
      <c r="AB1028" s="4" t="s">
        <v>510</v>
      </c>
      <c r="AC1028" s="22" t="n">
        <f>24171</f>
        <v>24171.0</v>
      </c>
      <c r="AD1028" s="5" t="s">
        <v>76</v>
      </c>
      <c r="AE1028" s="23" t="n">
        <f>1455</f>
        <v>1455.0</v>
      </c>
    </row>
    <row r="1029">
      <c r="A1029" s="24" t="s">
        <v>1881</v>
      </c>
      <c r="B1029" s="25" t="s">
        <v>1882</v>
      </c>
      <c r="C1029" s="26" t="s">
        <v>1752</v>
      </c>
      <c r="D1029" s="27" t="s">
        <v>1753</v>
      </c>
      <c r="E1029" s="28" t="s">
        <v>412</v>
      </c>
      <c r="F1029" s="20" t="n">
        <f>124</f>
        <v>124.0</v>
      </c>
      <c r="G1029" s="21" t="n">
        <f>71769</f>
        <v>71769.0</v>
      </c>
      <c r="H1029" s="21"/>
      <c r="I1029" s="21" t="n">
        <f>71769</f>
        <v>71769.0</v>
      </c>
      <c r="J1029" s="21" t="n">
        <f>579</f>
        <v>579.0</v>
      </c>
      <c r="K1029" s="21" t="n">
        <f>579</f>
        <v>579.0</v>
      </c>
      <c r="L1029" s="4" t="s">
        <v>263</v>
      </c>
      <c r="M1029" s="22" t="n">
        <f>9828</f>
        <v>9828.0</v>
      </c>
      <c r="N1029" s="5" t="s">
        <v>350</v>
      </c>
      <c r="O1029" s="23" t="str">
        <f>"－"</f>
        <v>－</v>
      </c>
      <c r="P1029" s="3" t="s">
        <v>2027</v>
      </c>
      <c r="Q1029" s="21"/>
      <c r="R1029" s="3" t="s">
        <v>2027</v>
      </c>
      <c r="S1029" s="21" t="n">
        <f>99544984</f>
        <v>9.9544984E7</v>
      </c>
      <c r="T1029" s="21" t="n">
        <f>99544984</f>
        <v>9.9544984E7</v>
      </c>
      <c r="U1029" s="5" t="s">
        <v>263</v>
      </c>
      <c r="V1029" s="23" t="n">
        <f>2033368000</f>
        <v>2.033368E9</v>
      </c>
      <c r="W1029" s="5" t="s">
        <v>350</v>
      </c>
      <c r="X1029" s="23" t="str">
        <f>"－"</f>
        <v>－</v>
      </c>
      <c r="Y1029" s="23" t="n">
        <f>2926</f>
        <v>2926.0</v>
      </c>
      <c r="Z1029" s="21" t="n">
        <f>14041</f>
        <v>14041.0</v>
      </c>
      <c r="AA1029" s="21" t="n">
        <f>4180</f>
        <v>4180.0</v>
      </c>
      <c r="AB1029" s="4" t="s">
        <v>510</v>
      </c>
      <c r="AC1029" s="22" t="n">
        <f>26896</f>
        <v>26896.0</v>
      </c>
      <c r="AD1029" s="5" t="s">
        <v>76</v>
      </c>
      <c r="AE1029" s="23" t="n">
        <f>2340</f>
        <v>2340.0</v>
      </c>
    </row>
    <row r="1030">
      <c r="A1030" s="24" t="s">
        <v>1881</v>
      </c>
      <c r="B1030" s="25" t="s">
        <v>1882</v>
      </c>
      <c r="C1030" s="26" t="s">
        <v>1744</v>
      </c>
      <c r="D1030" s="27" t="s">
        <v>1745</v>
      </c>
      <c r="E1030" s="28" t="s">
        <v>415</v>
      </c>
      <c r="F1030" s="20" t="n">
        <f>121</f>
        <v>121.0</v>
      </c>
      <c r="G1030" s="21" t="n">
        <f>8678</f>
        <v>8678.0</v>
      </c>
      <c r="H1030" s="21"/>
      <c r="I1030" s="21" t="n">
        <f>8678</f>
        <v>8678.0</v>
      </c>
      <c r="J1030" s="21" t="n">
        <f>72</f>
        <v>72.0</v>
      </c>
      <c r="K1030" s="21" t="n">
        <f>72</f>
        <v>72.0</v>
      </c>
      <c r="L1030" s="4" t="s">
        <v>440</v>
      </c>
      <c r="M1030" s="22" t="n">
        <f>2179</f>
        <v>2179.0</v>
      </c>
      <c r="N1030" s="5" t="s">
        <v>279</v>
      </c>
      <c r="O1030" s="23" t="str">
        <f>"－"</f>
        <v>－</v>
      </c>
      <c r="P1030" s="3" t="s">
        <v>2028</v>
      </c>
      <c r="Q1030" s="21"/>
      <c r="R1030" s="3" t="s">
        <v>2028</v>
      </c>
      <c r="S1030" s="21" t="n">
        <f>24219298</f>
        <v>2.4219298E7</v>
      </c>
      <c r="T1030" s="21" t="n">
        <f>24219298</f>
        <v>2.4219298E7</v>
      </c>
      <c r="U1030" s="5" t="s">
        <v>440</v>
      </c>
      <c r="V1030" s="23" t="n">
        <f>1854079000</f>
        <v>1.854079E9</v>
      </c>
      <c r="W1030" s="5" t="s">
        <v>279</v>
      </c>
      <c r="X1030" s="23" t="str">
        <f>"－"</f>
        <v>－</v>
      </c>
      <c r="Y1030" s="23" t="str">
        <f>"－"</f>
        <v>－</v>
      </c>
      <c r="Z1030" s="21" t="n">
        <f>1869</f>
        <v>1869.0</v>
      </c>
      <c r="AA1030" s="21" t="n">
        <f>1934</f>
        <v>1934.0</v>
      </c>
      <c r="AB1030" s="4" t="s">
        <v>93</v>
      </c>
      <c r="AC1030" s="22" t="n">
        <f>3484</f>
        <v>3484.0</v>
      </c>
      <c r="AD1030" s="5" t="s">
        <v>279</v>
      </c>
      <c r="AE1030" s="23" t="n">
        <f>855</f>
        <v>855.0</v>
      </c>
    </row>
    <row r="1031">
      <c r="A1031" s="24" t="s">
        <v>1881</v>
      </c>
      <c r="B1031" s="25" t="s">
        <v>1882</v>
      </c>
      <c r="C1031" s="26" t="s">
        <v>1748</v>
      </c>
      <c r="D1031" s="27" t="s">
        <v>1749</v>
      </c>
      <c r="E1031" s="28" t="s">
        <v>415</v>
      </c>
      <c r="F1031" s="20" t="n">
        <f>121</f>
        <v>121.0</v>
      </c>
      <c r="G1031" s="21" t="n">
        <f>20673</f>
        <v>20673.0</v>
      </c>
      <c r="H1031" s="21"/>
      <c r="I1031" s="21" t="n">
        <f>20672</f>
        <v>20672.0</v>
      </c>
      <c r="J1031" s="21" t="n">
        <f>171</f>
        <v>171.0</v>
      </c>
      <c r="K1031" s="21" t="n">
        <f>171</f>
        <v>171.0</v>
      </c>
      <c r="L1031" s="4" t="s">
        <v>862</v>
      </c>
      <c r="M1031" s="22" t="n">
        <f>9070</f>
        <v>9070.0</v>
      </c>
      <c r="N1031" s="5" t="s">
        <v>279</v>
      </c>
      <c r="O1031" s="23" t="str">
        <f>"－"</f>
        <v>－</v>
      </c>
      <c r="P1031" s="3" t="s">
        <v>2029</v>
      </c>
      <c r="Q1031" s="21"/>
      <c r="R1031" s="3" t="s">
        <v>2030</v>
      </c>
      <c r="S1031" s="21" t="n">
        <f>32132893</f>
        <v>3.2132893E7</v>
      </c>
      <c r="T1031" s="21" t="n">
        <f>32127521</f>
        <v>3.2127521E7</v>
      </c>
      <c r="U1031" s="5" t="s">
        <v>178</v>
      </c>
      <c r="V1031" s="23" t="n">
        <f>1350500000</f>
        <v>1.3505E9</v>
      </c>
      <c r="W1031" s="5" t="s">
        <v>279</v>
      </c>
      <c r="X1031" s="23" t="str">
        <f>"－"</f>
        <v>－</v>
      </c>
      <c r="Y1031" s="23" t="n">
        <f>2647</f>
        <v>2647.0</v>
      </c>
      <c r="Z1031" s="21" t="n">
        <f>12466</f>
        <v>12466.0</v>
      </c>
      <c r="AA1031" s="21" t="n">
        <f>975</f>
        <v>975.0</v>
      </c>
      <c r="AB1031" s="4" t="s">
        <v>178</v>
      </c>
      <c r="AC1031" s="22" t="n">
        <f>11447</f>
        <v>11447.0</v>
      </c>
      <c r="AD1031" s="5" t="s">
        <v>55</v>
      </c>
      <c r="AE1031" s="23" t="n">
        <f>975</f>
        <v>975.0</v>
      </c>
    </row>
    <row r="1032">
      <c r="A1032" s="24" t="s">
        <v>1881</v>
      </c>
      <c r="B1032" s="25" t="s">
        <v>1882</v>
      </c>
      <c r="C1032" s="26" t="s">
        <v>1752</v>
      </c>
      <c r="D1032" s="27" t="s">
        <v>1753</v>
      </c>
      <c r="E1032" s="28" t="s">
        <v>415</v>
      </c>
      <c r="F1032" s="20" t="n">
        <f>121</f>
        <v>121.0</v>
      </c>
      <c r="G1032" s="21" t="n">
        <f>29351</f>
        <v>29351.0</v>
      </c>
      <c r="H1032" s="21"/>
      <c r="I1032" s="21" t="n">
        <f>29350</f>
        <v>29350.0</v>
      </c>
      <c r="J1032" s="21" t="n">
        <f>243</f>
        <v>243.0</v>
      </c>
      <c r="K1032" s="21" t="n">
        <f>243</f>
        <v>243.0</v>
      </c>
      <c r="L1032" s="4" t="s">
        <v>862</v>
      </c>
      <c r="M1032" s="22" t="n">
        <f>9070</f>
        <v>9070.0</v>
      </c>
      <c r="N1032" s="5" t="s">
        <v>279</v>
      </c>
      <c r="O1032" s="23" t="str">
        <f>"－"</f>
        <v>－</v>
      </c>
      <c r="P1032" s="3" t="s">
        <v>2031</v>
      </c>
      <c r="Q1032" s="21"/>
      <c r="R1032" s="3" t="s">
        <v>2032</v>
      </c>
      <c r="S1032" s="21" t="n">
        <f>56352190</f>
        <v>5.635219E7</v>
      </c>
      <c r="T1032" s="21" t="n">
        <f>56346818</f>
        <v>5.6346818E7</v>
      </c>
      <c r="U1032" s="5" t="s">
        <v>440</v>
      </c>
      <c r="V1032" s="23" t="n">
        <f>1854079000</f>
        <v>1.854079E9</v>
      </c>
      <c r="W1032" s="5" t="s">
        <v>279</v>
      </c>
      <c r="X1032" s="23" t="str">
        <f>"－"</f>
        <v>－</v>
      </c>
      <c r="Y1032" s="23" t="n">
        <f>2647</f>
        <v>2647.0</v>
      </c>
      <c r="Z1032" s="21" t="n">
        <f>14335</f>
        <v>14335.0</v>
      </c>
      <c r="AA1032" s="21" t="n">
        <f>2909</f>
        <v>2909.0</v>
      </c>
      <c r="AB1032" s="4" t="s">
        <v>178</v>
      </c>
      <c r="AC1032" s="22" t="n">
        <f>13477</f>
        <v>13477.0</v>
      </c>
      <c r="AD1032" s="5" t="s">
        <v>440</v>
      </c>
      <c r="AE1032" s="23" t="n">
        <f>2909</f>
        <v>2909.0</v>
      </c>
    </row>
    <row r="1033">
      <c r="A1033" s="24" t="s">
        <v>1881</v>
      </c>
      <c r="B1033" s="25" t="s">
        <v>1882</v>
      </c>
      <c r="C1033" s="26" t="s">
        <v>1744</v>
      </c>
      <c r="D1033" s="27" t="s">
        <v>1745</v>
      </c>
      <c r="E1033" s="28" t="s">
        <v>418</v>
      </c>
      <c r="F1033" s="20" t="n">
        <f>124</f>
        <v>124.0</v>
      </c>
      <c r="G1033" s="21" t="n">
        <f>1898</f>
        <v>1898.0</v>
      </c>
      <c r="H1033" s="21"/>
      <c r="I1033" s="21" t="n">
        <f>1898</f>
        <v>1898.0</v>
      </c>
      <c r="J1033" s="21" t="n">
        <f>15</f>
        <v>15.0</v>
      </c>
      <c r="K1033" s="21" t="n">
        <f>15</f>
        <v>15.0</v>
      </c>
      <c r="L1033" s="4" t="s">
        <v>143</v>
      </c>
      <c r="M1033" s="22" t="n">
        <f>780</f>
        <v>780.0</v>
      </c>
      <c r="N1033" s="5" t="s">
        <v>335</v>
      </c>
      <c r="O1033" s="23" t="str">
        <f>"－"</f>
        <v>－</v>
      </c>
      <c r="P1033" s="3" t="s">
        <v>2033</v>
      </c>
      <c r="Q1033" s="21"/>
      <c r="R1033" s="3" t="s">
        <v>2033</v>
      </c>
      <c r="S1033" s="21" t="n">
        <f>10714315</f>
        <v>1.0714315E7</v>
      </c>
      <c r="T1033" s="21" t="n">
        <f>10714315</f>
        <v>1.0714315E7</v>
      </c>
      <c r="U1033" s="5" t="s">
        <v>143</v>
      </c>
      <c r="V1033" s="23" t="n">
        <f>693090000</f>
        <v>6.9309E8</v>
      </c>
      <c r="W1033" s="5" t="s">
        <v>335</v>
      </c>
      <c r="X1033" s="23" t="str">
        <f>"－"</f>
        <v>－</v>
      </c>
      <c r="Y1033" s="23" t="n">
        <f>1439</f>
        <v>1439.0</v>
      </c>
      <c r="Z1033" s="21" t="n">
        <f>67</f>
        <v>67.0</v>
      </c>
      <c r="AA1033" s="21" t="n">
        <f>513</f>
        <v>513.0</v>
      </c>
      <c r="AB1033" s="4" t="s">
        <v>335</v>
      </c>
      <c r="AC1033" s="22" t="n">
        <f>1934</f>
        <v>1934.0</v>
      </c>
      <c r="AD1033" s="5" t="s">
        <v>312</v>
      </c>
      <c r="AE1033" s="23" t="n">
        <f>195</f>
        <v>195.0</v>
      </c>
    </row>
    <row r="1034">
      <c r="A1034" s="24" t="s">
        <v>1881</v>
      </c>
      <c r="B1034" s="25" t="s">
        <v>1882</v>
      </c>
      <c r="C1034" s="26" t="s">
        <v>1748</v>
      </c>
      <c r="D1034" s="27" t="s">
        <v>1749</v>
      </c>
      <c r="E1034" s="28" t="s">
        <v>418</v>
      </c>
      <c r="F1034" s="20" t="n">
        <f>124</f>
        <v>124.0</v>
      </c>
      <c r="G1034" s="21" t="n">
        <f>1965</f>
        <v>1965.0</v>
      </c>
      <c r="H1034" s="21"/>
      <c r="I1034" s="21" t="n">
        <f>1965</f>
        <v>1965.0</v>
      </c>
      <c r="J1034" s="21" t="n">
        <f>16</f>
        <v>16.0</v>
      </c>
      <c r="K1034" s="21" t="n">
        <f>16</f>
        <v>16.0</v>
      </c>
      <c r="L1034" s="4" t="s">
        <v>143</v>
      </c>
      <c r="M1034" s="22" t="n">
        <f>780</f>
        <v>780.0</v>
      </c>
      <c r="N1034" s="5" t="s">
        <v>335</v>
      </c>
      <c r="O1034" s="23" t="str">
        <f>"－"</f>
        <v>－</v>
      </c>
      <c r="P1034" s="3" t="s">
        <v>2034</v>
      </c>
      <c r="Q1034" s="21"/>
      <c r="R1034" s="3" t="s">
        <v>2034</v>
      </c>
      <c r="S1034" s="21" t="n">
        <f>5050645</f>
        <v>5050645.0</v>
      </c>
      <c r="T1034" s="21" t="n">
        <f>5050645</f>
        <v>5050645.0</v>
      </c>
      <c r="U1034" s="5" t="s">
        <v>128</v>
      </c>
      <c r="V1034" s="23" t="n">
        <f>159220000</f>
        <v>1.5922E8</v>
      </c>
      <c r="W1034" s="5" t="s">
        <v>335</v>
      </c>
      <c r="X1034" s="23" t="str">
        <f>"－"</f>
        <v>－</v>
      </c>
      <c r="Y1034" s="23" t="str">
        <f>"－"</f>
        <v>－</v>
      </c>
      <c r="Z1034" s="21" t="n">
        <f>134</f>
        <v>134.0</v>
      </c>
      <c r="AA1034" s="21" t="n">
        <f>1020</f>
        <v>1020.0</v>
      </c>
      <c r="AB1034" s="4" t="s">
        <v>120</v>
      </c>
      <c r="AC1034" s="22" t="n">
        <f>1020</f>
        <v>1020.0</v>
      </c>
      <c r="AD1034" s="5" t="s">
        <v>312</v>
      </c>
      <c r="AE1034" s="23" t="n">
        <f>635</f>
        <v>635.0</v>
      </c>
    </row>
    <row r="1035">
      <c r="A1035" s="24" t="s">
        <v>1881</v>
      </c>
      <c r="B1035" s="25" t="s">
        <v>1882</v>
      </c>
      <c r="C1035" s="26" t="s">
        <v>1752</v>
      </c>
      <c r="D1035" s="27" t="s">
        <v>1753</v>
      </c>
      <c r="E1035" s="28" t="s">
        <v>418</v>
      </c>
      <c r="F1035" s="20" t="n">
        <f>124</f>
        <v>124.0</v>
      </c>
      <c r="G1035" s="21" t="n">
        <f>3863</f>
        <v>3863.0</v>
      </c>
      <c r="H1035" s="21"/>
      <c r="I1035" s="21" t="n">
        <f>3863</f>
        <v>3863.0</v>
      </c>
      <c r="J1035" s="21" t="n">
        <f>31</f>
        <v>31.0</v>
      </c>
      <c r="K1035" s="21" t="n">
        <f>31</f>
        <v>31.0</v>
      </c>
      <c r="L1035" s="4" t="s">
        <v>143</v>
      </c>
      <c r="M1035" s="22" t="n">
        <f>1560</f>
        <v>1560.0</v>
      </c>
      <c r="N1035" s="5" t="s">
        <v>335</v>
      </c>
      <c r="O1035" s="23" t="str">
        <f>"－"</f>
        <v>－</v>
      </c>
      <c r="P1035" s="3" t="s">
        <v>2035</v>
      </c>
      <c r="Q1035" s="21"/>
      <c r="R1035" s="3" t="s">
        <v>2035</v>
      </c>
      <c r="S1035" s="21" t="n">
        <f>15764960</f>
        <v>1.576496E7</v>
      </c>
      <c r="T1035" s="21" t="n">
        <f>15764960</f>
        <v>1.576496E7</v>
      </c>
      <c r="U1035" s="5" t="s">
        <v>143</v>
      </c>
      <c r="V1035" s="23" t="n">
        <f>748200000</f>
        <v>7.482E8</v>
      </c>
      <c r="W1035" s="5" t="s">
        <v>335</v>
      </c>
      <c r="X1035" s="23" t="str">
        <f>"－"</f>
        <v>－</v>
      </c>
      <c r="Y1035" s="23" t="n">
        <f>1439</f>
        <v>1439.0</v>
      </c>
      <c r="Z1035" s="21" t="n">
        <f>201</f>
        <v>201.0</v>
      </c>
      <c r="AA1035" s="21" t="n">
        <f>1533</f>
        <v>1533.0</v>
      </c>
      <c r="AB1035" s="4" t="s">
        <v>335</v>
      </c>
      <c r="AC1035" s="22" t="n">
        <f>2909</f>
        <v>2909.0</v>
      </c>
      <c r="AD1035" s="5" t="s">
        <v>312</v>
      </c>
      <c r="AE1035" s="23" t="n">
        <f>830</f>
        <v>830.0</v>
      </c>
    </row>
    <row r="1036">
      <c r="A1036" s="24" t="s">
        <v>1881</v>
      </c>
      <c r="B1036" s="25" t="s">
        <v>1882</v>
      </c>
      <c r="C1036" s="26" t="s">
        <v>1744</v>
      </c>
      <c r="D1036" s="27" t="s">
        <v>1745</v>
      </c>
      <c r="E1036" s="28" t="s">
        <v>422</v>
      </c>
      <c r="F1036" s="20" t="n">
        <f>122</f>
        <v>122.0</v>
      </c>
      <c r="G1036" s="21" t="n">
        <f>3267</f>
        <v>3267.0</v>
      </c>
      <c r="H1036" s="21"/>
      <c r="I1036" s="21" t="n">
        <f>3267</f>
        <v>3267.0</v>
      </c>
      <c r="J1036" s="21" t="n">
        <f>27</f>
        <v>27.0</v>
      </c>
      <c r="K1036" s="21" t="n">
        <f>27</f>
        <v>27.0</v>
      </c>
      <c r="L1036" s="4" t="s">
        <v>178</v>
      </c>
      <c r="M1036" s="22" t="n">
        <f>708</f>
        <v>708.0</v>
      </c>
      <c r="N1036" s="5" t="s">
        <v>82</v>
      </c>
      <c r="O1036" s="23" t="str">
        <f>"－"</f>
        <v>－</v>
      </c>
      <c r="P1036" s="3" t="s">
        <v>2036</v>
      </c>
      <c r="Q1036" s="21"/>
      <c r="R1036" s="3" t="s">
        <v>2036</v>
      </c>
      <c r="S1036" s="21" t="n">
        <f>3862893</f>
        <v>3862893.0</v>
      </c>
      <c r="T1036" s="21" t="n">
        <f>3862893</f>
        <v>3862893.0</v>
      </c>
      <c r="U1036" s="5" t="s">
        <v>78</v>
      </c>
      <c r="V1036" s="23" t="n">
        <f>104030000</f>
        <v>1.0403E8</v>
      </c>
      <c r="W1036" s="5" t="s">
        <v>82</v>
      </c>
      <c r="X1036" s="23" t="str">
        <f>"－"</f>
        <v>－</v>
      </c>
      <c r="Y1036" s="23" t="n">
        <f>246</f>
        <v>246.0</v>
      </c>
      <c r="Z1036" s="21" t="n">
        <f>1414</f>
        <v>1414.0</v>
      </c>
      <c r="AA1036" s="21" t="n">
        <f>539</f>
        <v>539.0</v>
      </c>
      <c r="AB1036" s="4" t="s">
        <v>178</v>
      </c>
      <c r="AC1036" s="22" t="n">
        <f>1744</f>
        <v>1744.0</v>
      </c>
      <c r="AD1036" s="5" t="s">
        <v>54</v>
      </c>
      <c r="AE1036" s="23" t="n">
        <f>410</f>
        <v>410.0</v>
      </c>
    </row>
    <row r="1037">
      <c r="A1037" s="24" t="s">
        <v>1881</v>
      </c>
      <c r="B1037" s="25" t="s">
        <v>1882</v>
      </c>
      <c r="C1037" s="26" t="s">
        <v>1748</v>
      </c>
      <c r="D1037" s="27" t="s">
        <v>1749</v>
      </c>
      <c r="E1037" s="28" t="s">
        <v>422</v>
      </c>
      <c r="F1037" s="20" t="n">
        <f>122</f>
        <v>122.0</v>
      </c>
      <c r="G1037" s="21" t="n">
        <f>5985</f>
        <v>5985.0</v>
      </c>
      <c r="H1037" s="21"/>
      <c r="I1037" s="21" t="n">
        <f>5953</f>
        <v>5953.0</v>
      </c>
      <c r="J1037" s="21" t="n">
        <f>49</f>
        <v>49.0</v>
      </c>
      <c r="K1037" s="21" t="n">
        <f>49</f>
        <v>49.0</v>
      </c>
      <c r="L1037" s="4" t="s">
        <v>914</v>
      </c>
      <c r="M1037" s="22" t="n">
        <f>970</f>
        <v>970.0</v>
      </c>
      <c r="N1037" s="5" t="s">
        <v>82</v>
      </c>
      <c r="O1037" s="23" t="str">
        <f>"－"</f>
        <v>－</v>
      </c>
      <c r="P1037" s="3" t="s">
        <v>2037</v>
      </c>
      <c r="Q1037" s="21"/>
      <c r="R1037" s="3" t="s">
        <v>2038</v>
      </c>
      <c r="S1037" s="21" t="n">
        <f>15431057</f>
        <v>1.5431057E7</v>
      </c>
      <c r="T1037" s="21" t="n">
        <f>15409672</f>
        <v>1.5409672E7</v>
      </c>
      <c r="U1037" s="5" t="s">
        <v>1320</v>
      </c>
      <c r="V1037" s="23" t="n">
        <f>603930000</f>
        <v>6.0393E8</v>
      </c>
      <c r="W1037" s="5" t="s">
        <v>82</v>
      </c>
      <c r="X1037" s="23" t="str">
        <f>"－"</f>
        <v>－</v>
      </c>
      <c r="Y1037" s="23" t="n">
        <f>568</f>
        <v>568.0</v>
      </c>
      <c r="Z1037" s="21" t="n">
        <f>2563</f>
        <v>2563.0</v>
      </c>
      <c r="AA1037" s="21" t="n">
        <f>3565</f>
        <v>3565.0</v>
      </c>
      <c r="AB1037" s="4" t="s">
        <v>568</v>
      </c>
      <c r="AC1037" s="22" t="n">
        <f>3594</f>
        <v>3594.0</v>
      </c>
      <c r="AD1037" s="5" t="s">
        <v>54</v>
      </c>
      <c r="AE1037" s="23" t="n">
        <f>850</f>
        <v>850.0</v>
      </c>
    </row>
    <row r="1038">
      <c r="A1038" s="24" t="s">
        <v>1881</v>
      </c>
      <c r="B1038" s="25" t="s">
        <v>1882</v>
      </c>
      <c r="C1038" s="26" t="s">
        <v>1752</v>
      </c>
      <c r="D1038" s="27" t="s">
        <v>1753</v>
      </c>
      <c r="E1038" s="28" t="s">
        <v>422</v>
      </c>
      <c r="F1038" s="20" t="n">
        <f>122</f>
        <v>122.0</v>
      </c>
      <c r="G1038" s="21" t="n">
        <f>9252</f>
        <v>9252.0</v>
      </c>
      <c r="H1038" s="21"/>
      <c r="I1038" s="21" t="n">
        <f>9220</f>
        <v>9220.0</v>
      </c>
      <c r="J1038" s="21" t="n">
        <f>76</f>
        <v>76.0</v>
      </c>
      <c r="K1038" s="21" t="n">
        <f>76</f>
        <v>76.0</v>
      </c>
      <c r="L1038" s="4" t="s">
        <v>178</v>
      </c>
      <c r="M1038" s="22" t="n">
        <f>1062</f>
        <v>1062.0</v>
      </c>
      <c r="N1038" s="5" t="s">
        <v>82</v>
      </c>
      <c r="O1038" s="23" t="str">
        <f>"－"</f>
        <v>－</v>
      </c>
      <c r="P1038" s="3" t="s">
        <v>2039</v>
      </c>
      <c r="Q1038" s="21"/>
      <c r="R1038" s="3" t="s">
        <v>2040</v>
      </c>
      <c r="S1038" s="21" t="n">
        <f>19293951</f>
        <v>1.9293951E7</v>
      </c>
      <c r="T1038" s="21" t="n">
        <f>19272566</f>
        <v>1.9272566E7</v>
      </c>
      <c r="U1038" s="5" t="s">
        <v>1320</v>
      </c>
      <c r="V1038" s="23" t="n">
        <f>677960000</f>
        <v>6.7796E8</v>
      </c>
      <c r="W1038" s="5" t="s">
        <v>82</v>
      </c>
      <c r="X1038" s="23" t="str">
        <f>"－"</f>
        <v>－</v>
      </c>
      <c r="Y1038" s="23" t="n">
        <f>814</f>
        <v>814.0</v>
      </c>
      <c r="Z1038" s="21" t="n">
        <f>3977</f>
        <v>3977.0</v>
      </c>
      <c r="AA1038" s="21" t="n">
        <f>4104</f>
        <v>4104.0</v>
      </c>
      <c r="AB1038" s="4" t="s">
        <v>568</v>
      </c>
      <c r="AC1038" s="22" t="n">
        <f>4133</f>
        <v>4133.0</v>
      </c>
      <c r="AD1038" s="5" t="s">
        <v>54</v>
      </c>
      <c r="AE1038" s="23" t="n">
        <f>1260</f>
        <v>1260.0</v>
      </c>
    </row>
    <row r="1039">
      <c r="A1039" s="24" t="s">
        <v>1881</v>
      </c>
      <c r="B1039" s="25" t="s">
        <v>1882</v>
      </c>
      <c r="C1039" s="26" t="s">
        <v>1744</v>
      </c>
      <c r="D1039" s="27" t="s">
        <v>1745</v>
      </c>
      <c r="E1039" s="28" t="s">
        <v>425</v>
      </c>
      <c r="F1039" s="20" t="n">
        <f>125</f>
        <v>125.0</v>
      </c>
      <c r="G1039" s="21" t="n">
        <f>1490</f>
        <v>1490.0</v>
      </c>
      <c r="H1039" s="21"/>
      <c r="I1039" s="21" t="n">
        <f>1490</f>
        <v>1490.0</v>
      </c>
      <c r="J1039" s="21" t="n">
        <f>12</f>
        <v>12.0</v>
      </c>
      <c r="K1039" s="21" t="n">
        <f>12</f>
        <v>12.0</v>
      </c>
      <c r="L1039" s="4" t="s">
        <v>754</v>
      </c>
      <c r="M1039" s="22" t="n">
        <f>300</f>
        <v>300.0</v>
      </c>
      <c r="N1039" s="5" t="s">
        <v>263</v>
      </c>
      <c r="O1039" s="23" t="str">
        <f>"－"</f>
        <v>－</v>
      </c>
      <c r="P1039" s="3" t="s">
        <v>2041</v>
      </c>
      <c r="Q1039" s="21"/>
      <c r="R1039" s="3" t="s">
        <v>2041</v>
      </c>
      <c r="S1039" s="21" t="n">
        <f>1769600</f>
        <v>1769600.0</v>
      </c>
      <c r="T1039" s="21" t="n">
        <f>1769600</f>
        <v>1769600.0</v>
      </c>
      <c r="U1039" s="5" t="s">
        <v>272</v>
      </c>
      <c r="V1039" s="23" t="n">
        <f>137870000</f>
        <v>1.3787E8</v>
      </c>
      <c r="W1039" s="5" t="s">
        <v>263</v>
      </c>
      <c r="X1039" s="23" t="str">
        <f>"－"</f>
        <v>－</v>
      </c>
      <c r="Y1039" s="23" t="str">
        <f>"－"</f>
        <v>－</v>
      </c>
      <c r="Z1039" s="21" t="str">
        <f>"－"</f>
        <v>－</v>
      </c>
      <c r="AA1039" s="21" t="n">
        <f>1260</f>
        <v>1260.0</v>
      </c>
      <c r="AB1039" s="4" t="s">
        <v>754</v>
      </c>
      <c r="AC1039" s="22" t="n">
        <f>1260</f>
        <v>1260.0</v>
      </c>
      <c r="AD1039" s="5" t="s">
        <v>193</v>
      </c>
      <c r="AE1039" s="23" t="n">
        <f>439</f>
        <v>439.0</v>
      </c>
    </row>
    <row r="1040">
      <c r="A1040" s="24" t="s">
        <v>1881</v>
      </c>
      <c r="B1040" s="25" t="s">
        <v>1882</v>
      </c>
      <c r="C1040" s="26" t="s">
        <v>1748</v>
      </c>
      <c r="D1040" s="27" t="s">
        <v>1749</v>
      </c>
      <c r="E1040" s="28" t="s">
        <v>425</v>
      </c>
      <c r="F1040" s="20" t="n">
        <f>125</f>
        <v>125.0</v>
      </c>
      <c r="G1040" s="21" t="n">
        <f>2145</f>
        <v>2145.0</v>
      </c>
      <c r="H1040" s="21"/>
      <c r="I1040" s="21" t="n">
        <f>2145</f>
        <v>2145.0</v>
      </c>
      <c r="J1040" s="21" t="n">
        <f>17</f>
        <v>17.0</v>
      </c>
      <c r="K1040" s="21" t="n">
        <f>17</f>
        <v>17.0</v>
      </c>
      <c r="L1040" s="4" t="s">
        <v>2042</v>
      </c>
      <c r="M1040" s="22" t="n">
        <f>500</f>
        <v>500.0</v>
      </c>
      <c r="N1040" s="5" t="s">
        <v>263</v>
      </c>
      <c r="O1040" s="23" t="str">
        <f>"－"</f>
        <v>－</v>
      </c>
      <c r="P1040" s="3" t="s">
        <v>2043</v>
      </c>
      <c r="Q1040" s="21"/>
      <c r="R1040" s="3" t="s">
        <v>2043</v>
      </c>
      <c r="S1040" s="21" t="n">
        <f>4654264</f>
        <v>4654264.0</v>
      </c>
      <c r="T1040" s="21" t="n">
        <f>4654264</f>
        <v>4654264.0</v>
      </c>
      <c r="U1040" s="5" t="s">
        <v>61</v>
      </c>
      <c r="V1040" s="23" t="n">
        <f>176500000</f>
        <v>1.765E8</v>
      </c>
      <c r="W1040" s="5" t="s">
        <v>263</v>
      </c>
      <c r="X1040" s="23" t="str">
        <f>"－"</f>
        <v>－</v>
      </c>
      <c r="Y1040" s="23" t="str">
        <f>"－"</f>
        <v>－</v>
      </c>
      <c r="Z1040" s="21" t="n">
        <f>394</f>
        <v>394.0</v>
      </c>
      <c r="AA1040" s="21" t="n">
        <f>410</f>
        <v>410.0</v>
      </c>
      <c r="AB1040" s="4" t="s">
        <v>262</v>
      </c>
      <c r="AC1040" s="22" t="n">
        <f>4599</f>
        <v>4599.0</v>
      </c>
      <c r="AD1040" s="5" t="s">
        <v>750</v>
      </c>
      <c r="AE1040" s="23" t="n">
        <f>410</f>
        <v>410.0</v>
      </c>
    </row>
    <row r="1041">
      <c r="A1041" s="24" t="s">
        <v>1881</v>
      </c>
      <c r="B1041" s="25" t="s">
        <v>1882</v>
      </c>
      <c r="C1041" s="26" t="s">
        <v>1752</v>
      </c>
      <c r="D1041" s="27" t="s">
        <v>1753</v>
      </c>
      <c r="E1041" s="28" t="s">
        <v>425</v>
      </c>
      <c r="F1041" s="20" t="n">
        <f>125</f>
        <v>125.0</v>
      </c>
      <c r="G1041" s="21" t="n">
        <f>3635</f>
        <v>3635.0</v>
      </c>
      <c r="H1041" s="21"/>
      <c r="I1041" s="21" t="n">
        <f>3635</f>
        <v>3635.0</v>
      </c>
      <c r="J1041" s="21" t="n">
        <f>29</f>
        <v>29.0</v>
      </c>
      <c r="K1041" s="21" t="n">
        <f>29</f>
        <v>29.0</v>
      </c>
      <c r="L1041" s="4" t="s">
        <v>2042</v>
      </c>
      <c r="M1041" s="22" t="n">
        <f>500</f>
        <v>500.0</v>
      </c>
      <c r="N1041" s="5" t="s">
        <v>263</v>
      </c>
      <c r="O1041" s="23" t="str">
        <f>"－"</f>
        <v>－</v>
      </c>
      <c r="P1041" s="3" t="s">
        <v>2044</v>
      </c>
      <c r="Q1041" s="21"/>
      <c r="R1041" s="3" t="s">
        <v>2044</v>
      </c>
      <c r="S1041" s="21" t="n">
        <f>6423864</f>
        <v>6423864.0</v>
      </c>
      <c r="T1041" s="21" t="n">
        <f>6423864</f>
        <v>6423864.0</v>
      </c>
      <c r="U1041" s="5" t="s">
        <v>61</v>
      </c>
      <c r="V1041" s="23" t="n">
        <f>176800000</f>
        <v>1.768E8</v>
      </c>
      <c r="W1041" s="5" t="s">
        <v>263</v>
      </c>
      <c r="X1041" s="23" t="str">
        <f>"－"</f>
        <v>－</v>
      </c>
      <c r="Y1041" s="23" t="str">
        <f>"－"</f>
        <v>－</v>
      </c>
      <c r="Z1041" s="21" t="n">
        <f>394</f>
        <v>394.0</v>
      </c>
      <c r="AA1041" s="21" t="n">
        <f>1670</f>
        <v>1670.0</v>
      </c>
      <c r="AB1041" s="4" t="s">
        <v>262</v>
      </c>
      <c r="AC1041" s="22" t="n">
        <f>5138</f>
        <v>5138.0</v>
      </c>
      <c r="AD1041" s="5" t="s">
        <v>750</v>
      </c>
      <c r="AE1041" s="23" t="n">
        <f>1370</f>
        <v>1370.0</v>
      </c>
    </row>
    <row r="1042">
      <c r="A1042" s="24" t="s">
        <v>1881</v>
      </c>
      <c r="B1042" s="25" t="s">
        <v>1882</v>
      </c>
      <c r="C1042" s="26" t="s">
        <v>1744</v>
      </c>
      <c r="D1042" s="27" t="s">
        <v>1745</v>
      </c>
      <c r="E1042" s="28" t="s">
        <v>428</v>
      </c>
      <c r="F1042" s="20" t="n">
        <f>120</f>
        <v>120.0</v>
      </c>
      <c r="G1042" s="21" t="n">
        <f>11215</f>
        <v>11215.0</v>
      </c>
      <c r="H1042" s="21"/>
      <c r="I1042" s="21" t="n">
        <f>11215</f>
        <v>11215.0</v>
      </c>
      <c r="J1042" s="21" t="n">
        <f>93</f>
        <v>93.0</v>
      </c>
      <c r="K1042" s="21" t="n">
        <f>93</f>
        <v>93.0</v>
      </c>
      <c r="L1042" s="4" t="s">
        <v>146</v>
      </c>
      <c r="M1042" s="22" t="n">
        <f>2560</f>
        <v>2560.0</v>
      </c>
      <c r="N1042" s="5" t="s">
        <v>279</v>
      </c>
      <c r="O1042" s="23" t="str">
        <f>"－"</f>
        <v>－</v>
      </c>
      <c r="P1042" s="3" t="s">
        <v>2045</v>
      </c>
      <c r="Q1042" s="21"/>
      <c r="R1042" s="3" t="s">
        <v>2045</v>
      </c>
      <c r="S1042" s="21" t="n">
        <f>16146942</f>
        <v>1.6146942E7</v>
      </c>
      <c r="T1042" s="21" t="n">
        <f>16146942</f>
        <v>1.6146942E7</v>
      </c>
      <c r="U1042" s="5" t="s">
        <v>511</v>
      </c>
      <c r="V1042" s="23" t="n">
        <f>435000000</f>
        <v>4.35E8</v>
      </c>
      <c r="W1042" s="5" t="s">
        <v>279</v>
      </c>
      <c r="X1042" s="23" t="str">
        <f>"－"</f>
        <v>－</v>
      </c>
      <c r="Y1042" s="23" t="n">
        <f>250</f>
        <v>250.0</v>
      </c>
      <c r="Z1042" s="21" t="n">
        <f>3437</f>
        <v>3437.0</v>
      </c>
      <c r="AA1042" s="21" t="n">
        <f>6422</f>
        <v>6422.0</v>
      </c>
      <c r="AB1042" s="4" t="s">
        <v>585</v>
      </c>
      <c r="AC1042" s="22" t="n">
        <f>6422</f>
        <v>6422.0</v>
      </c>
      <c r="AD1042" s="5" t="s">
        <v>1018</v>
      </c>
      <c r="AE1042" s="23" t="n">
        <f>511</f>
        <v>511.0</v>
      </c>
    </row>
    <row r="1043">
      <c r="A1043" s="24" t="s">
        <v>1881</v>
      </c>
      <c r="B1043" s="25" t="s">
        <v>1882</v>
      </c>
      <c r="C1043" s="26" t="s">
        <v>1748</v>
      </c>
      <c r="D1043" s="27" t="s">
        <v>1749</v>
      </c>
      <c r="E1043" s="28" t="s">
        <v>428</v>
      </c>
      <c r="F1043" s="20" t="n">
        <f>120</f>
        <v>120.0</v>
      </c>
      <c r="G1043" s="21" t="n">
        <f>80950</f>
        <v>80950.0</v>
      </c>
      <c r="H1043" s="21"/>
      <c r="I1043" s="21" t="n">
        <f>80950</f>
        <v>80950.0</v>
      </c>
      <c r="J1043" s="21" t="n">
        <f>675</f>
        <v>675.0</v>
      </c>
      <c r="K1043" s="21" t="n">
        <f>675</f>
        <v>675.0</v>
      </c>
      <c r="L1043" s="4" t="s">
        <v>155</v>
      </c>
      <c r="M1043" s="22" t="n">
        <f>17488</f>
        <v>17488.0</v>
      </c>
      <c r="N1043" s="5" t="s">
        <v>279</v>
      </c>
      <c r="O1043" s="23" t="str">
        <f>"－"</f>
        <v>－</v>
      </c>
      <c r="P1043" s="3" t="s">
        <v>2046</v>
      </c>
      <c r="Q1043" s="21"/>
      <c r="R1043" s="3" t="s">
        <v>2046</v>
      </c>
      <c r="S1043" s="21" t="n">
        <f>251752592</f>
        <v>2.51752592E8</v>
      </c>
      <c r="T1043" s="21" t="n">
        <f>251752592</f>
        <v>2.51752592E8</v>
      </c>
      <c r="U1043" s="5" t="s">
        <v>155</v>
      </c>
      <c r="V1043" s="23" t="n">
        <f>8923308000</f>
        <v>8.923308E9</v>
      </c>
      <c r="W1043" s="5" t="s">
        <v>279</v>
      </c>
      <c r="X1043" s="23" t="str">
        <f>"－"</f>
        <v>－</v>
      </c>
      <c r="Y1043" s="23" t="n">
        <f>505</f>
        <v>505.0</v>
      </c>
      <c r="Z1043" s="21" t="n">
        <f>59345</f>
        <v>59345.0</v>
      </c>
      <c r="AA1043" s="21" t="n">
        <f>43760</f>
        <v>43760.0</v>
      </c>
      <c r="AB1043" s="4" t="s">
        <v>585</v>
      </c>
      <c r="AC1043" s="22" t="n">
        <f>43760</f>
        <v>43760.0</v>
      </c>
      <c r="AD1043" s="5" t="s">
        <v>279</v>
      </c>
      <c r="AE1043" s="23" t="n">
        <f>410</f>
        <v>410.0</v>
      </c>
    </row>
    <row r="1044">
      <c r="A1044" s="24" t="s">
        <v>1881</v>
      </c>
      <c r="B1044" s="25" t="s">
        <v>1882</v>
      </c>
      <c r="C1044" s="26" t="s">
        <v>1752</v>
      </c>
      <c r="D1044" s="27" t="s">
        <v>1753</v>
      </c>
      <c r="E1044" s="28" t="s">
        <v>428</v>
      </c>
      <c r="F1044" s="20" t="n">
        <f>120</f>
        <v>120.0</v>
      </c>
      <c r="G1044" s="21" t="n">
        <f>92165</f>
        <v>92165.0</v>
      </c>
      <c r="H1044" s="21"/>
      <c r="I1044" s="21" t="n">
        <f>92165</f>
        <v>92165.0</v>
      </c>
      <c r="J1044" s="21" t="n">
        <f>768</f>
        <v>768.0</v>
      </c>
      <c r="K1044" s="21" t="n">
        <f>768</f>
        <v>768.0</v>
      </c>
      <c r="L1044" s="4" t="s">
        <v>155</v>
      </c>
      <c r="M1044" s="22" t="n">
        <f>17568</f>
        <v>17568.0</v>
      </c>
      <c r="N1044" s="5" t="s">
        <v>279</v>
      </c>
      <c r="O1044" s="23" t="str">
        <f>"－"</f>
        <v>－</v>
      </c>
      <c r="P1044" s="3" t="s">
        <v>2047</v>
      </c>
      <c r="Q1044" s="21"/>
      <c r="R1044" s="3" t="s">
        <v>2047</v>
      </c>
      <c r="S1044" s="21" t="n">
        <f>267899533</f>
        <v>2.67899533E8</v>
      </c>
      <c r="T1044" s="21" t="n">
        <f>267899533</f>
        <v>2.67899533E8</v>
      </c>
      <c r="U1044" s="5" t="s">
        <v>155</v>
      </c>
      <c r="V1044" s="23" t="n">
        <f>8923388000</f>
        <v>8.923388E9</v>
      </c>
      <c r="W1044" s="5" t="s">
        <v>279</v>
      </c>
      <c r="X1044" s="23" t="str">
        <f>"－"</f>
        <v>－</v>
      </c>
      <c r="Y1044" s="23" t="n">
        <f>755</f>
        <v>755.0</v>
      </c>
      <c r="Z1044" s="21" t="n">
        <f>62782</f>
        <v>62782.0</v>
      </c>
      <c r="AA1044" s="21" t="n">
        <f>50182</f>
        <v>50182.0</v>
      </c>
      <c r="AB1044" s="4" t="s">
        <v>585</v>
      </c>
      <c r="AC1044" s="22" t="n">
        <f>50182</f>
        <v>50182.0</v>
      </c>
      <c r="AD1044" s="5" t="s">
        <v>211</v>
      </c>
      <c r="AE1044" s="23" t="n">
        <f>1416</f>
        <v>1416.0</v>
      </c>
    </row>
    <row r="1045">
      <c r="A1045" s="24" t="s">
        <v>1881</v>
      </c>
      <c r="B1045" s="25" t="s">
        <v>1882</v>
      </c>
      <c r="C1045" s="26" t="s">
        <v>1744</v>
      </c>
      <c r="D1045" s="27" t="s">
        <v>1745</v>
      </c>
      <c r="E1045" s="28" t="s">
        <v>433</v>
      </c>
      <c r="F1045" s="20" t="n">
        <f>125</f>
        <v>125.0</v>
      </c>
      <c r="G1045" s="21" t="n">
        <f>39502</f>
        <v>39502.0</v>
      </c>
      <c r="H1045" s="21"/>
      <c r="I1045" s="21" t="n">
        <f>39502</f>
        <v>39502.0</v>
      </c>
      <c r="J1045" s="21" t="n">
        <f>316</f>
        <v>316.0</v>
      </c>
      <c r="K1045" s="21" t="n">
        <f>316</f>
        <v>316.0</v>
      </c>
      <c r="L1045" s="4" t="s">
        <v>107</v>
      </c>
      <c r="M1045" s="22" t="n">
        <f>4070</f>
        <v>4070.0</v>
      </c>
      <c r="N1045" s="5" t="s">
        <v>335</v>
      </c>
      <c r="O1045" s="23" t="str">
        <f>"－"</f>
        <v>－</v>
      </c>
      <c r="P1045" s="3" t="s">
        <v>2048</v>
      </c>
      <c r="Q1045" s="21"/>
      <c r="R1045" s="3" t="s">
        <v>2048</v>
      </c>
      <c r="S1045" s="21" t="n">
        <f>65723080</f>
        <v>6.572308E7</v>
      </c>
      <c r="T1045" s="21" t="n">
        <f>65723080</f>
        <v>6.572308E7</v>
      </c>
      <c r="U1045" s="5" t="s">
        <v>248</v>
      </c>
      <c r="V1045" s="23" t="n">
        <f>1021115000</f>
        <v>1.021115E9</v>
      </c>
      <c r="W1045" s="5" t="s">
        <v>335</v>
      </c>
      <c r="X1045" s="23" t="str">
        <f>"－"</f>
        <v>－</v>
      </c>
      <c r="Y1045" s="23" t="n">
        <f>15198</f>
        <v>15198.0</v>
      </c>
      <c r="Z1045" s="21" t="n">
        <f>6228</f>
        <v>6228.0</v>
      </c>
      <c r="AA1045" s="21" t="n">
        <f>8550</f>
        <v>8550.0</v>
      </c>
      <c r="AB1045" s="4" t="s">
        <v>180</v>
      </c>
      <c r="AC1045" s="22" t="n">
        <f>12802</f>
        <v>12802.0</v>
      </c>
      <c r="AD1045" s="5" t="s">
        <v>1133</v>
      </c>
      <c r="AE1045" s="23" t="n">
        <f>2747</f>
        <v>2747.0</v>
      </c>
    </row>
    <row r="1046">
      <c r="A1046" s="24" t="s">
        <v>1881</v>
      </c>
      <c r="B1046" s="25" t="s">
        <v>1882</v>
      </c>
      <c r="C1046" s="26" t="s">
        <v>1748</v>
      </c>
      <c r="D1046" s="27" t="s">
        <v>1749</v>
      </c>
      <c r="E1046" s="28" t="s">
        <v>433</v>
      </c>
      <c r="F1046" s="20" t="n">
        <f>125</f>
        <v>125.0</v>
      </c>
      <c r="G1046" s="21" t="n">
        <f>204216</f>
        <v>204216.0</v>
      </c>
      <c r="H1046" s="21"/>
      <c r="I1046" s="21" t="n">
        <f>204216</f>
        <v>204216.0</v>
      </c>
      <c r="J1046" s="21" t="n">
        <f>1634</f>
        <v>1634.0</v>
      </c>
      <c r="K1046" s="21" t="n">
        <f>1634</f>
        <v>1634.0</v>
      </c>
      <c r="L1046" s="4" t="s">
        <v>1546</v>
      </c>
      <c r="M1046" s="22" t="n">
        <f>24888</f>
        <v>24888.0</v>
      </c>
      <c r="N1046" s="5" t="s">
        <v>335</v>
      </c>
      <c r="O1046" s="23" t="str">
        <f>"－"</f>
        <v>－</v>
      </c>
      <c r="P1046" s="3" t="s">
        <v>2049</v>
      </c>
      <c r="Q1046" s="21"/>
      <c r="R1046" s="3" t="s">
        <v>2049</v>
      </c>
      <c r="S1046" s="21" t="n">
        <f>464763024</f>
        <v>4.64763024E8</v>
      </c>
      <c r="T1046" s="21" t="n">
        <f>464763024</f>
        <v>4.64763024E8</v>
      </c>
      <c r="U1046" s="5" t="s">
        <v>1546</v>
      </c>
      <c r="V1046" s="23" t="n">
        <f>14225819000</f>
        <v>1.4225819E10</v>
      </c>
      <c r="W1046" s="5" t="s">
        <v>335</v>
      </c>
      <c r="X1046" s="23" t="str">
        <f>"－"</f>
        <v>－</v>
      </c>
      <c r="Y1046" s="23" t="n">
        <f>32589</f>
        <v>32589.0</v>
      </c>
      <c r="Z1046" s="21" t="n">
        <f>59783</f>
        <v>59783.0</v>
      </c>
      <c r="AA1046" s="21" t="n">
        <f>38336</f>
        <v>38336.0</v>
      </c>
      <c r="AB1046" s="4" t="s">
        <v>180</v>
      </c>
      <c r="AC1046" s="22" t="n">
        <f>72524</f>
        <v>72524.0</v>
      </c>
      <c r="AD1046" s="5" t="s">
        <v>312</v>
      </c>
      <c r="AE1046" s="23" t="n">
        <f>30255</f>
        <v>30255.0</v>
      </c>
    </row>
    <row r="1047">
      <c r="A1047" s="24" t="s">
        <v>1881</v>
      </c>
      <c r="B1047" s="25" t="s">
        <v>1882</v>
      </c>
      <c r="C1047" s="26" t="s">
        <v>1752</v>
      </c>
      <c r="D1047" s="27" t="s">
        <v>1753</v>
      </c>
      <c r="E1047" s="28" t="s">
        <v>433</v>
      </c>
      <c r="F1047" s="20" t="n">
        <f>125</f>
        <v>125.0</v>
      </c>
      <c r="G1047" s="21" t="n">
        <f>243718</f>
        <v>243718.0</v>
      </c>
      <c r="H1047" s="21"/>
      <c r="I1047" s="21" t="n">
        <f>243718</f>
        <v>243718.0</v>
      </c>
      <c r="J1047" s="21" t="n">
        <f>1950</f>
        <v>1950.0</v>
      </c>
      <c r="K1047" s="21" t="n">
        <f>1950</f>
        <v>1950.0</v>
      </c>
      <c r="L1047" s="4" t="s">
        <v>1546</v>
      </c>
      <c r="M1047" s="22" t="n">
        <f>24893</f>
        <v>24893.0</v>
      </c>
      <c r="N1047" s="5" t="s">
        <v>335</v>
      </c>
      <c r="O1047" s="23" t="str">
        <f>"－"</f>
        <v>－</v>
      </c>
      <c r="P1047" s="3" t="s">
        <v>2050</v>
      </c>
      <c r="Q1047" s="21"/>
      <c r="R1047" s="3" t="s">
        <v>2050</v>
      </c>
      <c r="S1047" s="21" t="n">
        <f>530486104</f>
        <v>5.30486104E8</v>
      </c>
      <c r="T1047" s="21" t="n">
        <f>530486104</f>
        <v>5.30486104E8</v>
      </c>
      <c r="U1047" s="5" t="s">
        <v>1546</v>
      </c>
      <c r="V1047" s="23" t="n">
        <f>14225824000</f>
        <v>1.4225824E10</v>
      </c>
      <c r="W1047" s="5" t="s">
        <v>335</v>
      </c>
      <c r="X1047" s="23" t="str">
        <f>"－"</f>
        <v>－</v>
      </c>
      <c r="Y1047" s="23" t="n">
        <f>47787</f>
        <v>47787.0</v>
      </c>
      <c r="Z1047" s="21" t="n">
        <f>66011</f>
        <v>66011.0</v>
      </c>
      <c r="AA1047" s="21" t="n">
        <f>46886</f>
        <v>46886.0</v>
      </c>
      <c r="AB1047" s="4" t="s">
        <v>180</v>
      </c>
      <c r="AC1047" s="22" t="n">
        <f>85326</f>
        <v>85326.0</v>
      </c>
      <c r="AD1047" s="5" t="s">
        <v>312</v>
      </c>
      <c r="AE1047" s="23" t="n">
        <f>35048</f>
        <v>35048.0</v>
      </c>
    </row>
    <row r="1048">
      <c r="A1048" s="24" t="s">
        <v>1881</v>
      </c>
      <c r="B1048" s="25" t="s">
        <v>1882</v>
      </c>
      <c r="C1048" s="26" t="s">
        <v>1744</v>
      </c>
      <c r="D1048" s="27" t="s">
        <v>1745</v>
      </c>
      <c r="E1048" s="28" t="s">
        <v>437</v>
      </c>
      <c r="F1048" s="20" t="n">
        <f>120</f>
        <v>120.0</v>
      </c>
      <c r="G1048" s="21" t="n">
        <f>44480</f>
        <v>44480.0</v>
      </c>
      <c r="H1048" s="21"/>
      <c r="I1048" s="21" t="n">
        <f>44480</f>
        <v>44480.0</v>
      </c>
      <c r="J1048" s="21" t="n">
        <f>371</f>
        <v>371.0</v>
      </c>
      <c r="K1048" s="21" t="n">
        <f>371</f>
        <v>371.0</v>
      </c>
      <c r="L1048" s="4" t="s">
        <v>81</v>
      </c>
      <c r="M1048" s="22" t="n">
        <f>4300</f>
        <v>4300.0</v>
      </c>
      <c r="N1048" s="5" t="s">
        <v>279</v>
      </c>
      <c r="O1048" s="23" t="str">
        <f>"－"</f>
        <v>－</v>
      </c>
      <c r="P1048" s="3" t="s">
        <v>2051</v>
      </c>
      <c r="Q1048" s="21"/>
      <c r="R1048" s="3" t="s">
        <v>2051</v>
      </c>
      <c r="S1048" s="21" t="n">
        <f>134416667</f>
        <v>1.34416667E8</v>
      </c>
      <c r="T1048" s="21" t="n">
        <f>134416667</f>
        <v>1.34416667E8</v>
      </c>
      <c r="U1048" s="5" t="s">
        <v>102</v>
      </c>
      <c r="V1048" s="23" t="n">
        <f>1074000000</f>
        <v>1.074E9</v>
      </c>
      <c r="W1048" s="5" t="s">
        <v>279</v>
      </c>
      <c r="X1048" s="23" t="str">
        <f>"－"</f>
        <v>－</v>
      </c>
      <c r="Y1048" s="23" t="n">
        <f>13828</f>
        <v>13828.0</v>
      </c>
      <c r="Z1048" s="21" t="n">
        <f>11852</f>
        <v>11852.0</v>
      </c>
      <c r="AA1048" s="21" t="n">
        <f>20866</f>
        <v>20866.0</v>
      </c>
      <c r="AB1048" s="4" t="s">
        <v>54</v>
      </c>
      <c r="AC1048" s="22" t="n">
        <f>27302</f>
        <v>27302.0</v>
      </c>
      <c r="AD1048" s="5" t="s">
        <v>828</v>
      </c>
      <c r="AE1048" s="23" t="n">
        <f>7238</f>
        <v>7238.0</v>
      </c>
    </row>
    <row r="1049">
      <c r="A1049" s="24" t="s">
        <v>1881</v>
      </c>
      <c r="B1049" s="25" t="s">
        <v>1882</v>
      </c>
      <c r="C1049" s="26" t="s">
        <v>1748</v>
      </c>
      <c r="D1049" s="27" t="s">
        <v>1749</v>
      </c>
      <c r="E1049" s="28" t="s">
        <v>437</v>
      </c>
      <c r="F1049" s="20" t="n">
        <f>120</f>
        <v>120.0</v>
      </c>
      <c r="G1049" s="21" t="n">
        <f>80620</f>
        <v>80620.0</v>
      </c>
      <c r="H1049" s="21"/>
      <c r="I1049" s="21" t="n">
        <f>80620</f>
        <v>80620.0</v>
      </c>
      <c r="J1049" s="21" t="n">
        <f>672</f>
        <v>672.0</v>
      </c>
      <c r="K1049" s="21" t="n">
        <f>672</f>
        <v>672.0</v>
      </c>
      <c r="L1049" s="4" t="s">
        <v>49</v>
      </c>
      <c r="M1049" s="22" t="n">
        <f>4130</f>
        <v>4130.0</v>
      </c>
      <c r="N1049" s="5" t="s">
        <v>828</v>
      </c>
      <c r="O1049" s="23" t="str">
        <f>"－"</f>
        <v>－</v>
      </c>
      <c r="P1049" s="3" t="s">
        <v>2052</v>
      </c>
      <c r="Q1049" s="21"/>
      <c r="R1049" s="3" t="s">
        <v>2052</v>
      </c>
      <c r="S1049" s="21" t="n">
        <f>182900950</f>
        <v>1.8290095E8</v>
      </c>
      <c r="T1049" s="21" t="n">
        <f>182900950</f>
        <v>1.8290095E8</v>
      </c>
      <c r="U1049" s="5" t="s">
        <v>160</v>
      </c>
      <c r="V1049" s="23" t="n">
        <f>1476712000</f>
        <v>1.476712E9</v>
      </c>
      <c r="W1049" s="5" t="s">
        <v>828</v>
      </c>
      <c r="X1049" s="23" t="str">
        <f>"－"</f>
        <v>－</v>
      </c>
      <c r="Y1049" s="23" t="n">
        <f>20077</f>
        <v>20077.0</v>
      </c>
      <c r="Z1049" s="21" t="n">
        <f>18927</f>
        <v>18927.0</v>
      </c>
      <c r="AA1049" s="21" t="n">
        <f>19120</f>
        <v>19120.0</v>
      </c>
      <c r="AB1049" s="4" t="s">
        <v>1277</v>
      </c>
      <c r="AC1049" s="22" t="n">
        <f>39320</f>
        <v>39320.0</v>
      </c>
      <c r="AD1049" s="5" t="s">
        <v>117</v>
      </c>
      <c r="AE1049" s="23" t="n">
        <f>18332</f>
        <v>18332.0</v>
      </c>
    </row>
    <row r="1050">
      <c r="A1050" s="24" t="s">
        <v>1881</v>
      </c>
      <c r="B1050" s="25" t="s">
        <v>1882</v>
      </c>
      <c r="C1050" s="26" t="s">
        <v>1752</v>
      </c>
      <c r="D1050" s="27" t="s">
        <v>1753</v>
      </c>
      <c r="E1050" s="28" t="s">
        <v>437</v>
      </c>
      <c r="F1050" s="20" t="n">
        <f>120</f>
        <v>120.0</v>
      </c>
      <c r="G1050" s="21" t="n">
        <f>125100</f>
        <v>125100.0</v>
      </c>
      <c r="H1050" s="21"/>
      <c r="I1050" s="21" t="n">
        <f>125100</f>
        <v>125100.0</v>
      </c>
      <c r="J1050" s="21" t="n">
        <f>1043</f>
        <v>1043.0</v>
      </c>
      <c r="K1050" s="21" t="n">
        <f>1043</f>
        <v>1043.0</v>
      </c>
      <c r="L1050" s="4" t="s">
        <v>1524</v>
      </c>
      <c r="M1050" s="22" t="n">
        <f>6860</f>
        <v>6860.0</v>
      </c>
      <c r="N1050" s="5" t="s">
        <v>828</v>
      </c>
      <c r="O1050" s="23" t="str">
        <f>"－"</f>
        <v>－</v>
      </c>
      <c r="P1050" s="3" t="s">
        <v>2053</v>
      </c>
      <c r="Q1050" s="21"/>
      <c r="R1050" s="3" t="s">
        <v>2053</v>
      </c>
      <c r="S1050" s="21" t="n">
        <f>317317617</f>
        <v>3.17317617E8</v>
      </c>
      <c r="T1050" s="21" t="n">
        <f>317317617</f>
        <v>3.17317617E8</v>
      </c>
      <c r="U1050" s="5" t="s">
        <v>49</v>
      </c>
      <c r="V1050" s="23" t="n">
        <f>2241925000</f>
        <v>2.241925E9</v>
      </c>
      <c r="W1050" s="5" t="s">
        <v>828</v>
      </c>
      <c r="X1050" s="23" t="str">
        <f>"－"</f>
        <v>－</v>
      </c>
      <c r="Y1050" s="23" t="n">
        <f>33905</f>
        <v>33905.0</v>
      </c>
      <c r="Z1050" s="21" t="n">
        <f>30779</f>
        <v>30779.0</v>
      </c>
      <c r="AA1050" s="21" t="n">
        <f>39986</f>
        <v>39986.0</v>
      </c>
      <c r="AB1050" s="4" t="s">
        <v>54</v>
      </c>
      <c r="AC1050" s="22" t="n">
        <f>61075</f>
        <v>61075.0</v>
      </c>
      <c r="AD1050" s="5" t="s">
        <v>828</v>
      </c>
      <c r="AE1050" s="23" t="n">
        <f>27838</f>
        <v>27838.0</v>
      </c>
    </row>
    <row r="1051">
      <c r="A1051" s="24" t="s">
        <v>1881</v>
      </c>
      <c r="B1051" s="25" t="s">
        <v>1882</v>
      </c>
      <c r="C1051" s="26" t="s">
        <v>1744</v>
      </c>
      <c r="D1051" s="27" t="s">
        <v>1745</v>
      </c>
      <c r="E1051" s="28" t="s">
        <v>441</v>
      </c>
      <c r="F1051" s="20" t="n">
        <f>125</f>
        <v>125.0</v>
      </c>
      <c r="G1051" s="21" t="n">
        <f>43317</f>
        <v>43317.0</v>
      </c>
      <c r="H1051" s="21"/>
      <c r="I1051" s="21" t="n">
        <f>43107</f>
        <v>43107.0</v>
      </c>
      <c r="J1051" s="21" t="n">
        <f>347</f>
        <v>347.0</v>
      </c>
      <c r="K1051" s="21" t="n">
        <f>345</f>
        <v>345.0</v>
      </c>
      <c r="L1051" s="4" t="s">
        <v>61</v>
      </c>
      <c r="M1051" s="22" t="n">
        <f>10243</f>
        <v>10243.0</v>
      </c>
      <c r="N1051" s="5" t="s">
        <v>510</v>
      </c>
      <c r="O1051" s="23" t="str">
        <f>"－"</f>
        <v>－</v>
      </c>
      <c r="P1051" s="3" t="s">
        <v>2054</v>
      </c>
      <c r="Q1051" s="21"/>
      <c r="R1051" s="3" t="s">
        <v>2055</v>
      </c>
      <c r="S1051" s="21" t="n">
        <f>79968424</f>
        <v>7.9968424E7</v>
      </c>
      <c r="T1051" s="21" t="n">
        <f>79865288</f>
        <v>7.9865288E7</v>
      </c>
      <c r="U1051" s="5" t="s">
        <v>61</v>
      </c>
      <c r="V1051" s="23" t="n">
        <f>2048512000</f>
        <v>2.048512E9</v>
      </c>
      <c r="W1051" s="5" t="s">
        <v>510</v>
      </c>
      <c r="X1051" s="23" t="str">
        <f>"－"</f>
        <v>－</v>
      </c>
      <c r="Y1051" s="23" t="n">
        <f>9530</f>
        <v>9530.0</v>
      </c>
      <c r="Z1051" s="21" t="n">
        <f>5557</f>
        <v>5557.0</v>
      </c>
      <c r="AA1051" s="21" t="n">
        <f>33776</f>
        <v>33776.0</v>
      </c>
      <c r="AB1051" s="4" t="s">
        <v>61</v>
      </c>
      <c r="AC1051" s="22" t="n">
        <f>34019</f>
        <v>34019.0</v>
      </c>
      <c r="AD1051" s="5" t="s">
        <v>62</v>
      </c>
      <c r="AE1051" s="23" t="n">
        <f>19353</f>
        <v>19353.0</v>
      </c>
    </row>
    <row r="1052">
      <c r="A1052" s="24" t="s">
        <v>1881</v>
      </c>
      <c r="B1052" s="25" t="s">
        <v>1882</v>
      </c>
      <c r="C1052" s="26" t="s">
        <v>1748</v>
      </c>
      <c r="D1052" s="27" t="s">
        <v>1749</v>
      </c>
      <c r="E1052" s="28" t="s">
        <v>441</v>
      </c>
      <c r="F1052" s="20" t="n">
        <f>125</f>
        <v>125.0</v>
      </c>
      <c r="G1052" s="21" t="n">
        <f>75759</f>
        <v>75759.0</v>
      </c>
      <c r="H1052" s="21"/>
      <c r="I1052" s="21" t="n">
        <f>75759</f>
        <v>75759.0</v>
      </c>
      <c r="J1052" s="21" t="n">
        <f>606</f>
        <v>606.0</v>
      </c>
      <c r="K1052" s="21" t="n">
        <f>606</f>
        <v>606.0</v>
      </c>
      <c r="L1052" s="4" t="s">
        <v>61</v>
      </c>
      <c r="M1052" s="22" t="n">
        <f>10852</f>
        <v>10852.0</v>
      </c>
      <c r="N1052" s="5" t="s">
        <v>510</v>
      </c>
      <c r="O1052" s="23" t="str">
        <f>"－"</f>
        <v>－</v>
      </c>
      <c r="P1052" s="3" t="s">
        <v>2056</v>
      </c>
      <c r="Q1052" s="21"/>
      <c r="R1052" s="3" t="s">
        <v>2056</v>
      </c>
      <c r="S1052" s="21" t="n">
        <f>130314056</f>
        <v>1.30314056E8</v>
      </c>
      <c r="T1052" s="21" t="n">
        <f>130314056</f>
        <v>1.30314056E8</v>
      </c>
      <c r="U1052" s="5" t="s">
        <v>61</v>
      </c>
      <c r="V1052" s="23" t="n">
        <f>2151490000</f>
        <v>2.15149E9</v>
      </c>
      <c r="W1052" s="5" t="s">
        <v>510</v>
      </c>
      <c r="X1052" s="23" t="str">
        <f>"－"</f>
        <v>－</v>
      </c>
      <c r="Y1052" s="23" t="n">
        <f>8247</f>
        <v>8247.0</v>
      </c>
      <c r="Z1052" s="21" t="n">
        <f>11777</f>
        <v>11777.0</v>
      </c>
      <c r="AA1052" s="21" t="n">
        <f>43886</f>
        <v>43886.0</v>
      </c>
      <c r="AB1052" s="4" t="s">
        <v>61</v>
      </c>
      <c r="AC1052" s="22" t="n">
        <f>50395</f>
        <v>50395.0</v>
      </c>
      <c r="AD1052" s="5" t="s">
        <v>62</v>
      </c>
      <c r="AE1052" s="23" t="n">
        <f>17172</f>
        <v>17172.0</v>
      </c>
    </row>
    <row r="1053">
      <c r="A1053" s="24" t="s">
        <v>1881</v>
      </c>
      <c r="B1053" s="25" t="s">
        <v>1882</v>
      </c>
      <c r="C1053" s="26" t="s">
        <v>1752</v>
      </c>
      <c r="D1053" s="27" t="s">
        <v>1753</v>
      </c>
      <c r="E1053" s="28" t="s">
        <v>441</v>
      </c>
      <c r="F1053" s="20" t="n">
        <f>125</f>
        <v>125.0</v>
      </c>
      <c r="G1053" s="21" t="n">
        <f>119076</f>
        <v>119076.0</v>
      </c>
      <c r="H1053" s="21"/>
      <c r="I1053" s="21" t="n">
        <f>118866</f>
        <v>118866.0</v>
      </c>
      <c r="J1053" s="21" t="n">
        <f>953</f>
        <v>953.0</v>
      </c>
      <c r="K1053" s="21" t="n">
        <f>951</f>
        <v>951.0</v>
      </c>
      <c r="L1053" s="4" t="s">
        <v>61</v>
      </c>
      <c r="M1053" s="22" t="n">
        <f>21095</f>
        <v>21095.0</v>
      </c>
      <c r="N1053" s="5" t="s">
        <v>510</v>
      </c>
      <c r="O1053" s="23" t="str">
        <f>"－"</f>
        <v>－</v>
      </c>
      <c r="P1053" s="3" t="s">
        <v>2057</v>
      </c>
      <c r="Q1053" s="21"/>
      <c r="R1053" s="3" t="s">
        <v>2058</v>
      </c>
      <c r="S1053" s="21" t="n">
        <f>210282480</f>
        <v>2.1028248E8</v>
      </c>
      <c r="T1053" s="21" t="n">
        <f>210179344</f>
        <v>2.10179344E8</v>
      </c>
      <c r="U1053" s="5" t="s">
        <v>61</v>
      </c>
      <c r="V1053" s="23" t="n">
        <f>4200002000</f>
        <v>4.200002E9</v>
      </c>
      <c r="W1053" s="5" t="s">
        <v>510</v>
      </c>
      <c r="X1053" s="23" t="str">
        <f>"－"</f>
        <v>－</v>
      </c>
      <c r="Y1053" s="23" t="n">
        <f>17777</f>
        <v>17777.0</v>
      </c>
      <c r="Z1053" s="21" t="n">
        <f>17334</f>
        <v>17334.0</v>
      </c>
      <c r="AA1053" s="21" t="n">
        <f>77662</f>
        <v>77662.0</v>
      </c>
      <c r="AB1053" s="4" t="s">
        <v>61</v>
      </c>
      <c r="AC1053" s="22" t="n">
        <f>84414</f>
        <v>84414.0</v>
      </c>
      <c r="AD1053" s="5" t="s">
        <v>62</v>
      </c>
      <c r="AE1053" s="23" t="n">
        <f>36525</f>
        <v>36525.0</v>
      </c>
    </row>
    <row r="1054">
      <c r="A1054" s="24" t="s">
        <v>1881</v>
      </c>
      <c r="B1054" s="25" t="s">
        <v>1882</v>
      </c>
      <c r="C1054" s="26" t="s">
        <v>1744</v>
      </c>
      <c r="D1054" s="27" t="s">
        <v>1745</v>
      </c>
      <c r="E1054" s="28" t="s">
        <v>48</v>
      </c>
      <c r="F1054" s="20" t="n">
        <f>121</f>
        <v>121.0</v>
      </c>
      <c r="G1054" s="21" t="n">
        <f>100773</f>
        <v>100773.0</v>
      </c>
      <c r="H1054" s="21"/>
      <c r="I1054" s="21" t="n">
        <f>100763</f>
        <v>100763.0</v>
      </c>
      <c r="J1054" s="21" t="n">
        <f>833</f>
        <v>833.0</v>
      </c>
      <c r="K1054" s="21" t="n">
        <f>833</f>
        <v>833.0</v>
      </c>
      <c r="L1054" s="4" t="s">
        <v>69</v>
      </c>
      <c r="M1054" s="22" t="n">
        <f>10892</f>
        <v>10892.0</v>
      </c>
      <c r="N1054" s="5" t="s">
        <v>268</v>
      </c>
      <c r="O1054" s="23" t="str">
        <f>"－"</f>
        <v>－</v>
      </c>
      <c r="P1054" s="3" t="s">
        <v>2059</v>
      </c>
      <c r="Q1054" s="21"/>
      <c r="R1054" s="3" t="s">
        <v>2060</v>
      </c>
      <c r="S1054" s="21" t="n">
        <f>149546289</f>
        <v>1.49546289E8</v>
      </c>
      <c r="T1054" s="21" t="n">
        <f>149541281</f>
        <v>1.49541281E8</v>
      </c>
      <c r="U1054" s="5" t="s">
        <v>49</v>
      </c>
      <c r="V1054" s="23" t="n">
        <f>1203810000</f>
        <v>1.20381E9</v>
      </c>
      <c r="W1054" s="5" t="s">
        <v>268</v>
      </c>
      <c r="X1054" s="23" t="str">
        <f>"－"</f>
        <v>－</v>
      </c>
      <c r="Y1054" s="23" t="n">
        <f>22193</f>
        <v>22193.0</v>
      </c>
      <c r="Z1054" s="21" t="n">
        <f>10307</f>
        <v>10307.0</v>
      </c>
      <c r="AA1054" s="21" t="n">
        <f>17281</f>
        <v>17281.0</v>
      </c>
      <c r="AB1054" s="4" t="s">
        <v>2061</v>
      </c>
      <c r="AC1054" s="22" t="n">
        <f>41179</f>
        <v>41179.0</v>
      </c>
      <c r="AD1054" s="5" t="s">
        <v>178</v>
      </c>
      <c r="AE1054" s="23" t="n">
        <f>9758</f>
        <v>9758.0</v>
      </c>
    </row>
    <row r="1055">
      <c r="A1055" s="24" t="s">
        <v>1881</v>
      </c>
      <c r="B1055" s="25" t="s">
        <v>1882</v>
      </c>
      <c r="C1055" s="26" t="s">
        <v>1748</v>
      </c>
      <c r="D1055" s="27" t="s">
        <v>1749</v>
      </c>
      <c r="E1055" s="28" t="s">
        <v>48</v>
      </c>
      <c r="F1055" s="20" t="n">
        <f>121</f>
        <v>121.0</v>
      </c>
      <c r="G1055" s="21" t="n">
        <f>171243</f>
        <v>171243.0</v>
      </c>
      <c r="H1055" s="21"/>
      <c r="I1055" s="21" t="n">
        <f>171202</f>
        <v>171202.0</v>
      </c>
      <c r="J1055" s="21" t="n">
        <f>1415</f>
        <v>1415.0</v>
      </c>
      <c r="K1055" s="21" t="n">
        <f>1415</f>
        <v>1415.0</v>
      </c>
      <c r="L1055" s="4" t="s">
        <v>69</v>
      </c>
      <c r="M1055" s="22" t="n">
        <f>10892</f>
        <v>10892.0</v>
      </c>
      <c r="N1055" s="5" t="s">
        <v>339</v>
      </c>
      <c r="O1055" s="23" t="str">
        <f>"－"</f>
        <v>－</v>
      </c>
      <c r="P1055" s="3" t="s">
        <v>2062</v>
      </c>
      <c r="Q1055" s="21"/>
      <c r="R1055" s="3" t="s">
        <v>2063</v>
      </c>
      <c r="S1055" s="21" t="n">
        <f>250833058</f>
        <v>2.50833058E8</v>
      </c>
      <c r="T1055" s="21" t="n">
        <f>250794438</f>
        <v>2.50794438E8</v>
      </c>
      <c r="U1055" s="5" t="s">
        <v>511</v>
      </c>
      <c r="V1055" s="23" t="n">
        <f>3350184000</f>
        <v>3.350184E9</v>
      </c>
      <c r="W1055" s="5" t="s">
        <v>339</v>
      </c>
      <c r="X1055" s="23" t="str">
        <f>"－"</f>
        <v>－</v>
      </c>
      <c r="Y1055" s="23" t="n">
        <f>59561</f>
        <v>59561.0</v>
      </c>
      <c r="Z1055" s="21" t="n">
        <f>45579</f>
        <v>45579.0</v>
      </c>
      <c r="AA1055" s="21" t="n">
        <f>32192</f>
        <v>32192.0</v>
      </c>
      <c r="AB1055" s="4" t="s">
        <v>2061</v>
      </c>
      <c r="AC1055" s="22" t="n">
        <f>56053</f>
        <v>56053.0</v>
      </c>
      <c r="AD1055" s="5" t="s">
        <v>178</v>
      </c>
      <c r="AE1055" s="23" t="n">
        <f>16089</f>
        <v>16089.0</v>
      </c>
    </row>
    <row r="1056">
      <c r="A1056" s="24" t="s">
        <v>1881</v>
      </c>
      <c r="B1056" s="25" t="s">
        <v>1882</v>
      </c>
      <c r="C1056" s="26" t="s">
        <v>1752</v>
      </c>
      <c r="D1056" s="27" t="s">
        <v>1753</v>
      </c>
      <c r="E1056" s="28" t="s">
        <v>48</v>
      </c>
      <c r="F1056" s="20" t="n">
        <f>121</f>
        <v>121.0</v>
      </c>
      <c r="G1056" s="21" t="n">
        <f>272016</f>
        <v>272016.0</v>
      </c>
      <c r="H1056" s="21"/>
      <c r="I1056" s="21" t="n">
        <f>271965</f>
        <v>271965.0</v>
      </c>
      <c r="J1056" s="21" t="n">
        <f>2248</f>
        <v>2248.0</v>
      </c>
      <c r="K1056" s="21" t="n">
        <f>2248</f>
        <v>2248.0</v>
      </c>
      <c r="L1056" s="4" t="s">
        <v>69</v>
      </c>
      <c r="M1056" s="22" t="n">
        <f>21784</f>
        <v>21784.0</v>
      </c>
      <c r="N1056" s="5" t="s">
        <v>1012</v>
      </c>
      <c r="O1056" s="23" t="str">
        <f>"－"</f>
        <v>－</v>
      </c>
      <c r="P1056" s="3" t="s">
        <v>2064</v>
      </c>
      <c r="Q1056" s="21"/>
      <c r="R1056" s="3" t="s">
        <v>2065</v>
      </c>
      <c r="S1056" s="21" t="n">
        <f>400379347</f>
        <v>4.00379347E8</v>
      </c>
      <c r="T1056" s="21" t="n">
        <f>400335719</f>
        <v>4.00335719E8</v>
      </c>
      <c r="U1056" s="5" t="s">
        <v>511</v>
      </c>
      <c r="V1056" s="23" t="n">
        <f>3437684000</f>
        <v>3.437684E9</v>
      </c>
      <c r="W1056" s="5" t="s">
        <v>1012</v>
      </c>
      <c r="X1056" s="23" t="str">
        <f>"－"</f>
        <v>－</v>
      </c>
      <c r="Y1056" s="23" t="n">
        <f>81754</f>
        <v>81754.0</v>
      </c>
      <c r="Z1056" s="21" t="n">
        <f>55886</f>
        <v>55886.0</v>
      </c>
      <c r="AA1056" s="21" t="n">
        <f>49473</f>
        <v>49473.0</v>
      </c>
      <c r="AB1056" s="4" t="s">
        <v>2061</v>
      </c>
      <c r="AC1056" s="22" t="n">
        <f>97232</f>
        <v>97232.0</v>
      </c>
      <c r="AD1056" s="5" t="s">
        <v>178</v>
      </c>
      <c r="AE1056" s="23" t="n">
        <f>25847</f>
        <v>25847.0</v>
      </c>
    </row>
    <row r="1057">
      <c r="A1057" s="24" t="s">
        <v>1881</v>
      </c>
      <c r="B1057" s="25" t="s">
        <v>1882</v>
      </c>
      <c r="C1057" s="26" t="s">
        <v>1744</v>
      </c>
      <c r="D1057" s="27" t="s">
        <v>1745</v>
      </c>
      <c r="E1057" s="28" t="s">
        <v>56</v>
      </c>
      <c r="F1057" s="20" t="n">
        <f>123</f>
        <v>123.0</v>
      </c>
      <c r="G1057" s="21" t="n">
        <f>59452</f>
        <v>59452.0</v>
      </c>
      <c r="H1057" s="21"/>
      <c r="I1057" s="21" t="n">
        <f>59432</f>
        <v>59432.0</v>
      </c>
      <c r="J1057" s="21" t="n">
        <f>483</f>
        <v>483.0</v>
      </c>
      <c r="K1057" s="21" t="n">
        <f>483</f>
        <v>483.0</v>
      </c>
      <c r="L1057" s="4" t="s">
        <v>1546</v>
      </c>
      <c r="M1057" s="22" t="n">
        <f>6660</f>
        <v>6660.0</v>
      </c>
      <c r="N1057" s="5" t="s">
        <v>263</v>
      </c>
      <c r="O1057" s="23" t="str">
        <f>"－"</f>
        <v>－</v>
      </c>
      <c r="P1057" s="3" t="s">
        <v>2066</v>
      </c>
      <c r="Q1057" s="21"/>
      <c r="R1057" s="3" t="s">
        <v>2067</v>
      </c>
      <c r="S1057" s="21" t="n">
        <f>103217358</f>
        <v>1.03217358E8</v>
      </c>
      <c r="T1057" s="21" t="n">
        <f>103198496</f>
        <v>1.03198496E8</v>
      </c>
      <c r="U1057" s="5" t="s">
        <v>1108</v>
      </c>
      <c r="V1057" s="23" t="n">
        <f>1564114000</f>
        <v>1.564114E9</v>
      </c>
      <c r="W1057" s="5" t="s">
        <v>263</v>
      </c>
      <c r="X1057" s="23" t="str">
        <f>"－"</f>
        <v>－</v>
      </c>
      <c r="Y1057" s="23" t="n">
        <f>14993</f>
        <v>14993.0</v>
      </c>
      <c r="Z1057" s="21" t="n">
        <f>5828</f>
        <v>5828.0</v>
      </c>
      <c r="AA1057" s="21" t="n">
        <f>13796</f>
        <v>13796.0</v>
      </c>
      <c r="AB1057" s="4" t="s">
        <v>1546</v>
      </c>
      <c r="AC1057" s="22" t="n">
        <f>32563</f>
        <v>32563.0</v>
      </c>
      <c r="AD1057" s="5" t="s">
        <v>107</v>
      </c>
      <c r="AE1057" s="23" t="n">
        <f>11094</f>
        <v>11094.0</v>
      </c>
    </row>
    <row r="1058">
      <c r="A1058" s="24" t="s">
        <v>1881</v>
      </c>
      <c r="B1058" s="25" t="s">
        <v>1882</v>
      </c>
      <c r="C1058" s="26" t="s">
        <v>1748</v>
      </c>
      <c r="D1058" s="27" t="s">
        <v>1749</v>
      </c>
      <c r="E1058" s="28" t="s">
        <v>56</v>
      </c>
      <c r="F1058" s="20" t="n">
        <f>123</f>
        <v>123.0</v>
      </c>
      <c r="G1058" s="21" t="n">
        <f>103751</f>
        <v>103751.0</v>
      </c>
      <c r="H1058" s="21"/>
      <c r="I1058" s="21" t="n">
        <f>103730</f>
        <v>103730.0</v>
      </c>
      <c r="J1058" s="21" t="n">
        <f>844</f>
        <v>844.0</v>
      </c>
      <c r="K1058" s="21" t="n">
        <f>843</f>
        <v>843.0</v>
      </c>
      <c r="L1058" s="4" t="s">
        <v>238</v>
      </c>
      <c r="M1058" s="22" t="n">
        <f>8480</f>
        <v>8480.0</v>
      </c>
      <c r="N1058" s="5" t="s">
        <v>978</v>
      </c>
      <c r="O1058" s="23" t="str">
        <f>"－"</f>
        <v>－</v>
      </c>
      <c r="P1058" s="3" t="s">
        <v>2068</v>
      </c>
      <c r="Q1058" s="21"/>
      <c r="R1058" s="3" t="s">
        <v>2069</v>
      </c>
      <c r="S1058" s="21" t="n">
        <f>223234309</f>
        <v>2.23234309E8</v>
      </c>
      <c r="T1058" s="21" t="n">
        <f>223207398</f>
        <v>2.23207398E8</v>
      </c>
      <c r="U1058" s="5" t="s">
        <v>434</v>
      </c>
      <c r="V1058" s="23" t="n">
        <f>3359330000</f>
        <v>3.35933E9</v>
      </c>
      <c r="W1058" s="5" t="s">
        <v>978</v>
      </c>
      <c r="X1058" s="23" t="str">
        <f>"－"</f>
        <v>－</v>
      </c>
      <c r="Y1058" s="23" t="n">
        <f>26991</f>
        <v>26991.0</v>
      </c>
      <c r="Z1058" s="21" t="n">
        <f>32871</f>
        <v>32871.0</v>
      </c>
      <c r="AA1058" s="21" t="n">
        <f>20428</f>
        <v>20428.0</v>
      </c>
      <c r="AB1058" s="4" t="s">
        <v>1546</v>
      </c>
      <c r="AC1058" s="22" t="n">
        <f>48540</f>
        <v>48540.0</v>
      </c>
      <c r="AD1058" s="5" t="s">
        <v>450</v>
      </c>
      <c r="AE1058" s="23" t="n">
        <f>20119</f>
        <v>20119.0</v>
      </c>
    </row>
    <row r="1059">
      <c r="A1059" s="24" t="s">
        <v>1881</v>
      </c>
      <c r="B1059" s="25" t="s">
        <v>1882</v>
      </c>
      <c r="C1059" s="26" t="s">
        <v>1752</v>
      </c>
      <c r="D1059" s="27" t="s">
        <v>1753</v>
      </c>
      <c r="E1059" s="28" t="s">
        <v>56</v>
      </c>
      <c r="F1059" s="20" t="n">
        <f>123</f>
        <v>123.0</v>
      </c>
      <c r="G1059" s="21" t="n">
        <f>163203</f>
        <v>163203.0</v>
      </c>
      <c r="H1059" s="21"/>
      <c r="I1059" s="21" t="n">
        <f>163162</f>
        <v>163162.0</v>
      </c>
      <c r="J1059" s="21" t="n">
        <f>1327</f>
        <v>1327.0</v>
      </c>
      <c r="K1059" s="21" t="n">
        <f>1327</f>
        <v>1327.0</v>
      </c>
      <c r="L1059" s="4" t="s">
        <v>1546</v>
      </c>
      <c r="M1059" s="22" t="n">
        <f>14320</f>
        <v>14320.0</v>
      </c>
      <c r="N1059" s="5" t="s">
        <v>461</v>
      </c>
      <c r="O1059" s="23" t="str">
        <f>"－"</f>
        <v>－</v>
      </c>
      <c r="P1059" s="3" t="s">
        <v>2070</v>
      </c>
      <c r="Q1059" s="21"/>
      <c r="R1059" s="3" t="s">
        <v>2071</v>
      </c>
      <c r="S1059" s="21" t="n">
        <f>326451667</f>
        <v>3.26451667E8</v>
      </c>
      <c r="T1059" s="21" t="n">
        <f>326405894</f>
        <v>3.26405894E8</v>
      </c>
      <c r="U1059" s="5" t="s">
        <v>434</v>
      </c>
      <c r="V1059" s="23" t="n">
        <f>3359330000</f>
        <v>3.35933E9</v>
      </c>
      <c r="W1059" s="5" t="s">
        <v>461</v>
      </c>
      <c r="X1059" s="23" t="str">
        <f>"－"</f>
        <v>－</v>
      </c>
      <c r="Y1059" s="23" t="n">
        <f>41984</f>
        <v>41984.0</v>
      </c>
      <c r="Z1059" s="21" t="n">
        <f>38699</f>
        <v>38699.0</v>
      </c>
      <c r="AA1059" s="21" t="n">
        <f>34224</f>
        <v>34224.0</v>
      </c>
      <c r="AB1059" s="4" t="s">
        <v>1546</v>
      </c>
      <c r="AC1059" s="22" t="n">
        <f>81103</f>
        <v>81103.0</v>
      </c>
      <c r="AD1059" s="5" t="s">
        <v>450</v>
      </c>
      <c r="AE1059" s="23" t="n">
        <f>33943</f>
        <v>33943.0</v>
      </c>
    </row>
    <row r="1060">
      <c r="A1060" s="24" t="s">
        <v>1881</v>
      </c>
      <c r="B1060" s="25" t="s">
        <v>1882</v>
      </c>
      <c r="C1060" s="26" t="s">
        <v>1744</v>
      </c>
      <c r="D1060" s="27" t="s">
        <v>1745</v>
      </c>
      <c r="E1060" s="28" t="s">
        <v>63</v>
      </c>
      <c r="F1060" s="20" t="n">
        <f>122</f>
        <v>122.0</v>
      </c>
      <c r="G1060" s="21" t="n">
        <f>23560</f>
        <v>23560.0</v>
      </c>
      <c r="H1060" s="21"/>
      <c r="I1060" s="21" t="n">
        <f>23422</f>
        <v>23422.0</v>
      </c>
      <c r="J1060" s="21" t="n">
        <f>193</f>
        <v>193.0</v>
      </c>
      <c r="K1060" s="21" t="n">
        <f>192</f>
        <v>192.0</v>
      </c>
      <c r="L1060" s="4" t="s">
        <v>53</v>
      </c>
      <c r="M1060" s="22" t="n">
        <f>2830</f>
        <v>2830.0</v>
      </c>
      <c r="N1060" s="5" t="s">
        <v>519</v>
      </c>
      <c r="O1060" s="23" t="str">
        <f>"－"</f>
        <v>－</v>
      </c>
      <c r="P1060" s="3" t="s">
        <v>2072</v>
      </c>
      <c r="Q1060" s="21"/>
      <c r="R1060" s="3" t="s">
        <v>2073</v>
      </c>
      <c r="S1060" s="21" t="n">
        <f>58820139</f>
        <v>5.8820139E7</v>
      </c>
      <c r="T1060" s="21" t="n">
        <f>57277336</f>
        <v>5.7277336E7</v>
      </c>
      <c r="U1060" s="5" t="s">
        <v>53</v>
      </c>
      <c r="V1060" s="23" t="n">
        <f>1395858000</f>
        <v>1.395858E9</v>
      </c>
      <c r="W1060" s="5" t="s">
        <v>519</v>
      </c>
      <c r="X1060" s="23" t="str">
        <f>"－"</f>
        <v>－</v>
      </c>
      <c r="Y1060" s="23" t="n">
        <f>8673</f>
        <v>8673.0</v>
      </c>
      <c r="Z1060" s="21" t="n">
        <f>9139</f>
        <v>9139.0</v>
      </c>
      <c r="AA1060" s="21" t="n">
        <f>11471</f>
        <v>11471.0</v>
      </c>
      <c r="AB1060" s="4" t="s">
        <v>211</v>
      </c>
      <c r="AC1060" s="22" t="n">
        <f>22061</f>
        <v>22061.0</v>
      </c>
      <c r="AD1060" s="5" t="s">
        <v>2074</v>
      </c>
      <c r="AE1060" s="23" t="n">
        <f>10492</f>
        <v>10492.0</v>
      </c>
    </row>
    <row r="1061">
      <c r="A1061" s="24" t="s">
        <v>1881</v>
      </c>
      <c r="B1061" s="25" t="s">
        <v>1882</v>
      </c>
      <c r="C1061" s="26" t="s">
        <v>1748</v>
      </c>
      <c r="D1061" s="27" t="s">
        <v>1749</v>
      </c>
      <c r="E1061" s="28" t="s">
        <v>63</v>
      </c>
      <c r="F1061" s="20" t="n">
        <f>122</f>
        <v>122.0</v>
      </c>
      <c r="G1061" s="21" t="n">
        <f>26691</f>
        <v>26691.0</v>
      </c>
      <c r="H1061" s="21"/>
      <c r="I1061" s="21" t="n">
        <f>26561</f>
        <v>26561.0</v>
      </c>
      <c r="J1061" s="21" t="n">
        <f>219</f>
        <v>219.0</v>
      </c>
      <c r="K1061" s="21" t="n">
        <f>218</f>
        <v>218.0</v>
      </c>
      <c r="L1061" s="4" t="s">
        <v>68</v>
      </c>
      <c r="M1061" s="22" t="n">
        <f>2132</f>
        <v>2132.0</v>
      </c>
      <c r="N1061" s="5" t="s">
        <v>339</v>
      </c>
      <c r="O1061" s="23" t="str">
        <f>"－"</f>
        <v>－</v>
      </c>
      <c r="P1061" s="3" t="s">
        <v>2075</v>
      </c>
      <c r="Q1061" s="21"/>
      <c r="R1061" s="3" t="s">
        <v>2076</v>
      </c>
      <c r="S1061" s="21" t="n">
        <f>57518820</f>
        <v>5.751882E7</v>
      </c>
      <c r="T1061" s="21" t="n">
        <f>57178984</f>
        <v>5.7178984E7</v>
      </c>
      <c r="U1061" s="5" t="s">
        <v>68</v>
      </c>
      <c r="V1061" s="23" t="n">
        <f>1288690000</f>
        <v>1.28869E9</v>
      </c>
      <c r="W1061" s="5" t="s">
        <v>339</v>
      </c>
      <c r="X1061" s="23" t="str">
        <f>"－"</f>
        <v>－</v>
      </c>
      <c r="Y1061" s="23" t="n">
        <f>11796</f>
        <v>11796.0</v>
      </c>
      <c r="Z1061" s="21" t="n">
        <f>8584</f>
        <v>8584.0</v>
      </c>
      <c r="AA1061" s="21" t="n">
        <f>6428</f>
        <v>6428.0</v>
      </c>
      <c r="AB1061" s="4" t="s">
        <v>211</v>
      </c>
      <c r="AC1061" s="22" t="n">
        <f>28547</f>
        <v>28547.0</v>
      </c>
      <c r="AD1061" s="5" t="s">
        <v>197</v>
      </c>
      <c r="AE1061" s="23" t="n">
        <f>5283</f>
        <v>5283.0</v>
      </c>
    </row>
    <row r="1062">
      <c r="A1062" s="24" t="s">
        <v>1881</v>
      </c>
      <c r="B1062" s="25" t="s">
        <v>1882</v>
      </c>
      <c r="C1062" s="26" t="s">
        <v>1752</v>
      </c>
      <c r="D1062" s="27" t="s">
        <v>1753</v>
      </c>
      <c r="E1062" s="28" t="s">
        <v>63</v>
      </c>
      <c r="F1062" s="20" t="n">
        <f>122</f>
        <v>122.0</v>
      </c>
      <c r="G1062" s="21" t="n">
        <f>50251</f>
        <v>50251.0</v>
      </c>
      <c r="H1062" s="21"/>
      <c r="I1062" s="21" t="n">
        <f>49983</f>
        <v>49983.0</v>
      </c>
      <c r="J1062" s="21" t="n">
        <f>412</f>
        <v>412.0</v>
      </c>
      <c r="K1062" s="21" t="n">
        <f>410</f>
        <v>410.0</v>
      </c>
      <c r="L1062" s="4" t="s">
        <v>53</v>
      </c>
      <c r="M1062" s="22" t="n">
        <f>4178</f>
        <v>4178.0</v>
      </c>
      <c r="N1062" s="5" t="s">
        <v>339</v>
      </c>
      <c r="O1062" s="23" t="str">
        <f>"－"</f>
        <v>－</v>
      </c>
      <c r="P1062" s="3" t="s">
        <v>2077</v>
      </c>
      <c r="Q1062" s="21"/>
      <c r="R1062" s="3" t="s">
        <v>2078</v>
      </c>
      <c r="S1062" s="21" t="n">
        <f>116338959</f>
        <v>1.16338959E8</v>
      </c>
      <c r="T1062" s="21" t="n">
        <f>114456320</f>
        <v>1.1445632E8</v>
      </c>
      <c r="U1062" s="5" t="s">
        <v>53</v>
      </c>
      <c r="V1062" s="23" t="n">
        <f>2309433000</f>
        <v>2.309433E9</v>
      </c>
      <c r="W1062" s="5" t="s">
        <v>339</v>
      </c>
      <c r="X1062" s="23" t="str">
        <f>"－"</f>
        <v>－</v>
      </c>
      <c r="Y1062" s="23" t="n">
        <f>20469</f>
        <v>20469.0</v>
      </c>
      <c r="Z1062" s="21" t="n">
        <f>17723</f>
        <v>17723.0</v>
      </c>
      <c r="AA1062" s="21" t="n">
        <f>17899</f>
        <v>17899.0</v>
      </c>
      <c r="AB1062" s="4" t="s">
        <v>211</v>
      </c>
      <c r="AC1062" s="22" t="n">
        <f>50608</f>
        <v>50608.0</v>
      </c>
      <c r="AD1062" s="5" t="s">
        <v>197</v>
      </c>
      <c r="AE1062" s="23" t="n">
        <f>16495</f>
        <v>16495.0</v>
      </c>
    </row>
    <row r="1063">
      <c r="A1063" s="24" t="s">
        <v>1881</v>
      </c>
      <c r="B1063" s="25" t="s">
        <v>1882</v>
      </c>
      <c r="C1063" s="26" t="s">
        <v>1744</v>
      </c>
      <c r="D1063" s="27" t="s">
        <v>1745</v>
      </c>
      <c r="E1063" s="28" t="s">
        <v>70</v>
      </c>
      <c r="F1063" s="20" t="n">
        <f>123</f>
        <v>123.0</v>
      </c>
      <c r="G1063" s="21" t="n">
        <f>25037</f>
        <v>25037.0</v>
      </c>
      <c r="H1063" s="21"/>
      <c r="I1063" s="21" t="n">
        <f>24913</f>
        <v>24913.0</v>
      </c>
      <c r="J1063" s="21" t="n">
        <f>204</f>
        <v>204.0</v>
      </c>
      <c r="K1063" s="21" t="n">
        <f>203</f>
        <v>203.0</v>
      </c>
      <c r="L1063" s="4" t="s">
        <v>1354</v>
      </c>
      <c r="M1063" s="22" t="n">
        <f>4188</f>
        <v>4188.0</v>
      </c>
      <c r="N1063" s="5" t="s">
        <v>335</v>
      </c>
      <c r="O1063" s="23" t="str">
        <f>"－"</f>
        <v>－</v>
      </c>
      <c r="P1063" s="3" t="s">
        <v>2079</v>
      </c>
      <c r="Q1063" s="21"/>
      <c r="R1063" s="3" t="s">
        <v>2080</v>
      </c>
      <c r="S1063" s="21" t="n">
        <f>47251907</f>
        <v>4.7251907E7</v>
      </c>
      <c r="T1063" s="21" t="n">
        <f>46909615</f>
        <v>4.6909615E7</v>
      </c>
      <c r="U1063" s="5" t="s">
        <v>1354</v>
      </c>
      <c r="V1063" s="23" t="n">
        <f>1789278000</f>
        <v>1.789278E9</v>
      </c>
      <c r="W1063" s="5" t="s">
        <v>335</v>
      </c>
      <c r="X1063" s="23" t="str">
        <f>"－"</f>
        <v>－</v>
      </c>
      <c r="Y1063" s="23" t="n">
        <f>2904</f>
        <v>2904.0</v>
      </c>
      <c r="Z1063" s="21" t="n">
        <f>18513</f>
        <v>18513.0</v>
      </c>
      <c r="AA1063" s="21" t="n">
        <f>17485</f>
        <v>17485.0</v>
      </c>
      <c r="AB1063" s="4" t="s">
        <v>248</v>
      </c>
      <c r="AC1063" s="22" t="n">
        <f>17485</f>
        <v>17485.0</v>
      </c>
      <c r="AD1063" s="5" t="s">
        <v>75</v>
      </c>
      <c r="AE1063" s="23" t="n">
        <f>9571</f>
        <v>9571.0</v>
      </c>
    </row>
    <row r="1064">
      <c r="A1064" s="24" t="s">
        <v>1881</v>
      </c>
      <c r="B1064" s="25" t="s">
        <v>1882</v>
      </c>
      <c r="C1064" s="26" t="s">
        <v>1748</v>
      </c>
      <c r="D1064" s="27" t="s">
        <v>1749</v>
      </c>
      <c r="E1064" s="28" t="s">
        <v>70</v>
      </c>
      <c r="F1064" s="20" t="n">
        <f>123</f>
        <v>123.0</v>
      </c>
      <c r="G1064" s="21" t="n">
        <f>41632</f>
        <v>41632.0</v>
      </c>
      <c r="H1064" s="21"/>
      <c r="I1064" s="21" t="n">
        <f>41352</f>
        <v>41352.0</v>
      </c>
      <c r="J1064" s="21" t="n">
        <f>338</f>
        <v>338.0</v>
      </c>
      <c r="K1064" s="21" t="n">
        <f>336</f>
        <v>336.0</v>
      </c>
      <c r="L1064" s="4" t="s">
        <v>983</v>
      </c>
      <c r="M1064" s="22" t="n">
        <f>9844</f>
        <v>9844.0</v>
      </c>
      <c r="N1064" s="5" t="s">
        <v>335</v>
      </c>
      <c r="O1064" s="23" t="str">
        <f>"－"</f>
        <v>－</v>
      </c>
      <c r="P1064" s="3" t="s">
        <v>2081</v>
      </c>
      <c r="Q1064" s="21"/>
      <c r="R1064" s="3" t="s">
        <v>2082</v>
      </c>
      <c r="S1064" s="21" t="n">
        <f>58498793</f>
        <v>5.8498793E7</v>
      </c>
      <c r="T1064" s="21" t="n">
        <f>57487964</f>
        <v>5.7487964E7</v>
      </c>
      <c r="U1064" s="5" t="s">
        <v>491</v>
      </c>
      <c r="V1064" s="23" t="n">
        <f>1349621825</f>
        <v>1.349621825E9</v>
      </c>
      <c r="W1064" s="5" t="s">
        <v>335</v>
      </c>
      <c r="X1064" s="23" t="str">
        <f>"－"</f>
        <v>－</v>
      </c>
      <c r="Y1064" s="23" t="n">
        <f>2286</f>
        <v>2286.0</v>
      </c>
      <c r="Z1064" s="21" t="n">
        <f>18974</f>
        <v>18974.0</v>
      </c>
      <c r="AA1064" s="21" t="n">
        <f>11332</f>
        <v>11332.0</v>
      </c>
      <c r="AB1064" s="4" t="s">
        <v>481</v>
      </c>
      <c r="AC1064" s="22" t="n">
        <f>15849</f>
        <v>15849.0</v>
      </c>
      <c r="AD1064" s="5" t="s">
        <v>75</v>
      </c>
      <c r="AE1064" s="23" t="n">
        <f>3917</f>
        <v>3917.0</v>
      </c>
    </row>
    <row r="1065">
      <c r="A1065" s="24" t="s">
        <v>1881</v>
      </c>
      <c r="B1065" s="25" t="s">
        <v>1882</v>
      </c>
      <c r="C1065" s="26" t="s">
        <v>1752</v>
      </c>
      <c r="D1065" s="27" t="s">
        <v>1753</v>
      </c>
      <c r="E1065" s="28" t="s">
        <v>70</v>
      </c>
      <c r="F1065" s="20" t="n">
        <f>123</f>
        <v>123.0</v>
      </c>
      <c r="G1065" s="21" t="n">
        <f>66669</f>
        <v>66669.0</v>
      </c>
      <c r="H1065" s="21"/>
      <c r="I1065" s="21" t="n">
        <f>66265</f>
        <v>66265.0</v>
      </c>
      <c r="J1065" s="21" t="n">
        <f>542</f>
        <v>542.0</v>
      </c>
      <c r="K1065" s="21" t="n">
        <f>539</f>
        <v>539.0</v>
      </c>
      <c r="L1065" s="4" t="s">
        <v>983</v>
      </c>
      <c r="M1065" s="22" t="n">
        <f>9844</f>
        <v>9844.0</v>
      </c>
      <c r="N1065" s="5" t="s">
        <v>335</v>
      </c>
      <c r="O1065" s="23" t="str">
        <f>"－"</f>
        <v>－</v>
      </c>
      <c r="P1065" s="3" t="s">
        <v>2083</v>
      </c>
      <c r="Q1065" s="21"/>
      <c r="R1065" s="3" t="s">
        <v>2084</v>
      </c>
      <c r="S1065" s="21" t="n">
        <f>105750700</f>
        <v>1.057507E8</v>
      </c>
      <c r="T1065" s="21" t="n">
        <f>104397578</f>
        <v>1.04397578E8</v>
      </c>
      <c r="U1065" s="5" t="s">
        <v>1354</v>
      </c>
      <c r="V1065" s="23" t="n">
        <f>1790868288</f>
        <v>1.790868288E9</v>
      </c>
      <c r="W1065" s="5" t="s">
        <v>335</v>
      </c>
      <c r="X1065" s="23" t="str">
        <f>"－"</f>
        <v>－</v>
      </c>
      <c r="Y1065" s="23" t="n">
        <f>5190</f>
        <v>5190.0</v>
      </c>
      <c r="Z1065" s="21" t="n">
        <f>37487</f>
        <v>37487.0</v>
      </c>
      <c r="AA1065" s="21" t="n">
        <f>28817</f>
        <v>28817.0</v>
      </c>
      <c r="AB1065" s="4" t="s">
        <v>248</v>
      </c>
      <c r="AC1065" s="22" t="n">
        <f>28817</f>
        <v>28817.0</v>
      </c>
      <c r="AD1065" s="5" t="s">
        <v>75</v>
      </c>
      <c r="AE1065" s="23" t="n">
        <f>13488</f>
        <v>13488.0</v>
      </c>
    </row>
    <row r="1066">
      <c r="A1066" s="24" t="s">
        <v>1881</v>
      </c>
      <c r="B1066" s="25" t="s">
        <v>1882</v>
      </c>
      <c r="C1066" s="26" t="s">
        <v>1744</v>
      </c>
      <c r="D1066" s="27" t="s">
        <v>1745</v>
      </c>
      <c r="E1066" s="28" t="s">
        <v>77</v>
      </c>
      <c r="F1066" s="20" t="n">
        <f>122</f>
        <v>122.0</v>
      </c>
      <c r="G1066" s="21" t="n">
        <f>90684</f>
        <v>90684.0</v>
      </c>
      <c r="H1066" s="21"/>
      <c r="I1066" s="21" t="n">
        <f>90674</f>
        <v>90674.0</v>
      </c>
      <c r="J1066" s="21" t="n">
        <f>743</f>
        <v>743.0</v>
      </c>
      <c r="K1066" s="21" t="n">
        <f>743</f>
        <v>743.0</v>
      </c>
      <c r="L1066" s="4" t="s">
        <v>68</v>
      </c>
      <c r="M1066" s="22" t="n">
        <f>19371</f>
        <v>19371.0</v>
      </c>
      <c r="N1066" s="5" t="s">
        <v>260</v>
      </c>
      <c r="O1066" s="23" t="str">
        <f>"－"</f>
        <v>－</v>
      </c>
      <c r="P1066" s="3" t="s">
        <v>2085</v>
      </c>
      <c r="Q1066" s="21"/>
      <c r="R1066" s="3" t="s">
        <v>2086</v>
      </c>
      <c r="S1066" s="21" t="n">
        <f>169956074</f>
        <v>1.69956074E8</v>
      </c>
      <c r="T1066" s="21" t="n">
        <f>169946443</f>
        <v>1.69946443E8</v>
      </c>
      <c r="U1066" s="5" t="s">
        <v>68</v>
      </c>
      <c r="V1066" s="23" t="n">
        <f>3125355300</f>
        <v>3.1253553E9</v>
      </c>
      <c r="W1066" s="5" t="s">
        <v>260</v>
      </c>
      <c r="X1066" s="23" t="str">
        <f>"－"</f>
        <v>－</v>
      </c>
      <c r="Y1066" s="23" t="n">
        <f>3730</f>
        <v>3730.0</v>
      </c>
      <c r="Z1066" s="21" t="n">
        <f>43266</f>
        <v>43266.0</v>
      </c>
      <c r="AA1066" s="21" t="n">
        <f>47577</f>
        <v>47577.0</v>
      </c>
      <c r="AB1066" s="4" t="s">
        <v>68</v>
      </c>
      <c r="AC1066" s="22" t="n">
        <f>53472</f>
        <v>53472.0</v>
      </c>
      <c r="AD1066" s="5" t="s">
        <v>221</v>
      </c>
      <c r="AE1066" s="23" t="n">
        <f>17871</f>
        <v>17871.0</v>
      </c>
    </row>
    <row r="1067">
      <c r="A1067" s="24" t="s">
        <v>1881</v>
      </c>
      <c r="B1067" s="25" t="s">
        <v>1882</v>
      </c>
      <c r="C1067" s="26" t="s">
        <v>1748</v>
      </c>
      <c r="D1067" s="27" t="s">
        <v>1749</v>
      </c>
      <c r="E1067" s="28" t="s">
        <v>77</v>
      </c>
      <c r="F1067" s="20" t="n">
        <f>122</f>
        <v>122.0</v>
      </c>
      <c r="G1067" s="21" t="n">
        <f>56432</f>
        <v>56432.0</v>
      </c>
      <c r="H1067" s="21"/>
      <c r="I1067" s="21" t="n">
        <f>56396</f>
        <v>56396.0</v>
      </c>
      <c r="J1067" s="21" t="n">
        <f>463</f>
        <v>463.0</v>
      </c>
      <c r="K1067" s="21" t="n">
        <f>462</f>
        <v>462.0</v>
      </c>
      <c r="L1067" s="4" t="s">
        <v>202</v>
      </c>
      <c r="M1067" s="22" t="n">
        <f>6050</f>
        <v>6050.0</v>
      </c>
      <c r="N1067" s="5" t="s">
        <v>260</v>
      </c>
      <c r="O1067" s="23" t="str">
        <f>"－"</f>
        <v>－</v>
      </c>
      <c r="P1067" s="3" t="s">
        <v>2087</v>
      </c>
      <c r="Q1067" s="21"/>
      <c r="R1067" s="3" t="s">
        <v>2088</v>
      </c>
      <c r="S1067" s="21" t="n">
        <f>93363427</f>
        <v>9.3363427E7</v>
      </c>
      <c r="T1067" s="21" t="n">
        <f>93134739</f>
        <v>9.3134739E7</v>
      </c>
      <c r="U1067" s="5" t="s">
        <v>212</v>
      </c>
      <c r="V1067" s="23" t="n">
        <f>686165000</f>
        <v>6.86165E8</v>
      </c>
      <c r="W1067" s="5" t="s">
        <v>260</v>
      </c>
      <c r="X1067" s="23" t="str">
        <f>"－"</f>
        <v>－</v>
      </c>
      <c r="Y1067" s="23" t="n">
        <f>14591</f>
        <v>14591.0</v>
      </c>
      <c r="Z1067" s="21" t="n">
        <f>17752</f>
        <v>17752.0</v>
      </c>
      <c r="AA1067" s="21" t="n">
        <f>16602</f>
        <v>16602.0</v>
      </c>
      <c r="AB1067" s="4" t="s">
        <v>93</v>
      </c>
      <c r="AC1067" s="22" t="n">
        <f>20584</f>
        <v>20584.0</v>
      </c>
      <c r="AD1067" s="5" t="s">
        <v>81</v>
      </c>
      <c r="AE1067" s="23" t="n">
        <f>7878</f>
        <v>7878.0</v>
      </c>
    </row>
    <row r="1068">
      <c r="A1068" s="24" t="s">
        <v>1881</v>
      </c>
      <c r="B1068" s="25" t="s">
        <v>1882</v>
      </c>
      <c r="C1068" s="26" t="s">
        <v>1752</v>
      </c>
      <c r="D1068" s="27" t="s">
        <v>1753</v>
      </c>
      <c r="E1068" s="28" t="s">
        <v>77</v>
      </c>
      <c r="F1068" s="20" t="n">
        <f>122</f>
        <v>122.0</v>
      </c>
      <c r="G1068" s="21" t="n">
        <f>147116</f>
        <v>147116.0</v>
      </c>
      <c r="H1068" s="21"/>
      <c r="I1068" s="21" t="n">
        <f>147070</f>
        <v>147070.0</v>
      </c>
      <c r="J1068" s="21" t="n">
        <f>1206</f>
        <v>1206.0</v>
      </c>
      <c r="K1068" s="21" t="n">
        <f>1205</f>
        <v>1205.0</v>
      </c>
      <c r="L1068" s="4" t="s">
        <v>68</v>
      </c>
      <c r="M1068" s="22" t="n">
        <f>21831</f>
        <v>21831.0</v>
      </c>
      <c r="N1068" s="5" t="s">
        <v>260</v>
      </c>
      <c r="O1068" s="23" t="str">
        <f>"－"</f>
        <v>－</v>
      </c>
      <c r="P1068" s="3" t="s">
        <v>2089</v>
      </c>
      <c r="Q1068" s="21"/>
      <c r="R1068" s="3" t="s">
        <v>2090</v>
      </c>
      <c r="S1068" s="21" t="n">
        <f>263319501</f>
        <v>2.63319501E8</v>
      </c>
      <c r="T1068" s="21" t="n">
        <f>263081181</f>
        <v>2.63081181E8</v>
      </c>
      <c r="U1068" s="5" t="s">
        <v>68</v>
      </c>
      <c r="V1068" s="23" t="n">
        <f>3648105300</f>
        <v>3.6481053E9</v>
      </c>
      <c r="W1068" s="5" t="s">
        <v>260</v>
      </c>
      <c r="X1068" s="23" t="str">
        <f>"－"</f>
        <v>－</v>
      </c>
      <c r="Y1068" s="23" t="n">
        <f>18321</f>
        <v>18321.0</v>
      </c>
      <c r="Z1068" s="21" t="n">
        <f>61018</f>
        <v>61018.0</v>
      </c>
      <c r="AA1068" s="21" t="n">
        <f>64179</f>
        <v>64179.0</v>
      </c>
      <c r="AB1068" s="4" t="s">
        <v>68</v>
      </c>
      <c r="AC1068" s="22" t="n">
        <f>74056</f>
        <v>74056.0</v>
      </c>
      <c r="AD1068" s="5" t="s">
        <v>644</v>
      </c>
      <c r="AE1068" s="23" t="n">
        <f>29221</f>
        <v>29221.0</v>
      </c>
    </row>
    <row r="1069">
      <c r="A1069" s="24" t="s">
        <v>1881</v>
      </c>
      <c r="B1069" s="25" t="s">
        <v>1882</v>
      </c>
      <c r="C1069" s="26" t="s">
        <v>1744</v>
      </c>
      <c r="D1069" s="27" t="s">
        <v>1745</v>
      </c>
      <c r="E1069" s="28" t="s">
        <v>83</v>
      </c>
      <c r="F1069" s="20" t="n">
        <f>124</f>
        <v>124.0</v>
      </c>
      <c r="G1069" s="21" t="n">
        <f>66155</f>
        <v>66155.0</v>
      </c>
      <c r="H1069" s="21"/>
      <c r="I1069" s="21" t="n">
        <f>65722</f>
        <v>65722.0</v>
      </c>
      <c r="J1069" s="21" t="n">
        <f>534</f>
        <v>534.0</v>
      </c>
      <c r="K1069" s="21" t="n">
        <f>530</f>
        <v>530.0</v>
      </c>
      <c r="L1069" s="4" t="s">
        <v>71</v>
      </c>
      <c r="M1069" s="22" t="n">
        <f>17212</f>
        <v>17212.0</v>
      </c>
      <c r="N1069" s="5" t="s">
        <v>666</v>
      </c>
      <c r="O1069" s="23" t="str">
        <f>"－"</f>
        <v>－</v>
      </c>
      <c r="P1069" s="3" t="s">
        <v>2091</v>
      </c>
      <c r="Q1069" s="21"/>
      <c r="R1069" s="3" t="s">
        <v>2092</v>
      </c>
      <c r="S1069" s="21" t="n">
        <f>171835957</f>
        <v>1.71835957E8</v>
      </c>
      <c r="T1069" s="21" t="n">
        <f>170901554</f>
        <v>1.70901554E8</v>
      </c>
      <c r="U1069" s="5" t="s">
        <v>143</v>
      </c>
      <c r="V1069" s="23" t="n">
        <f>4135141000</f>
        <v>4.135141E9</v>
      </c>
      <c r="W1069" s="5" t="s">
        <v>666</v>
      </c>
      <c r="X1069" s="23" t="str">
        <f>"－"</f>
        <v>－</v>
      </c>
      <c r="Y1069" s="23" t="n">
        <f>20849</f>
        <v>20849.0</v>
      </c>
      <c r="Z1069" s="21" t="n">
        <f>31290</f>
        <v>31290.0</v>
      </c>
      <c r="AA1069" s="21" t="n">
        <f>49949</f>
        <v>49949.0</v>
      </c>
      <c r="AB1069" s="4" t="s">
        <v>123</v>
      </c>
      <c r="AC1069" s="22" t="n">
        <f>56916</f>
        <v>56916.0</v>
      </c>
      <c r="AD1069" s="5" t="s">
        <v>58</v>
      </c>
      <c r="AE1069" s="23" t="n">
        <f>39413</f>
        <v>39413.0</v>
      </c>
    </row>
    <row r="1070">
      <c r="A1070" s="24" t="s">
        <v>1881</v>
      </c>
      <c r="B1070" s="25" t="s">
        <v>1882</v>
      </c>
      <c r="C1070" s="26" t="s">
        <v>1748</v>
      </c>
      <c r="D1070" s="27" t="s">
        <v>1749</v>
      </c>
      <c r="E1070" s="28" t="s">
        <v>83</v>
      </c>
      <c r="F1070" s="20" t="n">
        <f>124</f>
        <v>124.0</v>
      </c>
      <c r="G1070" s="21" t="n">
        <f>34244</f>
        <v>34244.0</v>
      </c>
      <c r="H1070" s="21"/>
      <c r="I1070" s="21" t="n">
        <f>34244</f>
        <v>34244.0</v>
      </c>
      <c r="J1070" s="21" t="n">
        <f>276</f>
        <v>276.0</v>
      </c>
      <c r="K1070" s="21" t="n">
        <f>276</f>
        <v>276.0</v>
      </c>
      <c r="L1070" s="4" t="s">
        <v>224</v>
      </c>
      <c r="M1070" s="22" t="n">
        <f>4100</f>
        <v>4100.0</v>
      </c>
      <c r="N1070" s="5" t="s">
        <v>666</v>
      </c>
      <c r="O1070" s="23" t="str">
        <f>"－"</f>
        <v>－</v>
      </c>
      <c r="P1070" s="3" t="s">
        <v>2093</v>
      </c>
      <c r="Q1070" s="21"/>
      <c r="R1070" s="3" t="s">
        <v>2093</v>
      </c>
      <c r="S1070" s="21" t="n">
        <f>85693328</f>
        <v>8.5693328E7</v>
      </c>
      <c r="T1070" s="21" t="n">
        <f>85693328</f>
        <v>8.5693328E7</v>
      </c>
      <c r="U1070" s="5" t="s">
        <v>71</v>
      </c>
      <c r="V1070" s="23" t="n">
        <f>3430621000</f>
        <v>3.430621E9</v>
      </c>
      <c r="W1070" s="5" t="s">
        <v>666</v>
      </c>
      <c r="X1070" s="23" t="str">
        <f>"－"</f>
        <v>－</v>
      </c>
      <c r="Y1070" s="23" t="n">
        <f>6526</f>
        <v>6526.0</v>
      </c>
      <c r="Z1070" s="21" t="n">
        <f>12683</f>
        <v>12683.0</v>
      </c>
      <c r="AA1070" s="21" t="n">
        <f>11306</f>
        <v>11306.0</v>
      </c>
      <c r="AB1070" s="4" t="s">
        <v>123</v>
      </c>
      <c r="AC1070" s="22" t="n">
        <f>24849</f>
        <v>24849.0</v>
      </c>
      <c r="AD1070" s="5" t="s">
        <v>88</v>
      </c>
      <c r="AE1070" s="23" t="n">
        <f>6139</f>
        <v>6139.0</v>
      </c>
    </row>
    <row r="1071">
      <c r="A1071" s="24" t="s">
        <v>1881</v>
      </c>
      <c r="B1071" s="25" t="s">
        <v>1882</v>
      </c>
      <c r="C1071" s="26" t="s">
        <v>1752</v>
      </c>
      <c r="D1071" s="27" t="s">
        <v>1753</v>
      </c>
      <c r="E1071" s="28" t="s">
        <v>83</v>
      </c>
      <c r="F1071" s="20" t="n">
        <f>124</f>
        <v>124.0</v>
      </c>
      <c r="G1071" s="21" t="n">
        <f>100399</f>
        <v>100399.0</v>
      </c>
      <c r="H1071" s="21"/>
      <c r="I1071" s="21" t="n">
        <f>99966</f>
        <v>99966.0</v>
      </c>
      <c r="J1071" s="21" t="n">
        <f>810</f>
        <v>810.0</v>
      </c>
      <c r="K1071" s="21" t="n">
        <f>806</f>
        <v>806.0</v>
      </c>
      <c r="L1071" s="4" t="s">
        <v>71</v>
      </c>
      <c r="M1071" s="22" t="n">
        <f>19305</f>
        <v>19305.0</v>
      </c>
      <c r="N1071" s="5" t="s">
        <v>666</v>
      </c>
      <c r="O1071" s="23" t="str">
        <f>"－"</f>
        <v>－</v>
      </c>
      <c r="P1071" s="3" t="s">
        <v>2094</v>
      </c>
      <c r="Q1071" s="21"/>
      <c r="R1071" s="3" t="s">
        <v>2095</v>
      </c>
      <c r="S1071" s="21" t="n">
        <f>257529285</f>
        <v>2.57529285E8</v>
      </c>
      <c r="T1071" s="21" t="n">
        <f>256594882</f>
        <v>2.56594882E8</v>
      </c>
      <c r="U1071" s="5" t="s">
        <v>71</v>
      </c>
      <c r="V1071" s="23" t="n">
        <f>7059875100</f>
        <v>7.0598751E9</v>
      </c>
      <c r="W1071" s="5" t="s">
        <v>666</v>
      </c>
      <c r="X1071" s="23" t="str">
        <f>"－"</f>
        <v>－</v>
      </c>
      <c r="Y1071" s="23" t="n">
        <f>27375</f>
        <v>27375.0</v>
      </c>
      <c r="Z1071" s="21" t="n">
        <f>43973</f>
        <v>43973.0</v>
      </c>
      <c r="AA1071" s="21" t="n">
        <f>61255</f>
        <v>61255.0</v>
      </c>
      <c r="AB1071" s="4" t="s">
        <v>123</v>
      </c>
      <c r="AC1071" s="22" t="n">
        <f>81765</f>
        <v>81765.0</v>
      </c>
      <c r="AD1071" s="5" t="s">
        <v>58</v>
      </c>
      <c r="AE1071" s="23" t="n">
        <f>47179</f>
        <v>47179.0</v>
      </c>
    </row>
    <row r="1072">
      <c r="A1072" s="24" t="s">
        <v>1881</v>
      </c>
      <c r="B1072" s="25" t="s">
        <v>1882</v>
      </c>
      <c r="C1072" s="26" t="s">
        <v>1744</v>
      </c>
      <c r="D1072" s="27" t="s">
        <v>1745</v>
      </c>
      <c r="E1072" s="28" t="s">
        <v>89</v>
      </c>
      <c r="F1072" s="20" t="n">
        <f>121</f>
        <v>121.0</v>
      </c>
      <c r="G1072" s="21" t="n">
        <f>67938</f>
        <v>67938.0</v>
      </c>
      <c r="H1072" s="21"/>
      <c r="I1072" s="21" t="n">
        <f>67938</f>
        <v>67938.0</v>
      </c>
      <c r="J1072" s="21" t="n">
        <f>561</f>
        <v>561.0</v>
      </c>
      <c r="K1072" s="21" t="n">
        <f>561</f>
        <v>561.0</v>
      </c>
      <c r="L1072" s="4" t="s">
        <v>54</v>
      </c>
      <c r="M1072" s="22" t="n">
        <f>9350</f>
        <v>9350.0</v>
      </c>
      <c r="N1072" s="5" t="s">
        <v>268</v>
      </c>
      <c r="O1072" s="23" t="str">
        <f>"－"</f>
        <v>－</v>
      </c>
      <c r="P1072" s="3" t="s">
        <v>2096</v>
      </c>
      <c r="Q1072" s="21"/>
      <c r="R1072" s="3" t="s">
        <v>2096</v>
      </c>
      <c r="S1072" s="21" t="n">
        <f>208423666</f>
        <v>2.08423666E8</v>
      </c>
      <c r="T1072" s="21" t="n">
        <f>208423666</f>
        <v>2.08423666E8</v>
      </c>
      <c r="U1072" s="5" t="s">
        <v>54</v>
      </c>
      <c r="V1072" s="23" t="n">
        <f>4008700000</f>
        <v>4.0087E9</v>
      </c>
      <c r="W1072" s="5" t="s">
        <v>268</v>
      </c>
      <c r="X1072" s="23" t="str">
        <f>"－"</f>
        <v>－</v>
      </c>
      <c r="Y1072" s="23" t="n">
        <f>12633</f>
        <v>12633.0</v>
      </c>
      <c r="Z1072" s="21" t="n">
        <f>23475</f>
        <v>23475.0</v>
      </c>
      <c r="AA1072" s="21" t="n">
        <f>58050</f>
        <v>58050.0</v>
      </c>
      <c r="AB1072" s="4" t="s">
        <v>901</v>
      </c>
      <c r="AC1072" s="22" t="n">
        <f>58841</f>
        <v>58841.0</v>
      </c>
      <c r="AD1072" s="5" t="s">
        <v>64</v>
      </c>
      <c r="AE1072" s="23" t="n">
        <f>37116</f>
        <v>37116.0</v>
      </c>
    </row>
    <row r="1073">
      <c r="A1073" s="24" t="s">
        <v>1881</v>
      </c>
      <c r="B1073" s="25" t="s">
        <v>1882</v>
      </c>
      <c r="C1073" s="26" t="s">
        <v>1748</v>
      </c>
      <c r="D1073" s="27" t="s">
        <v>1749</v>
      </c>
      <c r="E1073" s="28" t="s">
        <v>89</v>
      </c>
      <c r="F1073" s="20" t="n">
        <f>121</f>
        <v>121.0</v>
      </c>
      <c r="G1073" s="21" t="n">
        <f>79270</f>
        <v>79270.0</v>
      </c>
      <c r="H1073" s="21"/>
      <c r="I1073" s="21" t="n">
        <f>79270</f>
        <v>79270.0</v>
      </c>
      <c r="J1073" s="21" t="n">
        <f>655</f>
        <v>655.0</v>
      </c>
      <c r="K1073" s="21" t="n">
        <f>655</f>
        <v>655.0</v>
      </c>
      <c r="L1073" s="4" t="s">
        <v>208</v>
      </c>
      <c r="M1073" s="22" t="n">
        <f>6500</f>
        <v>6500.0</v>
      </c>
      <c r="N1073" s="5" t="s">
        <v>268</v>
      </c>
      <c r="O1073" s="23" t="str">
        <f>"－"</f>
        <v>－</v>
      </c>
      <c r="P1073" s="3" t="s">
        <v>2097</v>
      </c>
      <c r="Q1073" s="21"/>
      <c r="R1073" s="3" t="s">
        <v>2097</v>
      </c>
      <c r="S1073" s="21" t="n">
        <f>216972311</f>
        <v>2.16972311E8</v>
      </c>
      <c r="T1073" s="21" t="n">
        <f>216972311</f>
        <v>2.16972311E8</v>
      </c>
      <c r="U1073" s="5" t="s">
        <v>208</v>
      </c>
      <c r="V1073" s="23" t="n">
        <f>2821000000</f>
        <v>2.821E9</v>
      </c>
      <c r="W1073" s="5" t="s">
        <v>268</v>
      </c>
      <c r="X1073" s="23" t="str">
        <f>"－"</f>
        <v>－</v>
      </c>
      <c r="Y1073" s="23" t="n">
        <f>15105</f>
        <v>15105.0</v>
      </c>
      <c r="Z1073" s="21" t="n">
        <f>28528</f>
        <v>28528.0</v>
      </c>
      <c r="AA1073" s="21" t="n">
        <f>21962</f>
        <v>21962.0</v>
      </c>
      <c r="AB1073" s="4" t="s">
        <v>1086</v>
      </c>
      <c r="AC1073" s="22" t="n">
        <f>33772</f>
        <v>33772.0</v>
      </c>
      <c r="AD1073" s="5" t="s">
        <v>268</v>
      </c>
      <c r="AE1073" s="23" t="n">
        <f>11306</f>
        <v>11306.0</v>
      </c>
    </row>
    <row r="1074">
      <c r="A1074" s="24" t="s">
        <v>1881</v>
      </c>
      <c r="B1074" s="25" t="s">
        <v>1882</v>
      </c>
      <c r="C1074" s="26" t="s">
        <v>1752</v>
      </c>
      <c r="D1074" s="27" t="s">
        <v>1753</v>
      </c>
      <c r="E1074" s="28" t="s">
        <v>89</v>
      </c>
      <c r="F1074" s="20" t="n">
        <f>121</f>
        <v>121.0</v>
      </c>
      <c r="G1074" s="21" t="n">
        <f>147208</f>
        <v>147208.0</v>
      </c>
      <c r="H1074" s="21"/>
      <c r="I1074" s="21" t="n">
        <f>147208</f>
        <v>147208.0</v>
      </c>
      <c r="J1074" s="21" t="n">
        <f>1217</f>
        <v>1217.0</v>
      </c>
      <c r="K1074" s="21" t="n">
        <f>1217</f>
        <v>1217.0</v>
      </c>
      <c r="L1074" s="4" t="s">
        <v>54</v>
      </c>
      <c r="M1074" s="22" t="n">
        <f>9856</f>
        <v>9856.0</v>
      </c>
      <c r="N1074" s="5" t="s">
        <v>268</v>
      </c>
      <c r="O1074" s="23" t="str">
        <f>"－"</f>
        <v>－</v>
      </c>
      <c r="P1074" s="3" t="s">
        <v>2098</v>
      </c>
      <c r="Q1074" s="21"/>
      <c r="R1074" s="3" t="s">
        <v>2098</v>
      </c>
      <c r="S1074" s="21" t="n">
        <f>425395977</f>
        <v>4.25395977E8</v>
      </c>
      <c r="T1074" s="21" t="n">
        <f>425395977</f>
        <v>4.25395977E8</v>
      </c>
      <c r="U1074" s="5" t="s">
        <v>54</v>
      </c>
      <c r="V1074" s="23" t="n">
        <f>4765080000</f>
        <v>4.76508E9</v>
      </c>
      <c r="W1074" s="5" t="s">
        <v>268</v>
      </c>
      <c r="X1074" s="23" t="str">
        <f>"－"</f>
        <v>－</v>
      </c>
      <c r="Y1074" s="23" t="n">
        <f>27738</f>
        <v>27738.0</v>
      </c>
      <c r="Z1074" s="21" t="n">
        <f>52003</f>
        <v>52003.0</v>
      </c>
      <c r="AA1074" s="21" t="n">
        <f>80012</f>
        <v>80012.0</v>
      </c>
      <c r="AB1074" s="4" t="s">
        <v>1086</v>
      </c>
      <c r="AC1074" s="22" t="n">
        <f>92037</f>
        <v>92037.0</v>
      </c>
      <c r="AD1074" s="5" t="s">
        <v>64</v>
      </c>
      <c r="AE1074" s="23" t="n">
        <f>57647</f>
        <v>57647.0</v>
      </c>
    </row>
    <row r="1075">
      <c r="A1075" s="24" t="s">
        <v>1881</v>
      </c>
      <c r="B1075" s="25" t="s">
        <v>1882</v>
      </c>
      <c r="C1075" s="26" t="s">
        <v>1744</v>
      </c>
      <c r="D1075" s="27" t="s">
        <v>1745</v>
      </c>
      <c r="E1075" s="28" t="s">
        <v>95</v>
      </c>
      <c r="F1075" s="20" t="n">
        <f>124</f>
        <v>124.0</v>
      </c>
      <c r="G1075" s="21" t="n">
        <f>32497</f>
        <v>32497.0</v>
      </c>
      <c r="H1075" s="21"/>
      <c r="I1075" s="21" t="n">
        <f>32497</f>
        <v>32497.0</v>
      </c>
      <c r="J1075" s="21" t="n">
        <f>262</f>
        <v>262.0</v>
      </c>
      <c r="K1075" s="21" t="n">
        <f>262</f>
        <v>262.0</v>
      </c>
      <c r="L1075" s="4" t="s">
        <v>128</v>
      </c>
      <c r="M1075" s="22" t="n">
        <f>12826</f>
        <v>12826.0</v>
      </c>
      <c r="N1075" s="5" t="s">
        <v>672</v>
      </c>
      <c r="O1075" s="23" t="str">
        <f>"－"</f>
        <v>－</v>
      </c>
      <c r="P1075" s="3" t="s">
        <v>2099</v>
      </c>
      <c r="Q1075" s="21"/>
      <c r="R1075" s="3" t="s">
        <v>2099</v>
      </c>
      <c r="S1075" s="21" t="n">
        <f>96486834</f>
        <v>9.6486834E7</v>
      </c>
      <c r="T1075" s="21" t="n">
        <f>96486834</f>
        <v>9.6486834E7</v>
      </c>
      <c r="U1075" s="5" t="s">
        <v>128</v>
      </c>
      <c r="V1075" s="23" t="n">
        <f>4822166000</f>
        <v>4.822166E9</v>
      </c>
      <c r="W1075" s="5" t="s">
        <v>672</v>
      </c>
      <c r="X1075" s="23" t="str">
        <f>"－"</f>
        <v>－</v>
      </c>
      <c r="Y1075" s="23" t="n">
        <f>1450</f>
        <v>1450.0</v>
      </c>
      <c r="Z1075" s="21" t="n">
        <f>24655</f>
        <v>24655.0</v>
      </c>
      <c r="AA1075" s="21" t="n">
        <f>63580</f>
        <v>63580.0</v>
      </c>
      <c r="AB1075" s="4" t="s">
        <v>76</v>
      </c>
      <c r="AC1075" s="22" t="n">
        <f>67788</f>
        <v>67788.0</v>
      </c>
      <c r="AD1075" s="5" t="s">
        <v>143</v>
      </c>
      <c r="AE1075" s="23" t="n">
        <f>51092</f>
        <v>51092.0</v>
      </c>
    </row>
    <row r="1076">
      <c r="A1076" s="24" t="s">
        <v>1881</v>
      </c>
      <c r="B1076" s="25" t="s">
        <v>1882</v>
      </c>
      <c r="C1076" s="26" t="s">
        <v>1748</v>
      </c>
      <c r="D1076" s="27" t="s">
        <v>1749</v>
      </c>
      <c r="E1076" s="28" t="s">
        <v>95</v>
      </c>
      <c r="F1076" s="20" t="n">
        <f>124</f>
        <v>124.0</v>
      </c>
      <c r="G1076" s="21" t="n">
        <f>32266</f>
        <v>32266.0</v>
      </c>
      <c r="H1076" s="21"/>
      <c r="I1076" s="21" t="n">
        <f>32266</f>
        <v>32266.0</v>
      </c>
      <c r="J1076" s="21" t="n">
        <f>260</f>
        <v>260.0</v>
      </c>
      <c r="K1076" s="21" t="n">
        <f>260</f>
        <v>260.0</v>
      </c>
      <c r="L1076" s="4" t="s">
        <v>450</v>
      </c>
      <c r="M1076" s="22" t="n">
        <f>4176</f>
        <v>4176.0</v>
      </c>
      <c r="N1076" s="5" t="s">
        <v>666</v>
      </c>
      <c r="O1076" s="23" t="str">
        <f>"－"</f>
        <v>－</v>
      </c>
      <c r="P1076" s="3" t="s">
        <v>2100</v>
      </c>
      <c r="Q1076" s="21"/>
      <c r="R1076" s="3" t="s">
        <v>2100</v>
      </c>
      <c r="S1076" s="21" t="n">
        <f>81842500</f>
        <v>8.18425E7</v>
      </c>
      <c r="T1076" s="21" t="n">
        <f>81842500</f>
        <v>8.18425E7</v>
      </c>
      <c r="U1076" s="5" t="s">
        <v>61</v>
      </c>
      <c r="V1076" s="23" t="n">
        <f>1973952000</f>
        <v>1.973952E9</v>
      </c>
      <c r="W1076" s="5" t="s">
        <v>666</v>
      </c>
      <c r="X1076" s="23" t="str">
        <f>"－"</f>
        <v>－</v>
      </c>
      <c r="Y1076" s="23" t="n">
        <f>6374</f>
        <v>6374.0</v>
      </c>
      <c r="Z1076" s="21" t="n">
        <f>20193</f>
        <v>20193.0</v>
      </c>
      <c r="AA1076" s="21" t="n">
        <f>20602</f>
        <v>20602.0</v>
      </c>
      <c r="AB1076" s="4" t="s">
        <v>784</v>
      </c>
      <c r="AC1076" s="22" t="n">
        <f>23512</f>
        <v>23512.0</v>
      </c>
      <c r="AD1076" s="5" t="s">
        <v>143</v>
      </c>
      <c r="AE1076" s="23" t="n">
        <f>7868</f>
        <v>7868.0</v>
      </c>
    </row>
    <row r="1077">
      <c r="A1077" s="24" t="s">
        <v>1881</v>
      </c>
      <c r="B1077" s="25" t="s">
        <v>1882</v>
      </c>
      <c r="C1077" s="26" t="s">
        <v>1752</v>
      </c>
      <c r="D1077" s="27" t="s">
        <v>1753</v>
      </c>
      <c r="E1077" s="28" t="s">
        <v>95</v>
      </c>
      <c r="F1077" s="20" t="n">
        <f>124</f>
        <v>124.0</v>
      </c>
      <c r="G1077" s="21" t="n">
        <f>64763</f>
        <v>64763.0</v>
      </c>
      <c r="H1077" s="21"/>
      <c r="I1077" s="21" t="n">
        <f>64763</f>
        <v>64763.0</v>
      </c>
      <c r="J1077" s="21" t="n">
        <f>522</f>
        <v>522.0</v>
      </c>
      <c r="K1077" s="21" t="n">
        <f>522</f>
        <v>522.0</v>
      </c>
      <c r="L1077" s="4" t="s">
        <v>128</v>
      </c>
      <c r="M1077" s="22" t="n">
        <f>12826</f>
        <v>12826.0</v>
      </c>
      <c r="N1077" s="5" t="s">
        <v>672</v>
      </c>
      <c r="O1077" s="23" t="str">
        <f>"－"</f>
        <v>－</v>
      </c>
      <c r="P1077" s="3" t="s">
        <v>2101</v>
      </c>
      <c r="Q1077" s="21"/>
      <c r="R1077" s="3" t="s">
        <v>2101</v>
      </c>
      <c r="S1077" s="21" t="n">
        <f>178329335</f>
        <v>1.78329335E8</v>
      </c>
      <c r="T1077" s="21" t="n">
        <f>178329335</f>
        <v>1.78329335E8</v>
      </c>
      <c r="U1077" s="5" t="s">
        <v>128</v>
      </c>
      <c r="V1077" s="23" t="n">
        <f>4822166000</f>
        <v>4.822166E9</v>
      </c>
      <c r="W1077" s="5" t="s">
        <v>672</v>
      </c>
      <c r="X1077" s="23" t="str">
        <f>"－"</f>
        <v>－</v>
      </c>
      <c r="Y1077" s="23" t="n">
        <f>7824</f>
        <v>7824.0</v>
      </c>
      <c r="Z1077" s="21" t="n">
        <f>44848</f>
        <v>44848.0</v>
      </c>
      <c r="AA1077" s="21" t="n">
        <f>84182</f>
        <v>84182.0</v>
      </c>
      <c r="AB1077" s="4" t="s">
        <v>71</v>
      </c>
      <c r="AC1077" s="22" t="n">
        <f>85180</f>
        <v>85180.0</v>
      </c>
      <c r="AD1077" s="5" t="s">
        <v>143</v>
      </c>
      <c r="AE1077" s="23" t="n">
        <f>58960</f>
        <v>58960.0</v>
      </c>
    </row>
    <row r="1078">
      <c r="A1078" s="24" t="s">
        <v>1881</v>
      </c>
      <c r="B1078" s="25" t="s">
        <v>1882</v>
      </c>
      <c r="C1078" s="26" t="s">
        <v>1744</v>
      </c>
      <c r="D1078" s="27" t="s">
        <v>1745</v>
      </c>
      <c r="E1078" s="28" t="s">
        <v>101</v>
      </c>
      <c r="F1078" s="20" t="n">
        <f>120</f>
        <v>120.0</v>
      </c>
      <c r="G1078" s="21" t="n">
        <f>58552</f>
        <v>58552.0</v>
      </c>
      <c r="H1078" s="21"/>
      <c r="I1078" s="21" t="n">
        <f>58552</f>
        <v>58552.0</v>
      </c>
      <c r="J1078" s="21" t="n">
        <f>488</f>
        <v>488.0</v>
      </c>
      <c r="K1078" s="21" t="n">
        <f>488</f>
        <v>488.0</v>
      </c>
      <c r="L1078" s="4" t="s">
        <v>93</v>
      </c>
      <c r="M1078" s="22" t="n">
        <f>20163</f>
        <v>20163.0</v>
      </c>
      <c r="N1078" s="5" t="s">
        <v>260</v>
      </c>
      <c r="O1078" s="23" t="str">
        <f>"－"</f>
        <v>－</v>
      </c>
      <c r="P1078" s="3" t="s">
        <v>2102</v>
      </c>
      <c r="Q1078" s="21"/>
      <c r="R1078" s="3" t="s">
        <v>2102</v>
      </c>
      <c r="S1078" s="21" t="n">
        <f>214444284</f>
        <v>2.14444284E8</v>
      </c>
      <c r="T1078" s="21" t="n">
        <f>214444284</f>
        <v>2.14444284E8</v>
      </c>
      <c r="U1078" s="5" t="s">
        <v>93</v>
      </c>
      <c r="V1078" s="23" t="n">
        <f>7329519037</f>
        <v>7.329519037E9</v>
      </c>
      <c r="W1078" s="5" t="s">
        <v>260</v>
      </c>
      <c r="X1078" s="23" t="str">
        <f>"－"</f>
        <v>－</v>
      </c>
      <c r="Y1078" s="23" t="n">
        <f>4627</f>
        <v>4627.0</v>
      </c>
      <c r="Z1078" s="21" t="n">
        <f>36633</f>
        <v>36633.0</v>
      </c>
      <c r="AA1078" s="21" t="n">
        <f>72097</f>
        <v>72097.0</v>
      </c>
      <c r="AB1078" s="4" t="s">
        <v>568</v>
      </c>
      <c r="AC1078" s="22" t="n">
        <f>72097</f>
        <v>72097.0</v>
      </c>
      <c r="AD1078" s="5" t="s">
        <v>212</v>
      </c>
      <c r="AE1078" s="23" t="n">
        <f>48362</f>
        <v>48362.0</v>
      </c>
    </row>
    <row r="1079">
      <c r="A1079" s="24" t="s">
        <v>1881</v>
      </c>
      <c r="B1079" s="25" t="s">
        <v>1882</v>
      </c>
      <c r="C1079" s="26" t="s">
        <v>1748</v>
      </c>
      <c r="D1079" s="27" t="s">
        <v>1749</v>
      </c>
      <c r="E1079" s="28" t="s">
        <v>101</v>
      </c>
      <c r="F1079" s="20" t="n">
        <f>120</f>
        <v>120.0</v>
      </c>
      <c r="G1079" s="21" t="n">
        <f>33335</f>
        <v>33335.0</v>
      </c>
      <c r="H1079" s="21"/>
      <c r="I1079" s="21" t="n">
        <f>33335</f>
        <v>33335.0</v>
      </c>
      <c r="J1079" s="21" t="n">
        <f>278</f>
        <v>278.0</v>
      </c>
      <c r="K1079" s="21" t="n">
        <f>278</f>
        <v>278.0</v>
      </c>
      <c r="L1079" s="4" t="s">
        <v>1116</v>
      </c>
      <c r="M1079" s="22" t="n">
        <f>4236</f>
        <v>4236.0</v>
      </c>
      <c r="N1079" s="5" t="s">
        <v>994</v>
      </c>
      <c r="O1079" s="23" t="str">
        <f>"－"</f>
        <v>－</v>
      </c>
      <c r="P1079" s="3" t="s">
        <v>2103</v>
      </c>
      <c r="Q1079" s="21"/>
      <c r="R1079" s="3" t="s">
        <v>2103</v>
      </c>
      <c r="S1079" s="21" t="n">
        <f>96260026</f>
        <v>9.6260026E7</v>
      </c>
      <c r="T1079" s="21" t="n">
        <f>96260026</f>
        <v>9.6260026E7</v>
      </c>
      <c r="U1079" s="5" t="s">
        <v>155</v>
      </c>
      <c r="V1079" s="23" t="n">
        <f>1943264000</f>
        <v>1.943264E9</v>
      </c>
      <c r="W1079" s="5" t="s">
        <v>994</v>
      </c>
      <c r="X1079" s="23" t="str">
        <f>"－"</f>
        <v>－</v>
      </c>
      <c r="Y1079" s="23" t="n">
        <f>3358</f>
        <v>3358.0</v>
      </c>
      <c r="Z1079" s="21" t="n">
        <f>13869</f>
        <v>13869.0</v>
      </c>
      <c r="AA1079" s="21" t="n">
        <f>13630</f>
        <v>13630.0</v>
      </c>
      <c r="AB1079" s="4" t="s">
        <v>603</v>
      </c>
      <c r="AC1079" s="22" t="n">
        <f>23046</f>
        <v>23046.0</v>
      </c>
      <c r="AD1079" s="5" t="s">
        <v>212</v>
      </c>
      <c r="AE1079" s="23" t="n">
        <f>9717</f>
        <v>9717.0</v>
      </c>
    </row>
    <row r="1080">
      <c r="A1080" s="24" t="s">
        <v>1881</v>
      </c>
      <c r="B1080" s="25" t="s">
        <v>1882</v>
      </c>
      <c r="C1080" s="26" t="s">
        <v>1752</v>
      </c>
      <c r="D1080" s="27" t="s">
        <v>1753</v>
      </c>
      <c r="E1080" s="28" t="s">
        <v>101</v>
      </c>
      <c r="F1080" s="20" t="n">
        <f>120</f>
        <v>120.0</v>
      </c>
      <c r="G1080" s="21" t="n">
        <f>91887</f>
        <v>91887.0</v>
      </c>
      <c r="H1080" s="21"/>
      <c r="I1080" s="21" t="n">
        <f>91887</f>
        <v>91887.0</v>
      </c>
      <c r="J1080" s="21" t="n">
        <f>766</f>
        <v>766.0</v>
      </c>
      <c r="K1080" s="21" t="n">
        <f>766</f>
        <v>766.0</v>
      </c>
      <c r="L1080" s="4" t="s">
        <v>93</v>
      </c>
      <c r="M1080" s="22" t="n">
        <f>20163</f>
        <v>20163.0</v>
      </c>
      <c r="N1080" s="5" t="s">
        <v>994</v>
      </c>
      <c r="O1080" s="23" t="str">
        <f>"－"</f>
        <v>－</v>
      </c>
      <c r="P1080" s="3" t="s">
        <v>2104</v>
      </c>
      <c r="Q1080" s="21"/>
      <c r="R1080" s="3" t="s">
        <v>2104</v>
      </c>
      <c r="S1080" s="21" t="n">
        <f>310704310</f>
        <v>3.1070431E8</v>
      </c>
      <c r="T1080" s="21" t="n">
        <f>310704310</f>
        <v>3.1070431E8</v>
      </c>
      <c r="U1080" s="5" t="s">
        <v>93</v>
      </c>
      <c r="V1080" s="23" t="n">
        <f>7329519037</f>
        <v>7.329519037E9</v>
      </c>
      <c r="W1080" s="5" t="s">
        <v>994</v>
      </c>
      <c r="X1080" s="23" t="str">
        <f>"－"</f>
        <v>－</v>
      </c>
      <c r="Y1080" s="23" t="n">
        <f>7985</f>
        <v>7985.0</v>
      </c>
      <c r="Z1080" s="21" t="n">
        <f>50502</f>
        <v>50502.0</v>
      </c>
      <c r="AA1080" s="21" t="n">
        <f>85727</f>
        <v>85727.0</v>
      </c>
      <c r="AB1080" s="4" t="s">
        <v>865</v>
      </c>
      <c r="AC1080" s="22" t="n">
        <f>87189</f>
        <v>87189.0</v>
      </c>
      <c r="AD1080" s="5" t="s">
        <v>212</v>
      </c>
      <c r="AE1080" s="23" t="n">
        <f>58079</f>
        <v>58079.0</v>
      </c>
    </row>
    <row r="1081">
      <c r="A1081" s="24" t="s">
        <v>1881</v>
      </c>
      <c r="B1081" s="25" t="s">
        <v>1882</v>
      </c>
      <c r="C1081" s="26" t="s">
        <v>1744</v>
      </c>
      <c r="D1081" s="27" t="s">
        <v>1745</v>
      </c>
      <c r="E1081" s="28" t="s">
        <v>106</v>
      </c>
      <c r="F1081" s="20" t="n">
        <f>121</f>
        <v>121.0</v>
      </c>
      <c r="G1081" s="21" t="n">
        <f>103261</f>
        <v>103261.0</v>
      </c>
      <c r="H1081" s="21"/>
      <c r="I1081" s="21" t="n">
        <f>103060</f>
        <v>103060.0</v>
      </c>
      <c r="J1081" s="21" t="n">
        <f>853</f>
        <v>853.0</v>
      </c>
      <c r="K1081" s="21" t="n">
        <f>852</f>
        <v>852.0</v>
      </c>
      <c r="L1081" s="4" t="s">
        <v>61</v>
      </c>
      <c r="M1081" s="22" t="n">
        <f>21464</f>
        <v>21464.0</v>
      </c>
      <c r="N1081" s="5" t="s">
        <v>263</v>
      </c>
      <c r="O1081" s="23" t="str">
        <f>"－"</f>
        <v>－</v>
      </c>
      <c r="P1081" s="3" t="s">
        <v>2105</v>
      </c>
      <c r="Q1081" s="21"/>
      <c r="R1081" s="3" t="s">
        <v>2106</v>
      </c>
      <c r="S1081" s="21" t="n">
        <f>254367723</f>
        <v>2.54367723E8</v>
      </c>
      <c r="T1081" s="21" t="n">
        <f>254160409</f>
        <v>2.54160409E8</v>
      </c>
      <c r="U1081" s="5" t="s">
        <v>61</v>
      </c>
      <c r="V1081" s="23" t="n">
        <f>6099314700</f>
        <v>6.0993147E9</v>
      </c>
      <c r="W1081" s="5" t="s">
        <v>263</v>
      </c>
      <c r="X1081" s="23" t="str">
        <f>"－"</f>
        <v>－</v>
      </c>
      <c r="Y1081" s="23" t="n">
        <f>3695</f>
        <v>3695.0</v>
      </c>
      <c r="Z1081" s="21" t="n">
        <f>42556</f>
        <v>42556.0</v>
      </c>
      <c r="AA1081" s="21" t="n">
        <f>86835</f>
        <v>86835.0</v>
      </c>
      <c r="AB1081" s="4" t="s">
        <v>144</v>
      </c>
      <c r="AC1081" s="22" t="n">
        <f>107485</f>
        <v>107485.0</v>
      </c>
      <c r="AD1081" s="5" t="s">
        <v>335</v>
      </c>
      <c r="AE1081" s="23" t="n">
        <f>72105</f>
        <v>72105.0</v>
      </c>
    </row>
    <row r="1082">
      <c r="A1082" s="24" t="s">
        <v>1881</v>
      </c>
      <c r="B1082" s="25" t="s">
        <v>1882</v>
      </c>
      <c r="C1082" s="26" t="s">
        <v>1748</v>
      </c>
      <c r="D1082" s="27" t="s">
        <v>1749</v>
      </c>
      <c r="E1082" s="28" t="s">
        <v>106</v>
      </c>
      <c r="F1082" s="20" t="n">
        <f>121</f>
        <v>121.0</v>
      </c>
      <c r="G1082" s="21" t="n">
        <f>39434</f>
        <v>39434.0</v>
      </c>
      <c r="H1082" s="21"/>
      <c r="I1082" s="21" t="n">
        <f>39434</f>
        <v>39434.0</v>
      </c>
      <c r="J1082" s="21" t="n">
        <f>326</f>
        <v>326.0</v>
      </c>
      <c r="K1082" s="21" t="n">
        <f>326</f>
        <v>326.0</v>
      </c>
      <c r="L1082" s="4" t="s">
        <v>61</v>
      </c>
      <c r="M1082" s="22" t="n">
        <f>4091</f>
        <v>4091.0</v>
      </c>
      <c r="N1082" s="5" t="s">
        <v>335</v>
      </c>
      <c r="O1082" s="23" t="str">
        <f>"－"</f>
        <v>－</v>
      </c>
      <c r="P1082" s="3" t="s">
        <v>2107</v>
      </c>
      <c r="Q1082" s="21"/>
      <c r="R1082" s="3" t="s">
        <v>2107</v>
      </c>
      <c r="S1082" s="21" t="n">
        <f>116889046</f>
        <v>1.16889046E8</v>
      </c>
      <c r="T1082" s="21" t="n">
        <f>116889046</f>
        <v>1.16889046E8</v>
      </c>
      <c r="U1082" s="5" t="s">
        <v>281</v>
      </c>
      <c r="V1082" s="23" t="n">
        <f>2420820000</f>
        <v>2.42082E9</v>
      </c>
      <c r="W1082" s="5" t="s">
        <v>335</v>
      </c>
      <c r="X1082" s="23" t="str">
        <f>"－"</f>
        <v>－</v>
      </c>
      <c r="Y1082" s="23" t="n">
        <f>4650</f>
        <v>4650.0</v>
      </c>
      <c r="Z1082" s="21" t="n">
        <f>15944</f>
        <v>15944.0</v>
      </c>
      <c r="AA1082" s="21" t="n">
        <f>21801</f>
        <v>21801.0</v>
      </c>
      <c r="AB1082" s="4" t="s">
        <v>144</v>
      </c>
      <c r="AC1082" s="22" t="n">
        <f>22326</f>
        <v>22326.0</v>
      </c>
      <c r="AD1082" s="5" t="s">
        <v>1162</v>
      </c>
      <c r="AE1082" s="23" t="n">
        <f>13039</f>
        <v>13039.0</v>
      </c>
    </row>
    <row r="1083">
      <c r="A1083" s="24" t="s">
        <v>1881</v>
      </c>
      <c r="B1083" s="25" t="s">
        <v>1882</v>
      </c>
      <c r="C1083" s="26" t="s">
        <v>1752</v>
      </c>
      <c r="D1083" s="27" t="s">
        <v>1753</v>
      </c>
      <c r="E1083" s="28" t="s">
        <v>106</v>
      </c>
      <c r="F1083" s="20" t="n">
        <f>121</f>
        <v>121.0</v>
      </c>
      <c r="G1083" s="21" t="n">
        <f>142695</f>
        <v>142695.0</v>
      </c>
      <c r="H1083" s="21"/>
      <c r="I1083" s="21" t="n">
        <f>142494</f>
        <v>142494.0</v>
      </c>
      <c r="J1083" s="21" t="n">
        <f>1179</f>
        <v>1179.0</v>
      </c>
      <c r="K1083" s="21" t="n">
        <f>1178</f>
        <v>1178.0</v>
      </c>
      <c r="L1083" s="4" t="s">
        <v>61</v>
      </c>
      <c r="M1083" s="22" t="n">
        <f>25555</f>
        <v>25555.0</v>
      </c>
      <c r="N1083" s="5" t="s">
        <v>263</v>
      </c>
      <c r="O1083" s="23" t="str">
        <f>"－"</f>
        <v>－</v>
      </c>
      <c r="P1083" s="3" t="s">
        <v>2108</v>
      </c>
      <c r="Q1083" s="21"/>
      <c r="R1083" s="3" t="s">
        <v>2109</v>
      </c>
      <c r="S1083" s="21" t="n">
        <f>371256769</f>
        <v>3.71256769E8</v>
      </c>
      <c r="T1083" s="21" t="n">
        <f>371049455</f>
        <v>3.71049455E8</v>
      </c>
      <c r="U1083" s="5" t="s">
        <v>61</v>
      </c>
      <c r="V1083" s="23" t="n">
        <f>7336493100</f>
        <v>7.3364931E9</v>
      </c>
      <c r="W1083" s="5" t="s">
        <v>263</v>
      </c>
      <c r="X1083" s="23" t="str">
        <f>"－"</f>
        <v>－</v>
      </c>
      <c r="Y1083" s="23" t="n">
        <f>8345</f>
        <v>8345.0</v>
      </c>
      <c r="Z1083" s="21" t="n">
        <f>58500</f>
        <v>58500.0</v>
      </c>
      <c r="AA1083" s="21" t="n">
        <f>108636</f>
        <v>108636.0</v>
      </c>
      <c r="AB1083" s="4" t="s">
        <v>144</v>
      </c>
      <c r="AC1083" s="22" t="n">
        <f>129811</f>
        <v>129811.0</v>
      </c>
      <c r="AD1083" s="5" t="s">
        <v>335</v>
      </c>
      <c r="AE1083" s="23" t="n">
        <f>85735</f>
        <v>85735.0</v>
      </c>
    </row>
    <row r="1084">
      <c r="A1084" s="24" t="s">
        <v>1881</v>
      </c>
      <c r="B1084" s="25" t="s">
        <v>1882</v>
      </c>
      <c r="C1084" s="26" t="s">
        <v>1744</v>
      </c>
      <c r="D1084" s="27" t="s">
        <v>1745</v>
      </c>
      <c r="E1084" s="28" t="s">
        <v>112</v>
      </c>
      <c r="F1084" s="20" t="n">
        <f>120</f>
        <v>120.0</v>
      </c>
      <c r="G1084" s="21" t="n">
        <f>147477</f>
        <v>147477.0</v>
      </c>
      <c r="H1084" s="21"/>
      <c r="I1084" s="21" t="n">
        <f>147477</f>
        <v>147477.0</v>
      </c>
      <c r="J1084" s="21" t="n">
        <f>1229</f>
        <v>1229.0</v>
      </c>
      <c r="K1084" s="21" t="n">
        <f>1229</f>
        <v>1229.0</v>
      </c>
      <c r="L1084" s="4" t="s">
        <v>202</v>
      </c>
      <c r="M1084" s="22" t="n">
        <f>41916</f>
        <v>41916.0</v>
      </c>
      <c r="N1084" s="5" t="s">
        <v>279</v>
      </c>
      <c r="O1084" s="23" t="str">
        <f>"－"</f>
        <v>－</v>
      </c>
      <c r="P1084" s="3" t="s">
        <v>2110</v>
      </c>
      <c r="Q1084" s="21"/>
      <c r="R1084" s="3" t="s">
        <v>2110</v>
      </c>
      <c r="S1084" s="21" t="n">
        <f>422907010</f>
        <v>4.2290701E8</v>
      </c>
      <c r="T1084" s="21" t="n">
        <f>422907010</f>
        <v>4.2290701E8</v>
      </c>
      <c r="U1084" s="5" t="s">
        <v>202</v>
      </c>
      <c r="V1084" s="23" t="n">
        <f>17145539132</f>
        <v>1.7145539132E10</v>
      </c>
      <c r="W1084" s="5" t="s">
        <v>279</v>
      </c>
      <c r="X1084" s="23" t="str">
        <f>"－"</f>
        <v>－</v>
      </c>
      <c r="Y1084" s="23" t="n">
        <f>5343</f>
        <v>5343.0</v>
      </c>
      <c r="Z1084" s="21" t="n">
        <f>113225</f>
        <v>113225.0</v>
      </c>
      <c r="AA1084" s="21" t="n">
        <f>118270</f>
        <v>118270.0</v>
      </c>
      <c r="AB1084" s="4" t="s">
        <v>155</v>
      </c>
      <c r="AC1084" s="22" t="n">
        <f>135363</f>
        <v>135363.0</v>
      </c>
      <c r="AD1084" s="5" t="s">
        <v>138</v>
      </c>
      <c r="AE1084" s="23" t="n">
        <f>79377</f>
        <v>79377.0</v>
      </c>
    </row>
    <row r="1085">
      <c r="A1085" s="24" t="s">
        <v>1881</v>
      </c>
      <c r="B1085" s="25" t="s">
        <v>1882</v>
      </c>
      <c r="C1085" s="26" t="s">
        <v>1748</v>
      </c>
      <c r="D1085" s="27" t="s">
        <v>1749</v>
      </c>
      <c r="E1085" s="28" t="s">
        <v>112</v>
      </c>
      <c r="F1085" s="20" t="n">
        <f>120</f>
        <v>120.0</v>
      </c>
      <c r="G1085" s="21" t="n">
        <f>35675</f>
        <v>35675.0</v>
      </c>
      <c r="H1085" s="21"/>
      <c r="I1085" s="21" t="n">
        <f>35675</f>
        <v>35675.0</v>
      </c>
      <c r="J1085" s="21" t="n">
        <f>297</f>
        <v>297.0</v>
      </c>
      <c r="K1085" s="21" t="n">
        <f>297</f>
        <v>297.0</v>
      </c>
      <c r="L1085" s="4" t="s">
        <v>155</v>
      </c>
      <c r="M1085" s="22" t="n">
        <f>3664</f>
        <v>3664.0</v>
      </c>
      <c r="N1085" s="5" t="s">
        <v>279</v>
      </c>
      <c r="O1085" s="23" t="str">
        <f>"－"</f>
        <v>－</v>
      </c>
      <c r="P1085" s="3" t="s">
        <v>2111</v>
      </c>
      <c r="Q1085" s="21"/>
      <c r="R1085" s="3" t="s">
        <v>2111</v>
      </c>
      <c r="S1085" s="21" t="n">
        <f>104639758</f>
        <v>1.04639758E8</v>
      </c>
      <c r="T1085" s="21" t="n">
        <f>104639758</f>
        <v>1.04639758E8</v>
      </c>
      <c r="U1085" s="5" t="s">
        <v>49</v>
      </c>
      <c r="V1085" s="23" t="n">
        <f>3157514900</f>
        <v>3.1575149E9</v>
      </c>
      <c r="W1085" s="5" t="s">
        <v>279</v>
      </c>
      <c r="X1085" s="23" t="str">
        <f>"－"</f>
        <v>－</v>
      </c>
      <c r="Y1085" s="23" t="n">
        <f>12101</f>
        <v>12101.0</v>
      </c>
      <c r="Z1085" s="21" t="n">
        <f>18216</f>
        <v>18216.0</v>
      </c>
      <c r="AA1085" s="21" t="n">
        <f>18354</f>
        <v>18354.0</v>
      </c>
      <c r="AB1085" s="4" t="s">
        <v>54</v>
      </c>
      <c r="AC1085" s="22" t="n">
        <f>25280</f>
        <v>25280.0</v>
      </c>
      <c r="AD1085" s="5" t="s">
        <v>612</v>
      </c>
      <c r="AE1085" s="23" t="n">
        <f>17227</f>
        <v>17227.0</v>
      </c>
    </row>
    <row r="1086">
      <c r="A1086" s="24" t="s">
        <v>1881</v>
      </c>
      <c r="B1086" s="25" t="s">
        <v>1882</v>
      </c>
      <c r="C1086" s="26" t="s">
        <v>1752</v>
      </c>
      <c r="D1086" s="27" t="s">
        <v>1753</v>
      </c>
      <c r="E1086" s="28" t="s">
        <v>112</v>
      </c>
      <c r="F1086" s="20" t="n">
        <f>120</f>
        <v>120.0</v>
      </c>
      <c r="G1086" s="21" t="n">
        <f>183152</f>
        <v>183152.0</v>
      </c>
      <c r="H1086" s="21"/>
      <c r="I1086" s="21" t="n">
        <f>183152</f>
        <v>183152.0</v>
      </c>
      <c r="J1086" s="21" t="n">
        <f>1526</f>
        <v>1526.0</v>
      </c>
      <c r="K1086" s="21" t="n">
        <f>1526</f>
        <v>1526.0</v>
      </c>
      <c r="L1086" s="4" t="s">
        <v>202</v>
      </c>
      <c r="M1086" s="22" t="n">
        <f>41916</f>
        <v>41916.0</v>
      </c>
      <c r="N1086" s="5" t="s">
        <v>279</v>
      </c>
      <c r="O1086" s="23" t="str">
        <f>"－"</f>
        <v>－</v>
      </c>
      <c r="P1086" s="3" t="s">
        <v>2112</v>
      </c>
      <c r="Q1086" s="21"/>
      <c r="R1086" s="3" t="s">
        <v>2112</v>
      </c>
      <c r="S1086" s="21" t="n">
        <f>527546768</f>
        <v>5.27546768E8</v>
      </c>
      <c r="T1086" s="21" t="n">
        <f>527546768</f>
        <v>5.27546768E8</v>
      </c>
      <c r="U1086" s="5" t="s">
        <v>202</v>
      </c>
      <c r="V1086" s="23" t="n">
        <f>17145539132</f>
        <v>1.7145539132E10</v>
      </c>
      <c r="W1086" s="5" t="s">
        <v>279</v>
      </c>
      <c r="X1086" s="23" t="str">
        <f>"－"</f>
        <v>－</v>
      </c>
      <c r="Y1086" s="23" t="n">
        <f>17444</f>
        <v>17444.0</v>
      </c>
      <c r="Z1086" s="21" t="n">
        <f>131441</f>
        <v>131441.0</v>
      </c>
      <c r="AA1086" s="21" t="n">
        <f>136624</f>
        <v>136624.0</v>
      </c>
      <c r="AB1086" s="4" t="s">
        <v>53</v>
      </c>
      <c r="AC1086" s="22" t="n">
        <f>157632</f>
        <v>157632.0</v>
      </c>
      <c r="AD1086" s="5" t="s">
        <v>138</v>
      </c>
      <c r="AE1086" s="23" t="n">
        <f>98717</f>
        <v>98717.0</v>
      </c>
    </row>
    <row r="1087">
      <c r="A1087" s="24" t="s">
        <v>1881</v>
      </c>
      <c r="B1087" s="25" t="s">
        <v>1882</v>
      </c>
      <c r="C1087" s="26" t="s">
        <v>1744</v>
      </c>
      <c r="D1087" s="27" t="s">
        <v>1745</v>
      </c>
      <c r="E1087" s="28" t="s">
        <v>118</v>
      </c>
      <c r="F1087" s="20" t="n">
        <f>122</f>
        <v>122.0</v>
      </c>
      <c r="G1087" s="21" t="n">
        <f>87021</f>
        <v>87021.0</v>
      </c>
      <c r="H1087" s="21"/>
      <c r="I1087" s="21" t="n">
        <f>87021</f>
        <v>87021.0</v>
      </c>
      <c r="J1087" s="21" t="n">
        <f>713</f>
        <v>713.0</v>
      </c>
      <c r="K1087" s="21" t="n">
        <f>713</f>
        <v>713.0</v>
      </c>
      <c r="L1087" s="4" t="s">
        <v>848</v>
      </c>
      <c r="M1087" s="22" t="n">
        <f>6445</f>
        <v>6445.0</v>
      </c>
      <c r="N1087" s="5" t="s">
        <v>335</v>
      </c>
      <c r="O1087" s="23" t="str">
        <f>"－"</f>
        <v>－</v>
      </c>
      <c r="P1087" s="3" t="s">
        <v>2113</v>
      </c>
      <c r="Q1087" s="21"/>
      <c r="R1087" s="3" t="s">
        <v>2113</v>
      </c>
      <c r="S1087" s="21" t="n">
        <f>278153024</f>
        <v>2.78153024E8</v>
      </c>
      <c r="T1087" s="21" t="n">
        <f>278153024</f>
        <v>2.78153024E8</v>
      </c>
      <c r="U1087" s="5" t="s">
        <v>281</v>
      </c>
      <c r="V1087" s="23" t="n">
        <f>3185927160</f>
        <v>3.18592716E9</v>
      </c>
      <c r="W1087" s="5" t="s">
        <v>335</v>
      </c>
      <c r="X1087" s="23" t="str">
        <f>"－"</f>
        <v>－</v>
      </c>
      <c r="Y1087" s="23" t="n">
        <f>3403</f>
        <v>3403.0</v>
      </c>
      <c r="Z1087" s="21" t="n">
        <f>35153</f>
        <v>35153.0</v>
      </c>
      <c r="AA1087" s="21" t="n">
        <f>77919</f>
        <v>77919.0</v>
      </c>
      <c r="AB1087" s="4" t="s">
        <v>193</v>
      </c>
      <c r="AC1087" s="22" t="n">
        <f>124496</f>
        <v>124496.0</v>
      </c>
      <c r="AD1087" s="5" t="s">
        <v>61</v>
      </c>
      <c r="AE1087" s="23" t="n">
        <f>73045</f>
        <v>73045.0</v>
      </c>
    </row>
    <row r="1088">
      <c r="A1088" s="24" t="s">
        <v>1881</v>
      </c>
      <c r="B1088" s="25" t="s">
        <v>1882</v>
      </c>
      <c r="C1088" s="26" t="s">
        <v>1748</v>
      </c>
      <c r="D1088" s="27" t="s">
        <v>1749</v>
      </c>
      <c r="E1088" s="28" t="s">
        <v>118</v>
      </c>
      <c r="F1088" s="20" t="n">
        <f>122</f>
        <v>122.0</v>
      </c>
      <c r="G1088" s="21" t="n">
        <f>26387</f>
        <v>26387.0</v>
      </c>
      <c r="H1088" s="21"/>
      <c r="I1088" s="21" t="n">
        <f>26387</f>
        <v>26387.0</v>
      </c>
      <c r="J1088" s="21" t="n">
        <f>216</f>
        <v>216.0</v>
      </c>
      <c r="K1088" s="21" t="n">
        <f>216</f>
        <v>216.0</v>
      </c>
      <c r="L1088" s="4" t="s">
        <v>120</v>
      </c>
      <c r="M1088" s="22" t="n">
        <f>2678</f>
        <v>2678.0</v>
      </c>
      <c r="N1088" s="5" t="s">
        <v>335</v>
      </c>
      <c r="O1088" s="23" t="str">
        <f>"－"</f>
        <v>－</v>
      </c>
      <c r="P1088" s="3" t="s">
        <v>2114</v>
      </c>
      <c r="Q1088" s="21"/>
      <c r="R1088" s="3" t="s">
        <v>2114</v>
      </c>
      <c r="S1088" s="21" t="n">
        <f>137374759</f>
        <v>1.37374759E8</v>
      </c>
      <c r="T1088" s="21" t="n">
        <f>137374759</f>
        <v>1.37374759E8</v>
      </c>
      <c r="U1088" s="5" t="s">
        <v>183</v>
      </c>
      <c r="V1088" s="23" t="n">
        <f>3546746378</f>
        <v>3.546746378E9</v>
      </c>
      <c r="W1088" s="5" t="s">
        <v>335</v>
      </c>
      <c r="X1088" s="23" t="str">
        <f>"－"</f>
        <v>－</v>
      </c>
      <c r="Y1088" s="23" t="n">
        <f>8957</f>
        <v>8957.0</v>
      </c>
      <c r="Z1088" s="21" t="n">
        <f>13315</f>
        <v>13315.0</v>
      </c>
      <c r="AA1088" s="21" t="n">
        <f>20037</f>
        <v>20037.0</v>
      </c>
      <c r="AB1088" s="4" t="s">
        <v>88</v>
      </c>
      <c r="AC1088" s="22" t="n">
        <f>22147</f>
        <v>22147.0</v>
      </c>
      <c r="AD1088" s="5" t="s">
        <v>107</v>
      </c>
      <c r="AE1088" s="23" t="n">
        <f>13809</f>
        <v>13809.0</v>
      </c>
    </row>
    <row r="1089">
      <c r="A1089" s="24" t="s">
        <v>1881</v>
      </c>
      <c r="B1089" s="25" t="s">
        <v>1882</v>
      </c>
      <c r="C1089" s="26" t="s">
        <v>1752</v>
      </c>
      <c r="D1089" s="27" t="s">
        <v>1753</v>
      </c>
      <c r="E1089" s="28" t="s">
        <v>118</v>
      </c>
      <c r="F1089" s="20" t="n">
        <f>122</f>
        <v>122.0</v>
      </c>
      <c r="G1089" s="21" t="n">
        <f>113408</f>
        <v>113408.0</v>
      </c>
      <c r="H1089" s="21"/>
      <c r="I1089" s="21" t="n">
        <f>113408</f>
        <v>113408.0</v>
      </c>
      <c r="J1089" s="21" t="n">
        <f>930</f>
        <v>930.0</v>
      </c>
      <c r="K1089" s="21" t="n">
        <f>930</f>
        <v>930.0</v>
      </c>
      <c r="L1089" s="4" t="s">
        <v>848</v>
      </c>
      <c r="M1089" s="22" t="n">
        <f>7997</f>
        <v>7997.0</v>
      </c>
      <c r="N1089" s="5" t="s">
        <v>335</v>
      </c>
      <c r="O1089" s="23" t="str">
        <f>"－"</f>
        <v>－</v>
      </c>
      <c r="P1089" s="3" t="s">
        <v>2115</v>
      </c>
      <c r="Q1089" s="21"/>
      <c r="R1089" s="3" t="s">
        <v>2115</v>
      </c>
      <c r="S1089" s="21" t="n">
        <f>415527783</f>
        <v>4.15527783E8</v>
      </c>
      <c r="T1089" s="21" t="n">
        <f>415527783</f>
        <v>4.15527783E8</v>
      </c>
      <c r="U1089" s="5" t="s">
        <v>183</v>
      </c>
      <c r="V1089" s="23" t="n">
        <f>3555472378</f>
        <v>3.555472378E9</v>
      </c>
      <c r="W1089" s="5" t="s">
        <v>335</v>
      </c>
      <c r="X1089" s="23" t="str">
        <f>"－"</f>
        <v>－</v>
      </c>
      <c r="Y1089" s="23" t="n">
        <f>12360</f>
        <v>12360.0</v>
      </c>
      <c r="Z1089" s="21" t="n">
        <f>48468</f>
        <v>48468.0</v>
      </c>
      <c r="AA1089" s="21" t="n">
        <f>97956</f>
        <v>97956.0</v>
      </c>
      <c r="AB1089" s="4" t="s">
        <v>193</v>
      </c>
      <c r="AC1089" s="22" t="n">
        <f>146643</f>
        <v>146643.0</v>
      </c>
      <c r="AD1089" s="5" t="s">
        <v>61</v>
      </c>
      <c r="AE1089" s="23" t="n">
        <f>87274</f>
        <v>87274.0</v>
      </c>
    </row>
    <row r="1090">
      <c r="A1090" s="24" t="s">
        <v>1881</v>
      </c>
      <c r="B1090" s="25" t="s">
        <v>1882</v>
      </c>
      <c r="C1090" s="26" t="s">
        <v>1744</v>
      </c>
      <c r="D1090" s="27" t="s">
        <v>1745</v>
      </c>
      <c r="E1090" s="28" t="s">
        <v>124</v>
      </c>
      <c r="F1090" s="20" t="n">
        <f>123</f>
        <v>123.0</v>
      </c>
      <c r="G1090" s="21" t="n">
        <f>108411</f>
        <v>108411.0</v>
      </c>
      <c r="H1090" s="21"/>
      <c r="I1090" s="21" t="n">
        <f>108411</f>
        <v>108411.0</v>
      </c>
      <c r="J1090" s="21" t="n">
        <f>881</f>
        <v>881.0</v>
      </c>
      <c r="K1090" s="21" t="n">
        <f>881</f>
        <v>881.0</v>
      </c>
      <c r="L1090" s="4" t="s">
        <v>1304</v>
      </c>
      <c r="M1090" s="22" t="n">
        <f>10400</f>
        <v>10400.0</v>
      </c>
      <c r="N1090" s="5" t="s">
        <v>268</v>
      </c>
      <c r="O1090" s="23" t="str">
        <f>"－"</f>
        <v>－</v>
      </c>
      <c r="P1090" s="3" t="s">
        <v>2116</v>
      </c>
      <c r="Q1090" s="21"/>
      <c r="R1090" s="3" t="s">
        <v>2116</v>
      </c>
      <c r="S1090" s="21" t="n">
        <f>262287039</f>
        <v>2.62287039E8</v>
      </c>
      <c r="T1090" s="21" t="n">
        <f>262287039</f>
        <v>2.62287039E8</v>
      </c>
      <c r="U1090" s="5" t="s">
        <v>1304</v>
      </c>
      <c r="V1090" s="23" t="n">
        <f>4173490497</f>
        <v>4.173490497E9</v>
      </c>
      <c r="W1090" s="5" t="s">
        <v>268</v>
      </c>
      <c r="X1090" s="23" t="str">
        <f>"－"</f>
        <v>－</v>
      </c>
      <c r="Y1090" s="23" t="n">
        <f>900</f>
        <v>900.0</v>
      </c>
      <c r="Z1090" s="21" t="n">
        <f>72885</f>
        <v>72885.0</v>
      </c>
      <c r="AA1090" s="21" t="n">
        <f>73857</f>
        <v>73857.0</v>
      </c>
      <c r="AB1090" s="4" t="s">
        <v>197</v>
      </c>
      <c r="AC1090" s="22" t="n">
        <f>84806</f>
        <v>84806.0</v>
      </c>
      <c r="AD1090" s="5" t="s">
        <v>241</v>
      </c>
      <c r="AE1090" s="23" t="n">
        <f>61927</f>
        <v>61927.0</v>
      </c>
    </row>
    <row r="1091">
      <c r="A1091" s="24" t="s">
        <v>1881</v>
      </c>
      <c r="B1091" s="25" t="s">
        <v>1882</v>
      </c>
      <c r="C1091" s="26" t="s">
        <v>1748</v>
      </c>
      <c r="D1091" s="27" t="s">
        <v>1749</v>
      </c>
      <c r="E1091" s="28" t="s">
        <v>124</v>
      </c>
      <c r="F1091" s="20" t="n">
        <f>123</f>
        <v>123.0</v>
      </c>
      <c r="G1091" s="21" t="n">
        <f>38793</f>
        <v>38793.0</v>
      </c>
      <c r="H1091" s="21"/>
      <c r="I1091" s="21" t="n">
        <f>38793</f>
        <v>38793.0</v>
      </c>
      <c r="J1091" s="21" t="n">
        <f>315</f>
        <v>315.0</v>
      </c>
      <c r="K1091" s="21" t="n">
        <f>315</f>
        <v>315.0</v>
      </c>
      <c r="L1091" s="4" t="s">
        <v>178</v>
      </c>
      <c r="M1091" s="22" t="n">
        <f>2300</f>
        <v>2300.0</v>
      </c>
      <c r="N1091" s="5" t="s">
        <v>268</v>
      </c>
      <c r="O1091" s="23" t="str">
        <f>"－"</f>
        <v>－</v>
      </c>
      <c r="P1091" s="3" t="s">
        <v>2117</v>
      </c>
      <c r="Q1091" s="21"/>
      <c r="R1091" s="3" t="s">
        <v>2117</v>
      </c>
      <c r="S1091" s="21" t="n">
        <f>180679657</f>
        <v>1.80679657E8</v>
      </c>
      <c r="T1091" s="21" t="n">
        <f>180679657</f>
        <v>1.80679657E8</v>
      </c>
      <c r="U1091" s="5" t="s">
        <v>270</v>
      </c>
      <c r="V1091" s="23" t="n">
        <f>3651369000</f>
        <v>3.651369E9</v>
      </c>
      <c r="W1091" s="5" t="s">
        <v>268</v>
      </c>
      <c r="X1091" s="23" t="str">
        <f>"－"</f>
        <v>－</v>
      </c>
      <c r="Y1091" s="23" t="n">
        <f>13420</f>
        <v>13420.0</v>
      </c>
      <c r="Z1091" s="21" t="n">
        <f>23998</f>
        <v>23998.0</v>
      </c>
      <c r="AA1091" s="21" t="n">
        <f>19898</f>
        <v>19898.0</v>
      </c>
      <c r="AB1091" s="4" t="s">
        <v>49</v>
      </c>
      <c r="AC1091" s="22" t="n">
        <f>21121</f>
        <v>21121.0</v>
      </c>
      <c r="AD1091" s="5" t="s">
        <v>187</v>
      </c>
      <c r="AE1091" s="23" t="n">
        <f>13045</f>
        <v>13045.0</v>
      </c>
    </row>
    <row r="1092">
      <c r="A1092" s="24" t="s">
        <v>1881</v>
      </c>
      <c r="B1092" s="25" t="s">
        <v>1882</v>
      </c>
      <c r="C1092" s="26" t="s">
        <v>1752</v>
      </c>
      <c r="D1092" s="27" t="s">
        <v>1753</v>
      </c>
      <c r="E1092" s="28" t="s">
        <v>124</v>
      </c>
      <c r="F1092" s="20" t="n">
        <f>123</f>
        <v>123.0</v>
      </c>
      <c r="G1092" s="21" t="n">
        <f>147204</f>
        <v>147204.0</v>
      </c>
      <c r="H1092" s="21"/>
      <c r="I1092" s="21" t="n">
        <f>147204</f>
        <v>147204.0</v>
      </c>
      <c r="J1092" s="21" t="n">
        <f>1197</f>
        <v>1197.0</v>
      </c>
      <c r="K1092" s="21" t="n">
        <f>1197</f>
        <v>1197.0</v>
      </c>
      <c r="L1092" s="4" t="s">
        <v>1304</v>
      </c>
      <c r="M1092" s="22" t="n">
        <f>10400</f>
        <v>10400.0</v>
      </c>
      <c r="N1092" s="5" t="s">
        <v>268</v>
      </c>
      <c r="O1092" s="23" t="str">
        <f>"－"</f>
        <v>－</v>
      </c>
      <c r="P1092" s="3" t="s">
        <v>2118</v>
      </c>
      <c r="Q1092" s="21"/>
      <c r="R1092" s="3" t="s">
        <v>2118</v>
      </c>
      <c r="S1092" s="21" t="n">
        <f>442966696</f>
        <v>4.42966696E8</v>
      </c>
      <c r="T1092" s="21" t="n">
        <f>442966696</f>
        <v>4.42966696E8</v>
      </c>
      <c r="U1092" s="5" t="s">
        <v>64</v>
      </c>
      <c r="V1092" s="23" t="n">
        <f>5927194400</f>
        <v>5.9271944E9</v>
      </c>
      <c r="W1092" s="5" t="s">
        <v>268</v>
      </c>
      <c r="X1092" s="23" t="str">
        <f>"－"</f>
        <v>－</v>
      </c>
      <c r="Y1092" s="23" t="n">
        <f>14320</f>
        <v>14320.0</v>
      </c>
      <c r="Z1092" s="21" t="n">
        <f>96883</f>
        <v>96883.0</v>
      </c>
      <c r="AA1092" s="21" t="n">
        <f>93755</f>
        <v>93755.0</v>
      </c>
      <c r="AB1092" s="4" t="s">
        <v>197</v>
      </c>
      <c r="AC1092" s="22" t="n">
        <f>101626</f>
        <v>101626.0</v>
      </c>
      <c r="AD1092" s="5" t="s">
        <v>241</v>
      </c>
      <c r="AE1092" s="23" t="n">
        <f>76265</f>
        <v>76265.0</v>
      </c>
    </row>
    <row r="1093">
      <c r="A1093" s="24" t="s">
        <v>1881</v>
      </c>
      <c r="B1093" s="25" t="s">
        <v>1882</v>
      </c>
      <c r="C1093" s="26" t="s">
        <v>1744</v>
      </c>
      <c r="D1093" s="27" t="s">
        <v>1745</v>
      </c>
      <c r="E1093" s="28" t="s">
        <v>127</v>
      </c>
      <c r="F1093" s="20" t="n">
        <f>122</f>
        <v>122.0</v>
      </c>
      <c r="G1093" s="21" t="n">
        <f>131959</f>
        <v>131959.0</v>
      </c>
      <c r="H1093" s="21"/>
      <c r="I1093" s="21" t="n">
        <f>131959</f>
        <v>131959.0</v>
      </c>
      <c r="J1093" s="21" t="n">
        <f>1082</f>
        <v>1082.0</v>
      </c>
      <c r="K1093" s="21" t="n">
        <f>1082</f>
        <v>1082.0</v>
      </c>
      <c r="L1093" s="4" t="s">
        <v>84</v>
      </c>
      <c r="M1093" s="22" t="n">
        <f>11340</f>
        <v>11340.0</v>
      </c>
      <c r="N1093" s="5" t="s">
        <v>335</v>
      </c>
      <c r="O1093" s="23" t="str">
        <f>"－"</f>
        <v>－</v>
      </c>
      <c r="P1093" s="3" t="s">
        <v>2119</v>
      </c>
      <c r="Q1093" s="21"/>
      <c r="R1093" s="3" t="s">
        <v>2119</v>
      </c>
      <c r="S1093" s="21" t="n">
        <f>251479767</f>
        <v>2.51479767E8</v>
      </c>
      <c r="T1093" s="21" t="n">
        <f>251479767</f>
        <v>2.51479767E8</v>
      </c>
      <c r="U1093" s="5" t="s">
        <v>84</v>
      </c>
      <c r="V1093" s="23" t="n">
        <f>3071891100</f>
        <v>3.0718911E9</v>
      </c>
      <c r="W1093" s="5" t="s">
        <v>335</v>
      </c>
      <c r="X1093" s="23" t="str">
        <f>"－"</f>
        <v>－</v>
      </c>
      <c r="Y1093" s="23" t="n">
        <f>1847</f>
        <v>1847.0</v>
      </c>
      <c r="Z1093" s="21" t="n">
        <f>101110</f>
        <v>101110.0</v>
      </c>
      <c r="AA1093" s="21" t="n">
        <f>80436</f>
        <v>80436.0</v>
      </c>
      <c r="AB1093" s="4" t="s">
        <v>119</v>
      </c>
      <c r="AC1093" s="22" t="n">
        <f>91852</f>
        <v>91852.0</v>
      </c>
      <c r="AD1093" s="5" t="s">
        <v>1546</v>
      </c>
      <c r="AE1093" s="23" t="n">
        <f>70447</f>
        <v>70447.0</v>
      </c>
    </row>
    <row r="1094">
      <c r="A1094" s="24" t="s">
        <v>1881</v>
      </c>
      <c r="B1094" s="25" t="s">
        <v>1882</v>
      </c>
      <c r="C1094" s="26" t="s">
        <v>1748</v>
      </c>
      <c r="D1094" s="27" t="s">
        <v>1749</v>
      </c>
      <c r="E1094" s="28" t="s">
        <v>127</v>
      </c>
      <c r="F1094" s="20" t="n">
        <f>122</f>
        <v>122.0</v>
      </c>
      <c r="G1094" s="21" t="n">
        <f>61089</f>
        <v>61089.0</v>
      </c>
      <c r="H1094" s="21"/>
      <c r="I1094" s="21" t="n">
        <f>61089</f>
        <v>61089.0</v>
      </c>
      <c r="J1094" s="21" t="n">
        <f>501</f>
        <v>501.0</v>
      </c>
      <c r="K1094" s="21" t="n">
        <f>501</f>
        <v>501.0</v>
      </c>
      <c r="L1094" s="4" t="s">
        <v>84</v>
      </c>
      <c r="M1094" s="22" t="n">
        <f>3404</f>
        <v>3404.0</v>
      </c>
      <c r="N1094" s="5" t="s">
        <v>263</v>
      </c>
      <c r="O1094" s="23" t="str">
        <f>"－"</f>
        <v>－</v>
      </c>
      <c r="P1094" s="3" t="s">
        <v>2120</v>
      </c>
      <c r="Q1094" s="21"/>
      <c r="R1094" s="3" t="s">
        <v>2120</v>
      </c>
      <c r="S1094" s="21" t="n">
        <f>250191063</f>
        <v>2.50191063E8</v>
      </c>
      <c r="T1094" s="21" t="n">
        <f>250191063</f>
        <v>2.50191063E8</v>
      </c>
      <c r="U1094" s="5" t="s">
        <v>84</v>
      </c>
      <c r="V1094" s="23" t="n">
        <f>5925517600</f>
        <v>5.9255176E9</v>
      </c>
      <c r="W1094" s="5" t="s">
        <v>263</v>
      </c>
      <c r="X1094" s="23" t="str">
        <f>"－"</f>
        <v>－</v>
      </c>
      <c r="Y1094" s="23" t="n">
        <f>11098</f>
        <v>11098.0</v>
      </c>
      <c r="Z1094" s="21" t="n">
        <f>51152</f>
        <v>51152.0</v>
      </c>
      <c r="AA1094" s="21" t="n">
        <f>26011</f>
        <v>26011.0</v>
      </c>
      <c r="AB1094" s="4" t="s">
        <v>198</v>
      </c>
      <c r="AC1094" s="22" t="n">
        <f>31885</f>
        <v>31885.0</v>
      </c>
      <c r="AD1094" s="5" t="s">
        <v>1546</v>
      </c>
      <c r="AE1094" s="23" t="n">
        <f>18938</f>
        <v>18938.0</v>
      </c>
    </row>
    <row r="1095">
      <c r="A1095" s="24" t="s">
        <v>1881</v>
      </c>
      <c r="B1095" s="25" t="s">
        <v>1882</v>
      </c>
      <c r="C1095" s="26" t="s">
        <v>1752</v>
      </c>
      <c r="D1095" s="27" t="s">
        <v>1753</v>
      </c>
      <c r="E1095" s="28" t="s">
        <v>127</v>
      </c>
      <c r="F1095" s="20" t="n">
        <f>122</f>
        <v>122.0</v>
      </c>
      <c r="G1095" s="21" t="n">
        <f>193048</f>
        <v>193048.0</v>
      </c>
      <c r="H1095" s="21"/>
      <c r="I1095" s="21" t="n">
        <f>193048</f>
        <v>193048.0</v>
      </c>
      <c r="J1095" s="21" t="n">
        <f>1582</f>
        <v>1582.0</v>
      </c>
      <c r="K1095" s="21" t="n">
        <f>1582</f>
        <v>1582.0</v>
      </c>
      <c r="L1095" s="4" t="s">
        <v>84</v>
      </c>
      <c r="M1095" s="22" t="n">
        <f>14744</f>
        <v>14744.0</v>
      </c>
      <c r="N1095" s="5" t="s">
        <v>263</v>
      </c>
      <c r="O1095" s="23" t="str">
        <f>"－"</f>
        <v>－</v>
      </c>
      <c r="P1095" s="3" t="s">
        <v>2121</v>
      </c>
      <c r="Q1095" s="21"/>
      <c r="R1095" s="3" t="s">
        <v>2121</v>
      </c>
      <c r="S1095" s="21" t="n">
        <f>501670830</f>
        <v>5.0167083E8</v>
      </c>
      <c r="T1095" s="21" t="n">
        <f>501670830</f>
        <v>5.0167083E8</v>
      </c>
      <c r="U1095" s="5" t="s">
        <v>84</v>
      </c>
      <c r="V1095" s="23" t="n">
        <f>8997408700</f>
        <v>8.9974087E9</v>
      </c>
      <c r="W1095" s="5" t="s">
        <v>263</v>
      </c>
      <c r="X1095" s="23" t="str">
        <f>"－"</f>
        <v>－</v>
      </c>
      <c r="Y1095" s="23" t="n">
        <f>12945</f>
        <v>12945.0</v>
      </c>
      <c r="Z1095" s="21" t="n">
        <f>152262</f>
        <v>152262.0</v>
      </c>
      <c r="AA1095" s="21" t="n">
        <f>106447</f>
        <v>106447.0</v>
      </c>
      <c r="AB1095" s="4" t="s">
        <v>119</v>
      </c>
      <c r="AC1095" s="22" t="n">
        <f>123182</f>
        <v>123182.0</v>
      </c>
      <c r="AD1095" s="5" t="s">
        <v>1546</v>
      </c>
      <c r="AE1095" s="23" t="n">
        <f>89385</f>
        <v>89385.0</v>
      </c>
    </row>
    <row r="1096">
      <c r="A1096" s="24" t="s">
        <v>1881</v>
      </c>
      <c r="B1096" s="25" t="s">
        <v>1882</v>
      </c>
      <c r="C1096" s="26" t="s">
        <v>1744</v>
      </c>
      <c r="D1096" s="27" t="s">
        <v>1745</v>
      </c>
      <c r="E1096" s="28" t="s">
        <v>133</v>
      </c>
      <c r="F1096" s="20" t="n">
        <f>122</f>
        <v>122.0</v>
      </c>
      <c r="G1096" s="21" t="n">
        <f>238223</f>
        <v>238223.0</v>
      </c>
      <c r="H1096" s="21"/>
      <c r="I1096" s="21" t="n">
        <f>238188</f>
        <v>238188.0</v>
      </c>
      <c r="J1096" s="21" t="n">
        <f>1953</f>
        <v>1953.0</v>
      </c>
      <c r="K1096" s="21" t="n">
        <f>1952</f>
        <v>1952.0</v>
      </c>
      <c r="L1096" s="4" t="s">
        <v>568</v>
      </c>
      <c r="M1096" s="22" t="n">
        <f>15437</f>
        <v>15437.0</v>
      </c>
      <c r="N1096" s="5" t="s">
        <v>69</v>
      </c>
      <c r="O1096" s="23" t="str">
        <f>"－"</f>
        <v>－</v>
      </c>
      <c r="P1096" s="3" t="s">
        <v>2122</v>
      </c>
      <c r="Q1096" s="21"/>
      <c r="R1096" s="3" t="s">
        <v>2123</v>
      </c>
      <c r="S1096" s="21" t="n">
        <f>624734653</f>
        <v>6.24734653E8</v>
      </c>
      <c r="T1096" s="21" t="n">
        <f>624650473</f>
        <v>6.24650473E8</v>
      </c>
      <c r="U1096" s="5" t="s">
        <v>68</v>
      </c>
      <c r="V1096" s="23" t="n">
        <f>5900423100</f>
        <v>5.9004231E9</v>
      </c>
      <c r="W1096" s="5" t="s">
        <v>69</v>
      </c>
      <c r="X1096" s="23" t="str">
        <f>"－"</f>
        <v>－</v>
      </c>
      <c r="Y1096" s="23" t="n">
        <f>10432</f>
        <v>10432.0</v>
      </c>
      <c r="Z1096" s="21" t="n">
        <f>193368</f>
        <v>193368.0</v>
      </c>
      <c r="AA1096" s="21" t="n">
        <f>84902</f>
        <v>84902.0</v>
      </c>
      <c r="AB1096" s="4" t="s">
        <v>137</v>
      </c>
      <c r="AC1096" s="22" t="n">
        <f>102717</f>
        <v>102717.0</v>
      </c>
      <c r="AD1096" s="5" t="s">
        <v>49</v>
      </c>
      <c r="AE1096" s="23" t="n">
        <f>63272</f>
        <v>63272.0</v>
      </c>
    </row>
    <row r="1097">
      <c r="A1097" s="24" t="s">
        <v>1881</v>
      </c>
      <c r="B1097" s="25" t="s">
        <v>1882</v>
      </c>
      <c r="C1097" s="26" t="s">
        <v>1748</v>
      </c>
      <c r="D1097" s="27" t="s">
        <v>1749</v>
      </c>
      <c r="E1097" s="28" t="s">
        <v>133</v>
      </c>
      <c r="F1097" s="20" t="n">
        <f>122</f>
        <v>122.0</v>
      </c>
      <c r="G1097" s="21" t="n">
        <f>79642</f>
        <v>79642.0</v>
      </c>
      <c r="H1097" s="21"/>
      <c r="I1097" s="21" t="n">
        <f>79592</f>
        <v>79592.0</v>
      </c>
      <c r="J1097" s="21" t="n">
        <f>653</f>
        <v>653.0</v>
      </c>
      <c r="K1097" s="21" t="n">
        <f>652</f>
        <v>652.0</v>
      </c>
      <c r="L1097" s="4" t="s">
        <v>1495</v>
      </c>
      <c r="M1097" s="22" t="n">
        <f>4302</f>
        <v>4302.0</v>
      </c>
      <c r="N1097" s="5" t="s">
        <v>194</v>
      </c>
      <c r="O1097" s="23" t="str">
        <f>"－"</f>
        <v>－</v>
      </c>
      <c r="P1097" s="3" t="s">
        <v>2124</v>
      </c>
      <c r="Q1097" s="21"/>
      <c r="R1097" s="3" t="s">
        <v>2125</v>
      </c>
      <c r="S1097" s="21" t="n">
        <f>128562473</f>
        <v>1.28562473E8</v>
      </c>
      <c r="T1097" s="21" t="n">
        <f>128488825</f>
        <v>1.28488825E8</v>
      </c>
      <c r="U1097" s="5" t="s">
        <v>137</v>
      </c>
      <c r="V1097" s="23" t="n">
        <f>2525197000</f>
        <v>2.525197E9</v>
      </c>
      <c r="W1097" s="5" t="s">
        <v>194</v>
      </c>
      <c r="X1097" s="23" t="str">
        <f>"－"</f>
        <v>－</v>
      </c>
      <c r="Y1097" s="23" t="n">
        <f>7702</f>
        <v>7702.0</v>
      </c>
      <c r="Z1097" s="21" t="n">
        <f>56999</f>
        <v>56999.0</v>
      </c>
      <c r="AA1097" s="21" t="n">
        <f>16094</f>
        <v>16094.0</v>
      </c>
      <c r="AB1097" s="4" t="s">
        <v>641</v>
      </c>
      <c r="AC1097" s="22" t="n">
        <f>34753</f>
        <v>34753.0</v>
      </c>
      <c r="AD1097" s="5" t="s">
        <v>49</v>
      </c>
      <c r="AE1097" s="23" t="n">
        <f>9805</f>
        <v>9805.0</v>
      </c>
    </row>
    <row r="1098">
      <c r="A1098" s="24" t="s">
        <v>1881</v>
      </c>
      <c r="B1098" s="25" t="s">
        <v>1882</v>
      </c>
      <c r="C1098" s="26" t="s">
        <v>1752</v>
      </c>
      <c r="D1098" s="27" t="s">
        <v>1753</v>
      </c>
      <c r="E1098" s="28" t="s">
        <v>133</v>
      </c>
      <c r="F1098" s="20" t="n">
        <f>122</f>
        <v>122.0</v>
      </c>
      <c r="G1098" s="21" t="n">
        <f>317865</f>
        <v>317865.0</v>
      </c>
      <c r="H1098" s="21"/>
      <c r="I1098" s="21" t="n">
        <f>317780</f>
        <v>317780.0</v>
      </c>
      <c r="J1098" s="21" t="n">
        <f>2605</f>
        <v>2605.0</v>
      </c>
      <c r="K1098" s="21" t="n">
        <f>2605</f>
        <v>2605.0</v>
      </c>
      <c r="L1098" s="4" t="s">
        <v>568</v>
      </c>
      <c r="M1098" s="22" t="n">
        <f>15437</f>
        <v>15437.0</v>
      </c>
      <c r="N1098" s="5" t="s">
        <v>669</v>
      </c>
      <c r="O1098" s="23" t="str">
        <f>"－"</f>
        <v>－</v>
      </c>
      <c r="P1098" s="3" t="s">
        <v>2126</v>
      </c>
      <c r="Q1098" s="21"/>
      <c r="R1098" s="3" t="s">
        <v>2127</v>
      </c>
      <c r="S1098" s="21" t="n">
        <f>753297126</f>
        <v>7.53297126E8</v>
      </c>
      <c r="T1098" s="21" t="n">
        <f>753139298</f>
        <v>7.53139298E8</v>
      </c>
      <c r="U1098" s="5" t="s">
        <v>68</v>
      </c>
      <c r="V1098" s="23" t="n">
        <f>5900423100</f>
        <v>5.9004231E9</v>
      </c>
      <c r="W1098" s="5" t="s">
        <v>669</v>
      </c>
      <c r="X1098" s="23" t="str">
        <f>"－"</f>
        <v>－</v>
      </c>
      <c r="Y1098" s="23" t="n">
        <f>18134</f>
        <v>18134.0</v>
      </c>
      <c r="Z1098" s="21" t="n">
        <f>250367</f>
        <v>250367.0</v>
      </c>
      <c r="AA1098" s="21" t="n">
        <f>100996</f>
        <v>100996.0</v>
      </c>
      <c r="AB1098" s="4" t="s">
        <v>641</v>
      </c>
      <c r="AC1098" s="22" t="n">
        <f>136647</f>
        <v>136647.0</v>
      </c>
      <c r="AD1098" s="5" t="s">
        <v>49</v>
      </c>
      <c r="AE1098" s="23" t="n">
        <f>73077</f>
        <v>73077.0</v>
      </c>
    </row>
    <row r="1099">
      <c r="A1099" s="24" t="s">
        <v>1881</v>
      </c>
      <c r="B1099" s="25" t="s">
        <v>1882</v>
      </c>
      <c r="C1099" s="26" t="s">
        <v>1744</v>
      </c>
      <c r="D1099" s="27" t="s">
        <v>1745</v>
      </c>
      <c r="E1099" s="28" t="s">
        <v>139</v>
      </c>
      <c r="F1099" s="20" t="n">
        <f>123</f>
        <v>123.0</v>
      </c>
      <c r="G1099" s="21" t="n">
        <f>228489</f>
        <v>228489.0</v>
      </c>
      <c r="H1099" s="21"/>
      <c r="I1099" s="21" t="n">
        <f>228489</f>
        <v>228489.0</v>
      </c>
      <c r="J1099" s="21" t="n">
        <f>1858</f>
        <v>1858.0</v>
      </c>
      <c r="K1099" s="21" t="n">
        <f>1858</f>
        <v>1858.0</v>
      </c>
      <c r="L1099" s="4" t="s">
        <v>332</v>
      </c>
      <c r="M1099" s="22" t="n">
        <f>11365</f>
        <v>11365.0</v>
      </c>
      <c r="N1099" s="5" t="s">
        <v>224</v>
      </c>
      <c r="O1099" s="23" t="str">
        <f>"－"</f>
        <v>－</v>
      </c>
      <c r="P1099" s="3" t="s">
        <v>2128</v>
      </c>
      <c r="Q1099" s="21"/>
      <c r="R1099" s="3" t="s">
        <v>2128</v>
      </c>
      <c r="S1099" s="21" t="n">
        <f>587035879</f>
        <v>5.87035879E8</v>
      </c>
      <c r="T1099" s="21" t="n">
        <f>587035879</f>
        <v>5.87035879E8</v>
      </c>
      <c r="U1099" s="5" t="s">
        <v>491</v>
      </c>
      <c r="V1099" s="23" t="n">
        <f>4241173000</f>
        <v>4.241173E9</v>
      </c>
      <c r="W1099" s="5" t="s">
        <v>224</v>
      </c>
      <c r="X1099" s="23" t="str">
        <f>"－"</f>
        <v>－</v>
      </c>
      <c r="Y1099" s="23" t="n">
        <f>5324</f>
        <v>5324.0</v>
      </c>
      <c r="Z1099" s="21" t="n">
        <f>143467</f>
        <v>143467.0</v>
      </c>
      <c r="AA1099" s="21" t="n">
        <f>82714</f>
        <v>82714.0</v>
      </c>
      <c r="AB1099" s="4" t="s">
        <v>183</v>
      </c>
      <c r="AC1099" s="22" t="n">
        <f>95358</f>
        <v>95358.0</v>
      </c>
      <c r="AD1099" s="5" t="s">
        <v>2129</v>
      </c>
      <c r="AE1099" s="23" t="n">
        <f>67473</f>
        <v>67473.0</v>
      </c>
    </row>
    <row r="1100">
      <c r="A1100" s="24" t="s">
        <v>1881</v>
      </c>
      <c r="B1100" s="25" t="s">
        <v>1882</v>
      </c>
      <c r="C1100" s="26" t="s">
        <v>1748</v>
      </c>
      <c r="D1100" s="27" t="s">
        <v>1749</v>
      </c>
      <c r="E1100" s="28" t="s">
        <v>139</v>
      </c>
      <c r="F1100" s="20" t="n">
        <f>123</f>
        <v>123.0</v>
      </c>
      <c r="G1100" s="21" t="n">
        <f>41535</f>
        <v>41535.0</v>
      </c>
      <c r="H1100" s="21"/>
      <c r="I1100" s="21" t="n">
        <f>41535</f>
        <v>41535.0</v>
      </c>
      <c r="J1100" s="21" t="n">
        <f>338</f>
        <v>338.0</v>
      </c>
      <c r="K1100" s="21" t="n">
        <f>338</f>
        <v>338.0</v>
      </c>
      <c r="L1100" s="4" t="s">
        <v>784</v>
      </c>
      <c r="M1100" s="22" t="n">
        <f>3346</f>
        <v>3346.0</v>
      </c>
      <c r="N1100" s="5" t="s">
        <v>672</v>
      </c>
      <c r="O1100" s="23" t="str">
        <f>"－"</f>
        <v>－</v>
      </c>
      <c r="P1100" s="3" t="s">
        <v>2130</v>
      </c>
      <c r="Q1100" s="21"/>
      <c r="R1100" s="3" t="s">
        <v>2130</v>
      </c>
      <c r="S1100" s="21" t="n">
        <f>144012910</f>
        <v>1.4401291E8</v>
      </c>
      <c r="T1100" s="21" t="n">
        <f>144012910</f>
        <v>1.4401291E8</v>
      </c>
      <c r="U1100" s="5" t="s">
        <v>71</v>
      </c>
      <c r="V1100" s="23" t="n">
        <f>2506756000</f>
        <v>2.506756E9</v>
      </c>
      <c r="W1100" s="5" t="s">
        <v>672</v>
      </c>
      <c r="X1100" s="23" t="str">
        <f>"－"</f>
        <v>－</v>
      </c>
      <c r="Y1100" s="23" t="n">
        <f>6842</f>
        <v>6842.0</v>
      </c>
      <c r="Z1100" s="21" t="n">
        <f>29508</f>
        <v>29508.0</v>
      </c>
      <c r="AA1100" s="21" t="n">
        <f>14443</f>
        <v>14443.0</v>
      </c>
      <c r="AB1100" s="4" t="s">
        <v>751</v>
      </c>
      <c r="AC1100" s="22" t="n">
        <f>17267</f>
        <v>17267.0</v>
      </c>
      <c r="AD1100" s="5" t="s">
        <v>119</v>
      </c>
      <c r="AE1100" s="23" t="n">
        <f>7960</f>
        <v>7960.0</v>
      </c>
    </row>
    <row r="1101">
      <c r="A1101" s="24" t="s">
        <v>1881</v>
      </c>
      <c r="B1101" s="25" t="s">
        <v>1882</v>
      </c>
      <c r="C1101" s="26" t="s">
        <v>1752</v>
      </c>
      <c r="D1101" s="27" t="s">
        <v>1753</v>
      </c>
      <c r="E1101" s="28" t="s">
        <v>139</v>
      </c>
      <c r="F1101" s="20" t="n">
        <f>123</f>
        <v>123.0</v>
      </c>
      <c r="G1101" s="21" t="n">
        <f>270024</f>
        <v>270024.0</v>
      </c>
      <c r="H1101" s="21"/>
      <c r="I1101" s="21" t="n">
        <f>270024</f>
        <v>270024.0</v>
      </c>
      <c r="J1101" s="21" t="n">
        <f>2195</f>
        <v>2195.0</v>
      </c>
      <c r="K1101" s="21" t="n">
        <f>2195</f>
        <v>2195.0</v>
      </c>
      <c r="L1101" s="4" t="s">
        <v>332</v>
      </c>
      <c r="M1101" s="22" t="n">
        <f>11465</f>
        <v>11465.0</v>
      </c>
      <c r="N1101" s="5" t="s">
        <v>96</v>
      </c>
      <c r="O1101" s="23" t="str">
        <f>"－"</f>
        <v>－</v>
      </c>
      <c r="P1101" s="3" t="s">
        <v>2131</v>
      </c>
      <c r="Q1101" s="21"/>
      <c r="R1101" s="3" t="s">
        <v>2131</v>
      </c>
      <c r="S1101" s="21" t="n">
        <f>731048790</f>
        <v>7.3104879E8</v>
      </c>
      <c r="T1101" s="21" t="n">
        <f>731048790</f>
        <v>7.3104879E8</v>
      </c>
      <c r="U1101" s="5" t="s">
        <v>71</v>
      </c>
      <c r="V1101" s="23" t="n">
        <f>4517592000</f>
        <v>4.517592E9</v>
      </c>
      <c r="W1101" s="5" t="s">
        <v>96</v>
      </c>
      <c r="X1101" s="23" t="str">
        <f>"－"</f>
        <v>－</v>
      </c>
      <c r="Y1101" s="23" t="n">
        <f>12166</f>
        <v>12166.0</v>
      </c>
      <c r="Z1101" s="21" t="n">
        <f>172975</f>
        <v>172975.0</v>
      </c>
      <c r="AA1101" s="21" t="n">
        <f>97157</f>
        <v>97157.0</v>
      </c>
      <c r="AB1101" s="4" t="s">
        <v>183</v>
      </c>
      <c r="AC1101" s="22" t="n">
        <f>107151</f>
        <v>107151.0</v>
      </c>
      <c r="AD1101" s="5" t="s">
        <v>2129</v>
      </c>
      <c r="AE1101" s="23" t="n">
        <f>78561</f>
        <v>78561.0</v>
      </c>
    </row>
    <row r="1102">
      <c r="A1102" s="24" t="s">
        <v>1881</v>
      </c>
      <c r="B1102" s="25" t="s">
        <v>1882</v>
      </c>
      <c r="C1102" s="26" t="s">
        <v>1744</v>
      </c>
      <c r="D1102" s="27" t="s">
        <v>1745</v>
      </c>
      <c r="E1102" s="28" t="s">
        <v>145</v>
      </c>
      <c r="F1102" s="20" t="n">
        <f>122</f>
        <v>122.0</v>
      </c>
      <c r="G1102" s="21" t="n">
        <f>240935</f>
        <v>240935.0</v>
      </c>
      <c r="H1102" s="21"/>
      <c r="I1102" s="21" t="n">
        <f>240069</f>
        <v>240069.0</v>
      </c>
      <c r="J1102" s="21" t="n">
        <f>1975</f>
        <v>1975.0</v>
      </c>
      <c r="K1102" s="21" t="n">
        <f>1968</f>
        <v>1968.0</v>
      </c>
      <c r="L1102" s="4" t="s">
        <v>954</v>
      </c>
      <c r="M1102" s="22" t="n">
        <f>16068</f>
        <v>16068.0</v>
      </c>
      <c r="N1102" s="5" t="s">
        <v>260</v>
      </c>
      <c r="O1102" s="23" t="str">
        <f>"－"</f>
        <v>－</v>
      </c>
      <c r="P1102" s="3" t="s">
        <v>2132</v>
      </c>
      <c r="Q1102" s="21"/>
      <c r="R1102" s="3" t="s">
        <v>2133</v>
      </c>
      <c r="S1102" s="21" t="n">
        <f>634206866</f>
        <v>6.34206866E8</v>
      </c>
      <c r="T1102" s="21" t="n">
        <f>633436931</f>
        <v>6.33436931E8</v>
      </c>
      <c r="U1102" s="5" t="s">
        <v>455</v>
      </c>
      <c r="V1102" s="23" t="n">
        <f>5265296028</f>
        <v>5.265296028E9</v>
      </c>
      <c r="W1102" s="5" t="s">
        <v>260</v>
      </c>
      <c r="X1102" s="23" t="str">
        <f>"－"</f>
        <v>－</v>
      </c>
      <c r="Y1102" s="23" t="n">
        <f>2535</f>
        <v>2535.0</v>
      </c>
      <c r="Z1102" s="21" t="n">
        <f>154322</f>
        <v>154322.0</v>
      </c>
      <c r="AA1102" s="21" t="n">
        <f>95447</f>
        <v>95447.0</v>
      </c>
      <c r="AB1102" s="4" t="s">
        <v>68</v>
      </c>
      <c r="AC1102" s="22" t="n">
        <f>106560</f>
        <v>106560.0</v>
      </c>
      <c r="AD1102" s="5" t="s">
        <v>81</v>
      </c>
      <c r="AE1102" s="23" t="n">
        <f>80673</f>
        <v>80673.0</v>
      </c>
    </row>
    <row r="1103">
      <c r="A1103" s="24" t="s">
        <v>1881</v>
      </c>
      <c r="B1103" s="25" t="s">
        <v>1882</v>
      </c>
      <c r="C1103" s="26" t="s">
        <v>1748</v>
      </c>
      <c r="D1103" s="27" t="s">
        <v>1749</v>
      </c>
      <c r="E1103" s="28" t="s">
        <v>145</v>
      </c>
      <c r="F1103" s="20" t="n">
        <f>122</f>
        <v>122.0</v>
      </c>
      <c r="G1103" s="21" t="n">
        <f>42542</f>
        <v>42542.0</v>
      </c>
      <c r="H1103" s="21"/>
      <c r="I1103" s="21" t="n">
        <f>42252</f>
        <v>42252.0</v>
      </c>
      <c r="J1103" s="21" t="n">
        <f>349</f>
        <v>349.0</v>
      </c>
      <c r="K1103" s="21" t="n">
        <f>346</f>
        <v>346.0</v>
      </c>
      <c r="L1103" s="4" t="s">
        <v>90</v>
      </c>
      <c r="M1103" s="22" t="n">
        <f>6250</f>
        <v>6250.0</v>
      </c>
      <c r="N1103" s="5" t="s">
        <v>82</v>
      </c>
      <c r="O1103" s="23" t="str">
        <f>"－"</f>
        <v>－</v>
      </c>
      <c r="P1103" s="3" t="s">
        <v>2134</v>
      </c>
      <c r="Q1103" s="21"/>
      <c r="R1103" s="3" t="s">
        <v>2135</v>
      </c>
      <c r="S1103" s="21" t="n">
        <f>176043560</f>
        <v>1.7604356E8</v>
      </c>
      <c r="T1103" s="21" t="n">
        <f>175811593</f>
        <v>1.75811593E8</v>
      </c>
      <c r="U1103" s="5" t="s">
        <v>455</v>
      </c>
      <c r="V1103" s="23" t="n">
        <f>3674811940</f>
        <v>3.67481194E9</v>
      </c>
      <c r="W1103" s="5" t="s">
        <v>82</v>
      </c>
      <c r="X1103" s="23" t="str">
        <f>"－"</f>
        <v>－</v>
      </c>
      <c r="Y1103" s="23" t="n">
        <f>5906</f>
        <v>5906.0</v>
      </c>
      <c r="Z1103" s="21" t="n">
        <f>19377</f>
        <v>19377.0</v>
      </c>
      <c r="AA1103" s="21" t="n">
        <f>35227</f>
        <v>35227.0</v>
      </c>
      <c r="AB1103" s="4" t="s">
        <v>330</v>
      </c>
      <c r="AC1103" s="22" t="n">
        <f>35227</f>
        <v>35227.0</v>
      </c>
      <c r="AD1103" s="5" t="s">
        <v>976</v>
      </c>
      <c r="AE1103" s="23" t="n">
        <f>11818</f>
        <v>11818.0</v>
      </c>
    </row>
    <row r="1104">
      <c r="A1104" s="24" t="s">
        <v>1881</v>
      </c>
      <c r="B1104" s="25" t="s">
        <v>1882</v>
      </c>
      <c r="C1104" s="26" t="s">
        <v>1752</v>
      </c>
      <c r="D1104" s="27" t="s">
        <v>1753</v>
      </c>
      <c r="E1104" s="28" t="s">
        <v>145</v>
      </c>
      <c r="F1104" s="20" t="n">
        <f>122</f>
        <v>122.0</v>
      </c>
      <c r="G1104" s="21" t="n">
        <f>283477</f>
        <v>283477.0</v>
      </c>
      <c r="H1104" s="21"/>
      <c r="I1104" s="21" t="n">
        <f>282321</f>
        <v>282321.0</v>
      </c>
      <c r="J1104" s="21" t="n">
        <f>2324</f>
        <v>2324.0</v>
      </c>
      <c r="K1104" s="21" t="n">
        <f>2314</f>
        <v>2314.0</v>
      </c>
      <c r="L1104" s="4" t="s">
        <v>954</v>
      </c>
      <c r="M1104" s="22" t="n">
        <f>16351</f>
        <v>16351.0</v>
      </c>
      <c r="N1104" s="5" t="s">
        <v>865</v>
      </c>
      <c r="O1104" s="23" t="str">
        <f>"－"</f>
        <v>－</v>
      </c>
      <c r="P1104" s="3" t="s">
        <v>2136</v>
      </c>
      <c r="Q1104" s="21"/>
      <c r="R1104" s="3" t="s">
        <v>2137</v>
      </c>
      <c r="S1104" s="21" t="n">
        <f>810250426</f>
        <v>8.10250426E8</v>
      </c>
      <c r="T1104" s="21" t="n">
        <f>809248524</f>
        <v>8.09248524E8</v>
      </c>
      <c r="U1104" s="5" t="s">
        <v>455</v>
      </c>
      <c r="V1104" s="23" t="n">
        <f>8940107968</f>
        <v>8.940107968E9</v>
      </c>
      <c r="W1104" s="5" t="s">
        <v>865</v>
      </c>
      <c r="X1104" s="23" t="str">
        <f>"－"</f>
        <v>－</v>
      </c>
      <c r="Y1104" s="23" t="n">
        <f>8441</f>
        <v>8441.0</v>
      </c>
      <c r="Z1104" s="21" t="n">
        <f>173699</f>
        <v>173699.0</v>
      </c>
      <c r="AA1104" s="21" t="n">
        <f>130674</f>
        <v>130674.0</v>
      </c>
      <c r="AB1104" s="4" t="s">
        <v>68</v>
      </c>
      <c r="AC1104" s="22" t="n">
        <f>136630</f>
        <v>136630.0</v>
      </c>
      <c r="AD1104" s="5" t="s">
        <v>81</v>
      </c>
      <c r="AE1104" s="23" t="n">
        <f>92954</f>
        <v>92954.0</v>
      </c>
    </row>
    <row r="1105">
      <c r="A1105" s="24" t="s">
        <v>1881</v>
      </c>
      <c r="B1105" s="25" t="s">
        <v>1882</v>
      </c>
      <c r="C1105" s="26" t="s">
        <v>1744</v>
      </c>
      <c r="D1105" s="27" t="s">
        <v>1745</v>
      </c>
      <c r="E1105" s="28" t="s">
        <v>150</v>
      </c>
      <c r="F1105" s="20" t="n">
        <f>124</f>
        <v>124.0</v>
      </c>
      <c r="G1105" s="21" t="n">
        <f>218009</f>
        <v>218009.0</v>
      </c>
      <c r="H1105" s="21"/>
      <c r="I1105" s="21" t="n">
        <f>212241</f>
        <v>212241.0</v>
      </c>
      <c r="J1105" s="21" t="n">
        <f>1758</f>
        <v>1758.0</v>
      </c>
      <c r="K1105" s="21" t="n">
        <f>1712</f>
        <v>1712.0</v>
      </c>
      <c r="L1105" s="4" t="s">
        <v>266</v>
      </c>
      <c r="M1105" s="22" t="n">
        <f>14056</f>
        <v>14056.0</v>
      </c>
      <c r="N1105" s="5" t="s">
        <v>666</v>
      </c>
      <c r="O1105" s="23" t="str">
        <f>"－"</f>
        <v>－</v>
      </c>
      <c r="P1105" s="3" t="s">
        <v>2138</v>
      </c>
      <c r="Q1105" s="21"/>
      <c r="R1105" s="3" t="s">
        <v>2139</v>
      </c>
      <c r="S1105" s="21" t="n">
        <f>630640366</f>
        <v>6.30640366E8</v>
      </c>
      <c r="T1105" s="21" t="n">
        <f>628492906</f>
        <v>6.28492906E8</v>
      </c>
      <c r="U1105" s="5" t="s">
        <v>128</v>
      </c>
      <c r="V1105" s="23" t="n">
        <f>5714677979</f>
        <v>5.714677979E9</v>
      </c>
      <c r="W1105" s="5" t="s">
        <v>666</v>
      </c>
      <c r="X1105" s="23" t="str">
        <f>"－"</f>
        <v>－</v>
      </c>
      <c r="Y1105" s="23" t="n">
        <f>2487</f>
        <v>2487.0</v>
      </c>
      <c r="Z1105" s="21" t="n">
        <f>137587</f>
        <v>137587.0</v>
      </c>
      <c r="AA1105" s="21" t="n">
        <f>108067</f>
        <v>108067.0</v>
      </c>
      <c r="AB1105" s="4" t="s">
        <v>128</v>
      </c>
      <c r="AC1105" s="22" t="n">
        <f>118705</f>
        <v>118705.0</v>
      </c>
      <c r="AD1105" s="5" t="s">
        <v>216</v>
      </c>
      <c r="AE1105" s="23" t="n">
        <f>77378</f>
        <v>77378.0</v>
      </c>
    </row>
    <row r="1106">
      <c r="A1106" s="24" t="s">
        <v>1881</v>
      </c>
      <c r="B1106" s="25" t="s">
        <v>1882</v>
      </c>
      <c r="C1106" s="26" t="s">
        <v>1748</v>
      </c>
      <c r="D1106" s="27" t="s">
        <v>1749</v>
      </c>
      <c r="E1106" s="28" t="s">
        <v>150</v>
      </c>
      <c r="F1106" s="20" t="n">
        <f>124</f>
        <v>124.0</v>
      </c>
      <c r="G1106" s="21" t="n">
        <f>86809</f>
        <v>86809.0</v>
      </c>
      <c r="H1106" s="21"/>
      <c r="I1106" s="21" t="n">
        <f>85140</f>
        <v>85140.0</v>
      </c>
      <c r="J1106" s="21" t="n">
        <f>700</f>
        <v>700.0</v>
      </c>
      <c r="K1106" s="21" t="n">
        <f>687</f>
        <v>687.0</v>
      </c>
      <c r="L1106" s="4" t="s">
        <v>631</v>
      </c>
      <c r="M1106" s="22" t="n">
        <f>6035</f>
        <v>6035.0</v>
      </c>
      <c r="N1106" s="5" t="s">
        <v>666</v>
      </c>
      <c r="O1106" s="23" t="str">
        <f>"－"</f>
        <v>－</v>
      </c>
      <c r="P1106" s="3" t="s">
        <v>2140</v>
      </c>
      <c r="Q1106" s="21"/>
      <c r="R1106" s="3" t="s">
        <v>2141</v>
      </c>
      <c r="S1106" s="21" t="n">
        <f>421934838</f>
        <v>4.21934838E8</v>
      </c>
      <c r="T1106" s="21" t="n">
        <f>419946863</f>
        <v>4.19946863E8</v>
      </c>
      <c r="U1106" s="5" t="s">
        <v>458</v>
      </c>
      <c r="V1106" s="23" t="n">
        <f>4952817000</f>
        <v>4.952817E9</v>
      </c>
      <c r="W1106" s="5" t="s">
        <v>666</v>
      </c>
      <c r="X1106" s="23" t="str">
        <f>"－"</f>
        <v>－</v>
      </c>
      <c r="Y1106" s="23" t="n">
        <f>22185</f>
        <v>22185.0</v>
      </c>
      <c r="Z1106" s="21" t="n">
        <f>37678</f>
        <v>37678.0</v>
      </c>
      <c r="AA1106" s="21" t="n">
        <f>53362</f>
        <v>53362.0</v>
      </c>
      <c r="AB1106" s="4" t="s">
        <v>927</v>
      </c>
      <c r="AC1106" s="22" t="n">
        <f>53362</f>
        <v>53362.0</v>
      </c>
      <c r="AD1106" s="5" t="s">
        <v>216</v>
      </c>
      <c r="AE1106" s="23" t="n">
        <f>27620</f>
        <v>27620.0</v>
      </c>
    </row>
    <row r="1107">
      <c r="A1107" s="24" t="s">
        <v>1881</v>
      </c>
      <c r="B1107" s="25" t="s">
        <v>1882</v>
      </c>
      <c r="C1107" s="26" t="s">
        <v>1752</v>
      </c>
      <c r="D1107" s="27" t="s">
        <v>1753</v>
      </c>
      <c r="E1107" s="28" t="s">
        <v>150</v>
      </c>
      <c r="F1107" s="20" t="n">
        <f>124</f>
        <v>124.0</v>
      </c>
      <c r="G1107" s="21" t="n">
        <f>304818</f>
        <v>304818.0</v>
      </c>
      <c r="H1107" s="21"/>
      <c r="I1107" s="21" t="n">
        <f>297381</f>
        <v>297381.0</v>
      </c>
      <c r="J1107" s="21" t="n">
        <f>2458</f>
        <v>2458.0</v>
      </c>
      <c r="K1107" s="21" t="n">
        <f>2398</f>
        <v>2398.0</v>
      </c>
      <c r="L1107" s="4" t="s">
        <v>266</v>
      </c>
      <c r="M1107" s="22" t="n">
        <f>14680</f>
        <v>14680.0</v>
      </c>
      <c r="N1107" s="5" t="s">
        <v>666</v>
      </c>
      <c r="O1107" s="23" t="str">
        <f>"－"</f>
        <v>－</v>
      </c>
      <c r="P1107" s="3" t="s">
        <v>2142</v>
      </c>
      <c r="Q1107" s="21"/>
      <c r="R1107" s="3" t="s">
        <v>2143</v>
      </c>
      <c r="S1107" s="21" t="n">
        <f>1052575204</f>
        <v>1.052575204E9</v>
      </c>
      <c r="T1107" s="21" t="n">
        <f>1048439769</f>
        <v>1.048439769E9</v>
      </c>
      <c r="U1107" s="5" t="s">
        <v>128</v>
      </c>
      <c r="V1107" s="23" t="n">
        <f>7661520479</f>
        <v>7.661520479E9</v>
      </c>
      <c r="W1107" s="5" t="s">
        <v>666</v>
      </c>
      <c r="X1107" s="23" t="str">
        <f>"－"</f>
        <v>－</v>
      </c>
      <c r="Y1107" s="23" t="n">
        <f>24672</f>
        <v>24672.0</v>
      </c>
      <c r="Z1107" s="21" t="n">
        <f>175265</f>
        <v>175265.0</v>
      </c>
      <c r="AA1107" s="21" t="n">
        <f>161429</f>
        <v>161429.0</v>
      </c>
      <c r="AB1107" s="4" t="s">
        <v>128</v>
      </c>
      <c r="AC1107" s="22" t="n">
        <f>169566</f>
        <v>169566.0</v>
      </c>
      <c r="AD1107" s="5" t="s">
        <v>216</v>
      </c>
      <c r="AE1107" s="23" t="n">
        <f>104998</f>
        <v>104998.0</v>
      </c>
    </row>
    <row r="1108">
      <c r="A1108" s="24" t="s">
        <v>1881</v>
      </c>
      <c r="B1108" s="25" t="s">
        <v>1882</v>
      </c>
      <c r="C1108" s="26" t="s">
        <v>1744</v>
      </c>
      <c r="D1108" s="27" t="s">
        <v>1745</v>
      </c>
      <c r="E1108" s="28" t="s">
        <v>154</v>
      </c>
      <c r="F1108" s="20" t="n">
        <f>120</f>
        <v>120.0</v>
      </c>
      <c r="G1108" s="21" t="n">
        <f>247872</f>
        <v>247872.0</v>
      </c>
      <c r="H1108" s="21"/>
      <c r="I1108" s="21" t="n">
        <f>245153</f>
        <v>245153.0</v>
      </c>
      <c r="J1108" s="21" t="n">
        <f>2066</f>
        <v>2066.0</v>
      </c>
      <c r="K1108" s="21" t="n">
        <f>2043</f>
        <v>2043.0</v>
      </c>
      <c r="L1108" s="4" t="s">
        <v>2144</v>
      </c>
      <c r="M1108" s="22" t="n">
        <f>26489</f>
        <v>26489.0</v>
      </c>
      <c r="N1108" s="5" t="s">
        <v>268</v>
      </c>
      <c r="O1108" s="23" t="str">
        <f>"－"</f>
        <v>－</v>
      </c>
      <c r="P1108" s="3" t="s">
        <v>2145</v>
      </c>
      <c r="Q1108" s="21"/>
      <c r="R1108" s="3" t="s">
        <v>2146</v>
      </c>
      <c r="S1108" s="21" t="n">
        <f>925838404</f>
        <v>9.25838404E8</v>
      </c>
      <c r="T1108" s="21" t="n">
        <f>925104538</f>
        <v>9.25104538E8</v>
      </c>
      <c r="U1108" s="5" t="s">
        <v>2144</v>
      </c>
      <c r="V1108" s="23" t="n">
        <f>11444613355</f>
        <v>1.1444613355E10</v>
      </c>
      <c r="W1108" s="5" t="s">
        <v>268</v>
      </c>
      <c r="X1108" s="23" t="str">
        <f>"－"</f>
        <v>－</v>
      </c>
      <c r="Y1108" s="23" t="n">
        <f>10956</f>
        <v>10956.0</v>
      </c>
      <c r="Z1108" s="21" t="n">
        <f>125996</f>
        <v>125996.0</v>
      </c>
      <c r="AA1108" s="21" t="n">
        <f>112591</f>
        <v>112591.0</v>
      </c>
      <c r="AB1108" s="4" t="s">
        <v>146</v>
      </c>
      <c r="AC1108" s="22" t="n">
        <f>127747</f>
        <v>127747.0</v>
      </c>
      <c r="AD1108" s="5" t="s">
        <v>64</v>
      </c>
      <c r="AE1108" s="23" t="n">
        <f>72904</f>
        <v>72904.0</v>
      </c>
    </row>
    <row r="1109">
      <c r="A1109" s="24" t="s">
        <v>1881</v>
      </c>
      <c r="B1109" s="25" t="s">
        <v>1882</v>
      </c>
      <c r="C1109" s="26" t="s">
        <v>1748</v>
      </c>
      <c r="D1109" s="27" t="s">
        <v>1749</v>
      </c>
      <c r="E1109" s="28" t="s">
        <v>154</v>
      </c>
      <c r="F1109" s="20" t="n">
        <f>120</f>
        <v>120.0</v>
      </c>
      <c r="G1109" s="21" t="n">
        <f>168430</f>
        <v>168430.0</v>
      </c>
      <c r="H1109" s="21"/>
      <c r="I1109" s="21" t="n">
        <f>162585</f>
        <v>162585.0</v>
      </c>
      <c r="J1109" s="21" t="n">
        <f>1404</f>
        <v>1404.0</v>
      </c>
      <c r="K1109" s="21" t="n">
        <f>1355</f>
        <v>1355.0</v>
      </c>
      <c r="L1109" s="4" t="s">
        <v>160</v>
      </c>
      <c r="M1109" s="22" t="n">
        <f>8363</f>
        <v>8363.0</v>
      </c>
      <c r="N1109" s="5" t="s">
        <v>321</v>
      </c>
      <c r="O1109" s="23" t="str">
        <f>"－"</f>
        <v>－</v>
      </c>
      <c r="P1109" s="3" t="s">
        <v>2147</v>
      </c>
      <c r="Q1109" s="21"/>
      <c r="R1109" s="3" t="s">
        <v>2148</v>
      </c>
      <c r="S1109" s="21" t="n">
        <f>845418436</f>
        <v>8.45418436E8</v>
      </c>
      <c r="T1109" s="21" t="n">
        <f>836623902</f>
        <v>8.36623902E8</v>
      </c>
      <c r="U1109" s="5" t="s">
        <v>160</v>
      </c>
      <c r="V1109" s="23" t="n">
        <f>10112730602</f>
        <v>1.0112730602E10</v>
      </c>
      <c r="W1109" s="5" t="s">
        <v>321</v>
      </c>
      <c r="X1109" s="23" t="str">
        <f>"－"</f>
        <v>－</v>
      </c>
      <c r="Y1109" s="23" t="n">
        <f>34881</f>
        <v>34881.0</v>
      </c>
      <c r="Z1109" s="21" t="n">
        <f>65596</f>
        <v>65596.0</v>
      </c>
      <c r="AA1109" s="21" t="n">
        <f>79612</f>
        <v>79612.0</v>
      </c>
      <c r="AB1109" s="4" t="s">
        <v>568</v>
      </c>
      <c r="AC1109" s="22" t="n">
        <f>79612</f>
        <v>79612.0</v>
      </c>
      <c r="AD1109" s="5" t="s">
        <v>64</v>
      </c>
      <c r="AE1109" s="23" t="n">
        <f>44747</f>
        <v>44747.0</v>
      </c>
    </row>
    <row r="1110">
      <c r="A1110" s="24" t="s">
        <v>1881</v>
      </c>
      <c r="B1110" s="25" t="s">
        <v>1882</v>
      </c>
      <c r="C1110" s="26" t="s">
        <v>1752</v>
      </c>
      <c r="D1110" s="27" t="s">
        <v>1753</v>
      </c>
      <c r="E1110" s="28" t="s">
        <v>154</v>
      </c>
      <c r="F1110" s="20" t="n">
        <f>120</f>
        <v>120.0</v>
      </c>
      <c r="G1110" s="21" t="n">
        <f>416302</f>
        <v>416302.0</v>
      </c>
      <c r="H1110" s="21"/>
      <c r="I1110" s="21" t="n">
        <f>407738</f>
        <v>407738.0</v>
      </c>
      <c r="J1110" s="21" t="n">
        <f>3469</f>
        <v>3469.0</v>
      </c>
      <c r="K1110" s="21" t="n">
        <f>3398</f>
        <v>3398.0</v>
      </c>
      <c r="L1110" s="4" t="s">
        <v>2144</v>
      </c>
      <c r="M1110" s="22" t="n">
        <f>31934</f>
        <v>31934.0</v>
      </c>
      <c r="N1110" s="5" t="s">
        <v>455</v>
      </c>
      <c r="O1110" s="23" t="str">
        <f>"－"</f>
        <v>－</v>
      </c>
      <c r="P1110" s="3" t="s">
        <v>2149</v>
      </c>
      <c r="Q1110" s="21"/>
      <c r="R1110" s="3" t="s">
        <v>2150</v>
      </c>
      <c r="S1110" s="21" t="n">
        <f>1771256840</f>
        <v>1.77125684E9</v>
      </c>
      <c r="T1110" s="21" t="n">
        <f>1761728440</f>
        <v>1.76172844E9</v>
      </c>
      <c r="U1110" s="5" t="s">
        <v>160</v>
      </c>
      <c r="V1110" s="23" t="n">
        <f>19397431602</f>
        <v>1.9397431602E10</v>
      </c>
      <c r="W1110" s="5" t="s">
        <v>455</v>
      </c>
      <c r="X1110" s="23" t="str">
        <f>"－"</f>
        <v>－</v>
      </c>
      <c r="Y1110" s="23" t="n">
        <f>45837</f>
        <v>45837.0</v>
      </c>
      <c r="Z1110" s="21" t="n">
        <f>191592</f>
        <v>191592.0</v>
      </c>
      <c r="AA1110" s="21" t="n">
        <f>192203</f>
        <v>192203.0</v>
      </c>
      <c r="AB1110" s="4" t="s">
        <v>146</v>
      </c>
      <c r="AC1110" s="22" t="n">
        <f>207016</f>
        <v>207016.0</v>
      </c>
      <c r="AD1110" s="5" t="s">
        <v>64</v>
      </c>
      <c r="AE1110" s="23" t="n">
        <f>117651</f>
        <v>117651.0</v>
      </c>
    </row>
    <row r="1111">
      <c r="A1111" s="24" t="s">
        <v>2151</v>
      </c>
      <c r="B1111" s="25" t="s">
        <v>2152</v>
      </c>
      <c r="C1111" s="26" t="s">
        <v>1744</v>
      </c>
      <c r="D1111" s="27" t="s">
        <v>1745</v>
      </c>
      <c r="E1111" s="28" t="s">
        <v>70</v>
      </c>
      <c r="F1111" s="20" t="n">
        <f>51</f>
        <v>51.0</v>
      </c>
      <c r="G1111" s="21" t="n">
        <f>200</f>
        <v>200.0</v>
      </c>
      <c r="H1111" s="21"/>
      <c r="I1111" s="21" t="str">
        <f>"－"</f>
        <v>－</v>
      </c>
      <c r="J1111" s="21" t="n">
        <f>4</f>
        <v>4.0</v>
      </c>
      <c r="K1111" s="21" t="str">
        <f>"－"</f>
        <v>－</v>
      </c>
      <c r="L1111" s="4" t="s">
        <v>963</v>
      </c>
      <c r="M1111" s="22" t="n">
        <f>50</f>
        <v>50.0</v>
      </c>
      <c r="N1111" s="5" t="s">
        <v>217</v>
      </c>
      <c r="O1111" s="23" t="str">
        <f>"－"</f>
        <v>－</v>
      </c>
      <c r="P1111" s="3" t="s">
        <v>2153</v>
      </c>
      <c r="Q1111" s="21"/>
      <c r="R1111" s="3" t="s">
        <v>247</v>
      </c>
      <c r="S1111" s="21" t="n">
        <f>848039</f>
        <v>848039.0</v>
      </c>
      <c r="T1111" s="21" t="str">
        <f>"－"</f>
        <v>－</v>
      </c>
      <c r="U1111" s="5" t="s">
        <v>963</v>
      </c>
      <c r="V1111" s="23" t="n">
        <f>13250000</f>
        <v>1.325E7</v>
      </c>
      <c r="W1111" s="5" t="s">
        <v>217</v>
      </c>
      <c r="X1111" s="23" t="str">
        <f>"－"</f>
        <v>－</v>
      </c>
      <c r="Y1111" s="23" t="str">
        <f>"－"</f>
        <v>－</v>
      </c>
      <c r="Z1111" s="21" t="str">
        <f>"－"</f>
        <v>－</v>
      </c>
      <c r="AA1111" s="21" t="str">
        <f>"－"</f>
        <v>－</v>
      </c>
      <c r="AB1111" s="4" t="s">
        <v>963</v>
      </c>
      <c r="AC1111" s="22" t="n">
        <f>50</f>
        <v>50.0</v>
      </c>
      <c r="AD1111" s="5" t="s">
        <v>217</v>
      </c>
      <c r="AE1111" s="23" t="str">
        <f>"－"</f>
        <v>－</v>
      </c>
    </row>
    <row r="1112">
      <c r="A1112" s="24" t="s">
        <v>2151</v>
      </c>
      <c r="B1112" s="25" t="s">
        <v>2152</v>
      </c>
      <c r="C1112" s="26" t="s">
        <v>1748</v>
      </c>
      <c r="D1112" s="27" t="s">
        <v>1749</v>
      </c>
      <c r="E1112" s="28" t="s">
        <v>70</v>
      </c>
      <c r="F1112" s="20" t="n">
        <f>51</f>
        <v>51.0</v>
      </c>
      <c r="G1112" s="21" t="n">
        <f>200</f>
        <v>200.0</v>
      </c>
      <c r="H1112" s="21"/>
      <c r="I1112" s="21" t="str">
        <f>"－"</f>
        <v>－</v>
      </c>
      <c r="J1112" s="21" t="n">
        <f>4</f>
        <v>4.0</v>
      </c>
      <c r="K1112" s="21" t="str">
        <f>"－"</f>
        <v>－</v>
      </c>
      <c r="L1112" s="4" t="s">
        <v>963</v>
      </c>
      <c r="M1112" s="22" t="n">
        <f>50</f>
        <v>50.0</v>
      </c>
      <c r="N1112" s="5" t="s">
        <v>217</v>
      </c>
      <c r="O1112" s="23" t="str">
        <f>"－"</f>
        <v>－</v>
      </c>
      <c r="P1112" s="3" t="s">
        <v>2154</v>
      </c>
      <c r="Q1112" s="21"/>
      <c r="R1112" s="3" t="s">
        <v>247</v>
      </c>
      <c r="S1112" s="21" t="n">
        <f>838235</f>
        <v>838235.0</v>
      </c>
      <c r="T1112" s="21" t="str">
        <f>"－"</f>
        <v>－</v>
      </c>
      <c r="U1112" s="5" t="s">
        <v>180</v>
      </c>
      <c r="V1112" s="23" t="n">
        <f>13500000</f>
        <v>1.35E7</v>
      </c>
      <c r="W1112" s="5" t="s">
        <v>217</v>
      </c>
      <c r="X1112" s="23" t="str">
        <f>"－"</f>
        <v>－</v>
      </c>
      <c r="Y1112" s="23" t="str">
        <f>"－"</f>
        <v>－</v>
      </c>
      <c r="Z1112" s="21" t="str">
        <f>"－"</f>
        <v>－</v>
      </c>
      <c r="AA1112" s="21" t="str">
        <f>"－"</f>
        <v>－</v>
      </c>
      <c r="AB1112" s="4" t="s">
        <v>963</v>
      </c>
      <c r="AC1112" s="22" t="n">
        <f>50</f>
        <v>50.0</v>
      </c>
      <c r="AD1112" s="5" t="s">
        <v>217</v>
      </c>
      <c r="AE1112" s="23" t="str">
        <f>"－"</f>
        <v>－</v>
      </c>
    </row>
    <row r="1113">
      <c r="A1113" s="24" t="s">
        <v>2151</v>
      </c>
      <c r="B1113" s="25" t="s">
        <v>2152</v>
      </c>
      <c r="C1113" s="26" t="s">
        <v>1752</v>
      </c>
      <c r="D1113" s="27" t="s">
        <v>1753</v>
      </c>
      <c r="E1113" s="28" t="s">
        <v>70</v>
      </c>
      <c r="F1113" s="20" t="n">
        <f>51</f>
        <v>51.0</v>
      </c>
      <c r="G1113" s="21" t="n">
        <f>400</f>
        <v>400.0</v>
      </c>
      <c r="H1113" s="21"/>
      <c r="I1113" s="21" t="str">
        <f>"－"</f>
        <v>－</v>
      </c>
      <c r="J1113" s="21" t="n">
        <f>8</f>
        <v>8.0</v>
      </c>
      <c r="K1113" s="21" t="str">
        <f>"－"</f>
        <v>－</v>
      </c>
      <c r="L1113" s="4" t="s">
        <v>963</v>
      </c>
      <c r="M1113" s="22" t="n">
        <f>100</f>
        <v>100.0</v>
      </c>
      <c r="N1113" s="5" t="s">
        <v>217</v>
      </c>
      <c r="O1113" s="23" t="str">
        <f>"－"</f>
        <v>－</v>
      </c>
      <c r="P1113" s="3" t="s">
        <v>2155</v>
      </c>
      <c r="Q1113" s="21"/>
      <c r="R1113" s="3" t="s">
        <v>247</v>
      </c>
      <c r="S1113" s="21" t="n">
        <f>1686275</f>
        <v>1686275.0</v>
      </c>
      <c r="T1113" s="21" t="str">
        <f>"－"</f>
        <v>－</v>
      </c>
      <c r="U1113" s="5" t="s">
        <v>963</v>
      </c>
      <c r="V1113" s="23" t="n">
        <f>22250000</f>
        <v>2.225E7</v>
      </c>
      <c r="W1113" s="5" t="s">
        <v>217</v>
      </c>
      <c r="X1113" s="23" t="str">
        <f>"－"</f>
        <v>－</v>
      </c>
      <c r="Y1113" s="23" t="str">
        <f>"－"</f>
        <v>－</v>
      </c>
      <c r="Z1113" s="21" t="str">
        <f>"－"</f>
        <v>－</v>
      </c>
      <c r="AA1113" s="21" t="str">
        <f>"－"</f>
        <v>－</v>
      </c>
      <c r="AB1113" s="4" t="s">
        <v>963</v>
      </c>
      <c r="AC1113" s="22" t="n">
        <f>100</f>
        <v>100.0</v>
      </c>
      <c r="AD1113" s="5" t="s">
        <v>217</v>
      </c>
      <c r="AE1113" s="23" t="str">
        <f>"－"</f>
        <v>－</v>
      </c>
    </row>
    <row r="1114">
      <c r="A1114" s="24" t="s">
        <v>2151</v>
      </c>
      <c r="B1114" s="25" t="s">
        <v>2152</v>
      </c>
      <c r="C1114" s="26" t="s">
        <v>1744</v>
      </c>
      <c r="D1114" s="27" t="s">
        <v>1745</v>
      </c>
      <c r="E1114" s="28" t="s">
        <v>77</v>
      </c>
      <c r="F1114" s="20" t="n">
        <f>122</f>
        <v>122.0</v>
      </c>
      <c r="G1114" s="21" t="n">
        <f>40</f>
        <v>40.0</v>
      </c>
      <c r="H1114" s="21"/>
      <c r="I1114" s="21" t="str">
        <f>"－"</f>
        <v>－</v>
      </c>
      <c r="J1114" s="21" t="n">
        <f>0</f>
        <v>0.0</v>
      </c>
      <c r="K1114" s="21" t="str">
        <f>"－"</f>
        <v>－</v>
      </c>
      <c r="L1114" s="4" t="s">
        <v>533</v>
      </c>
      <c r="M1114" s="22" t="n">
        <f>20</f>
        <v>20.0</v>
      </c>
      <c r="N1114" s="5" t="s">
        <v>82</v>
      </c>
      <c r="O1114" s="23" t="str">
        <f>"－"</f>
        <v>－</v>
      </c>
      <c r="P1114" s="3" t="s">
        <v>2156</v>
      </c>
      <c r="Q1114" s="21"/>
      <c r="R1114" s="3" t="s">
        <v>247</v>
      </c>
      <c r="S1114" s="21" t="n">
        <f>11148</f>
        <v>11148.0</v>
      </c>
      <c r="T1114" s="21" t="str">
        <f>"－"</f>
        <v>－</v>
      </c>
      <c r="U1114" s="5" t="s">
        <v>374</v>
      </c>
      <c r="V1114" s="23" t="n">
        <f>700000</f>
        <v>700000.0</v>
      </c>
      <c r="W1114" s="5" t="s">
        <v>82</v>
      </c>
      <c r="X1114" s="23" t="str">
        <f>"－"</f>
        <v>－</v>
      </c>
      <c r="Y1114" s="23" t="str">
        <f>"－"</f>
        <v>－</v>
      </c>
      <c r="Z1114" s="21" t="str">
        <f>"－"</f>
        <v>－</v>
      </c>
      <c r="AA1114" s="21" t="str">
        <f>"－"</f>
        <v>－</v>
      </c>
      <c r="AB1114" s="4" t="s">
        <v>533</v>
      </c>
      <c r="AC1114" s="22" t="n">
        <f>20</f>
        <v>20.0</v>
      </c>
      <c r="AD1114" s="5" t="s">
        <v>82</v>
      </c>
      <c r="AE1114" s="23" t="str">
        <f>"－"</f>
        <v>－</v>
      </c>
    </row>
    <row r="1115">
      <c r="A1115" s="24" t="s">
        <v>2151</v>
      </c>
      <c r="B1115" s="25" t="s">
        <v>2152</v>
      </c>
      <c r="C1115" s="26" t="s">
        <v>1748</v>
      </c>
      <c r="D1115" s="27" t="s">
        <v>1749</v>
      </c>
      <c r="E1115" s="28" t="s">
        <v>77</v>
      </c>
      <c r="F1115" s="20" t="n">
        <f>122</f>
        <v>122.0</v>
      </c>
      <c r="G1115" s="21" t="n">
        <f>40</f>
        <v>40.0</v>
      </c>
      <c r="H1115" s="21"/>
      <c r="I1115" s="21" t="n">
        <f>20</f>
        <v>20.0</v>
      </c>
      <c r="J1115" s="21" t="n">
        <f>0</f>
        <v>0.0</v>
      </c>
      <c r="K1115" s="21" t="n">
        <f>0</f>
        <v>0.0</v>
      </c>
      <c r="L1115" s="4" t="s">
        <v>533</v>
      </c>
      <c r="M1115" s="22" t="n">
        <f>20</f>
        <v>20.0</v>
      </c>
      <c r="N1115" s="5" t="s">
        <v>82</v>
      </c>
      <c r="O1115" s="23" t="str">
        <f>"－"</f>
        <v>－</v>
      </c>
      <c r="P1115" s="3" t="s">
        <v>2157</v>
      </c>
      <c r="Q1115" s="21"/>
      <c r="R1115" s="3" t="s">
        <v>2158</v>
      </c>
      <c r="S1115" s="21" t="n">
        <f>10328</f>
        <v>10328.0</v>
      </c>
      <c r="T1115" s="21" t="n">
        <f>3770</f>
        <v>3770.0</v>
      </c>
      <c r="U1115" s="5" t="s">
        <v>374</v>
      </c>
      <c r="V1115" s="23" t="n">
        <f>800000</f>
        <v>800000.0</v>
      </c>
      <c r="W1115" s="5" t="s">
        <v>82</v>
      </c>
      <c r="X1115" s="23" t="str">
        <f>"－"</f>
        <v>－</v>
      </c>
      <c r="Y1115" s="23" t="str">
        <f>"－"</f>
        <v>－</v>
      </c>
      <c r="Z1115" s="21" t="str">
        <f>"－"</f>
        <v>－</v>
      </c>
      <c r="AA1115" s="21" t="str">
        <f>"－"</f>
        <v>－</v>
      </c>
      <c r="AB1115" s="4" t="s">
        <v>533</v>
      </c>
      <c r="AC1115" s="22" t="n">
        <f>20</f>
        <v>20.0</v>
      </c>
      <c r="AD1115" s="5" t="s">
        <v>82</v>
      </c>
      <c r="AE1115" s="23" t="str">
        <f>"－"</f>
        <v>－</v>
      </c>
    </row>
    <row r="1116">
      <c r="A1116" s="24" t="s">
        <v>2151</v>
      </c>
      <c r="B1116" s="25" t="s">
        <v>2152</v>
      </c>
      <c r="C1116" s="26" t="s">
        <v>1752</v>
      </c>
      <c r="D1116" s="27" t="s">
        <v>1753</v>
      </c>
      <c r="E1116" s="28" t="s">
        <v>77</v>
      </c>
      <c r="F1116" s="20" t="n">
        <f>122</f>
        <v>122.0</v>
      </c>
      <c r="G1116" s="21" t="n">
        <f>80</f>
        <v>80.0</v>
      </c>
      <c r="H1116" s="21"/>
      <c r="I1116" s="21" t="n">
        <f>20</f>
        <v>20.0</v>
      </c>
      <c r="J1116" s="21" t="n">
        <f>1</f>
        <v>1.0</v>
      </c>
      <c r="K1116" s="21" t="n">
        <f>0</f>
        <v>0.0</v>
      </c>
      <c r="L1116" s="4" t="s">
        <v>533</v>
      </c>
      <c r="M1116" s="22" t="n">
        <f>40</f>
        <v>40.0</v>
      </c>
      <c r="N1116" s="5" t="s">
        <v>82</v>
      </c>
      <c r="O1116" s="23" t="str">
        <f>"－"</f>
        <v>－</v>
      </c>
      <c r="P1116" s="3" t="s">
        <v>2159</v>
      </c>
      <c r="Q1116" s="21"/>
      <c r="R1116" s="3" t="s">
        <v>2158</v>
      </c>
      <c r="S1116" s="21" t="n">
        <f>21475</f>
        <v>21475.0</v>
      </c>
      <c r="T1116" s="21" t="n">
        <f>3770</f>
        <v>3770.0</v>
      </c>
      <c r="U1116" s="5" t="s">
        <v>374</v>
      </c>
      <c r="V1116" s="23" t="n">
        <f>1500000</f>
        <v>1500000.0</v>
      </c>
      <c r="W1116" s="5" t="s">
        <v>82</v>
      </c>
      <c r="X1116" s="23" t="str">
        <f>"－"</f>
        <v>－</v>
      </c>
      <c r="Y1116" s="23" t="str">
        <f>"－"</f>
        <v>－</v>
      </c>
      <c r="Z1116" s="21" t="str">
        <f>"－"</f>
        <v>－</v>
      </c>
      <c r="AA1116" s="21" t="str">
        <f>"－"</f>
        <v>－</v>
      </c>
      <c r="AB1116" s="4" t="s">
        <v>533</v>
      </c>
      <c r="AC1116" s="22" t="n">
        <f>40</f>
        <v>40.0</v>
      </c>
      <c r="AD1116" s="5" t="s">
        <v>82</v>
      </c>
      <c r="AE1116" s="23" t="str">
        <f>"－"</f>
        <v>－</v>
      </c>
    </row>
    <row r="1117">
      <c r="A1117" s="24" t="s">
        <v>2151</v>
      </c>
      <c r="B1117" s="25" t="s">
        <v>2152</v>
      </c>
      <c r="C1117" s="26" t="s">
        <v>1744</v>
      </c>
      <c r="D1117" s="27" t="s">
        <v>1745</v>
      </c>
      <c r="E1117" s="28" t="s">
        <v>83</v>
      </c>
      <c r="F1117" s="20" t="n">
        <f>124</f>
        <v>124.0</v>
      </c>
      <c r="G1117" s="21" t="str">
        <f>"－"</f>
        <v>－</v>
      </c>
      <c r="H1117" s="21"/>
      <c r="I1117" s="21" t="str">
        <f>"－"</f>
        <v>－</v>
      </c>
      <c r="J1117" s="21" t="str">
        <f>"－"</f>
        <v>－</v>
      </c>
      <c r="K1117" s="21" t="str">
        <f>"－"</f>
        <v>－</v>
      </c>
      <c r="L1117" s="4" t="s">
        <v>666</v>
      </c>
      <c r="M1117" s="22" t="str">
        <f>"－"</f>
        <v>－</v>
      </c>
      <c r="N1117" s="5" t="s">
        <v>666</v>
      </c>
      <c r="O1117" s="23" t="str">
        <f>"－"</f>
        <v>－</v>
      </c>
      <c r="P1117" s="3" t="s">
        <v>247</v>
      </c>
      <c r="Q1117" s="21"/>
      <c r="R1117" s="3" t="s">
        <v>247</v>
      </c>
      <c r="S1117" s="21" t="str">
        <f>"－"</f>
        <v>－</v>
      </c>
      <c r="T1117" s="21" t="str">
        <f>"－"</f>
        <v>－</v>
      </c>
      <c r="U1117" s="5" t="s">
        <v>666</v>
      </c>
      <c r="V1117" s="23" t="str">
        <f>"－"</f>
        <v>－</v>
      </c>
      <c r="W1117" s="5" t="s">
        <v>666</v>
      </c>
      <c r="X1117" s="23" t="str">
        <f>"－"</f>
        <v>－</v>
      </c>
      <c r="Y1117" s="23" t="str">
        <f>"－"</f>
        <v>－</v>
      </c>
      <c r="Z1117" s="21" t="str">
        <f>"－"</f>
        <v>－</v>
      </c>
      <c r="AA1117" s="21" t="str">
        <f>"－"</f>
        <v>－</v>
      </c>
      <c r="AB1117" s="4" t="s">
        <v>666</v>
      </c>
      <c r="AC1117" s="22" t="str">
        <f>"－"</f>
        <v>－</v>
      </c>
      <c r="AD1117" s="5" t="s">
        <v>666</v>
      </c>
      <c r="AE1117" s="23" t="str">
        <f>"－"</f>
        <v>－</v>
      </c>
    </row>
    <row r="1118">
      <c r="A1118" s="24" t="s">
        <v>2151</v>
      </c>
      <c r="B1118" s="25" t="s">
        <v>2152</v>
      </c>
      <c r="C1118" s="26" t="s">
        <v>1748</v>
      </c>
      <c r="D1118" s="27" t="s">
        <v>1749</v>
      </c>
      <c r="E1118" s="28" t="s">
        <v>83</v>
      </c>
      <c r="F1118" s="20" t="n">
        <f>124</f>
        <v>124.0</v>
      </c>
      <c r="G1118" s="21" t="str">
        <f>"－"</f>
        <v>－</v>
      </c>
      <c r="H1118" s="21"/>
      <c r="I1118" s="21" t="str">
        <f>"－"</f>
        <v>－</v>
      </c>
      <c r="J1118" s="21" t="str">
        <f>"－"</f>
        <v>－</v>
      </c>
      <c r="K1118" s="21" t="str">
        <f>"－"</f>
        <v>－</v>
      </c>
      <c r="L1118" s="4" t="s">
        <v>666</v>
      </c>
      <c r="M1118" s="22" t="str">
        <f>"－"</f>
        <v>－</v>
      </c>
      <c r="N1118" s="5" t="s">
        <v>666</v>
      </c>
      <c r="O1118" s="23" t="str">
        <f>"－"</f>
        <v>－</v>
      </c>
      <c r="P1118" s="3" t="s">
        <v>247</v>
      </c>
      <c r="Q1118" s="21"/>
      <c r="R1118" s="3" t="s">
        <v>247</v>
      </c>
      <c r="S1118" s="21" t="str">
        <f>"－"</f>
        <v>－</v>
      </c>
      <c r="T1118" s="21" t="str">
        <f>"－"</f>
        <v>－</v>
      </c>
      <c r="U1118" s="5" t="s">
        <v>666</v>
      </c>
      <c r="V1118" s="23" t="str">
        <f>"－"</f>
        <v>－</v>
      </c>
      <c r="W1118" s="5" t="s">
        <v>666</v>
      </c>
      <c r="X1118" s="23" t="str">
        <f>"－"</f>
        <v>－</v>
      </c>
      <c r="Y1118" s="23" t="str">
        <f>"－"</f>
        <v>－</v>
      </c>
      <c r="Z1118" s="21" t="str">
        <f>"－"</f>
        <v>－</v>
      </c>
      <c r="AA1118" s="21" t="str">
        <f>"－"</f>
        <v>－</v>
      </c>
      <c r="AB1118" s="4" t="s">
        <v>666</v>
      </c>
      <c r="AC1118" s="22" t="str">
        <f>"－"</f>
        <v>－</v>
      </c>
      <c r="AD1118" s="5" t="s">
        <v>666</v>
      </c>
      <c r="AE1118" s="23" t="str">
        <f>"－"</f>
        <v>－</v>
      </c>
    </row>
    <row r="1119">
      <c r="A1119" s="24" t="s">
        <v>2151</v>
      </c>
      <c r="B1119" s="25" t="s">
        <v>2152</v>
      </c>
      <c r="C1119" s="26" t="s">
        <v>1752</v>
      </c>
      <c r="D1119" s="27" t="s">
        <v>1753</v>
      </c>
      <c r="E1119" s="28" t="s">
        <v>83</v>
      </c>
      <c r="F1119" s="20" t="n">
        <f>124</f>
        <v>124.0</v>
      </c>
      <c r="G1119" s="21" t="str">
        <f>"－"</f>
        <v>－</v>
      </c>
      <c r="H1119" s="21"/>
      <c r="I1119" s="21" t="str">
        <f>"－"</f>
        <v>－</v>
      </c>
      <c r="J1119" s="21" t="str">
        <f>"－"</f>
        <v>－</v>
      </c>
      <c r="K1119" s="21" t="str">
        <f>"－"</f>
        <v>－</v>
      </c>
      <c r="L1119" s="4" t="s">
        <v>666</v>
      </c>
      <c r="M1119" s="22" t="str">
        <f>"－"</f>
        <v>－</v>
      </c>
      <c r="N1119" s="5" t="s">
        <v>666</v>
      </c>
      <c r="O1119" s="23" t="str">
        <f>"－"</f>
        <v>－</v>
      </c>
      <c r="P1119" s="3" t="s">
        <v>247</v>
      </c>
      <c r="Q1119" s="21"/>
      <c r="R1119" s="3" t="s">
        <v>247</v>
      </c>
      <c r="S1119" s="21" t="str">
        <f>"－"</f>
        <v>－</v>
      </c>
      <c r="T1119" s="21" t="str">
        <f>"－"</f>
        <v>－</v>
      </c>
      <c r="U1119" s="5" t="s">
        <v>666</v>
      </c>
      <c r="V1119" s="23" t="str">
        <f>"－"</f>
        <v>－</v>
      </c>
      <c r="W1119" s="5" t="s">
        <v>666</v>
      </c>
      <c r="X1119" s="23" t="str">
        <f>"－"</f>
        <v>－</v>
      </c>
      <c r="Y1119" s="23" t="str">
        <f>"－"</f>
        <v>－</v>
      </c>
      <c r="Z1119" s="21" t="str">
        <f>"－"</f>
        <v>－</v>
      </c>
      <c r="AA1119" s="21" t="str">
        <f>"－"</f>
        <v>－</v>
      </c>
      <c r="AB1119" s="4" t="s">
        <v>666</v>
      </c>
      <c r="AC1119" s="22" t="str">
        <f>"－"</f>
        <v>－</v>
      </c>
      <c r="AD1119" s="5" t="s">
        <v>666</v>
      </c>
      <c r="AE1119" s="23" t="str">
        <f>"－"</f>
        <v>－</v>
      </c>
    </row>
    <row r="1120">
      <c r="A1120" s="24" t="s">
        <v>2151</v>
      </c>
      <c r="B1120" s="25" t="s">
        <v>2152</v>
      </c>
      <c r="C1120" s="26" t="s">
        <v>1744</v>
      </c>
      <c r="D1120" s="27" t="s">
        <v>1745</v>
      </c>
      <c r="E1120" s="28" t="s">
        <v>89</v>
      </c>
      <c r="F1120" s="20" t="n">
        <f>121</f>
        <v>121.0</v>
      </c>
      <c r="G1120" s="21" t="str">
        <f>"－"</f>
        <v>－</v>
      </c>
      <c r="H1120" s="21"/>
      <c r="I1120" s="21" t="str">
        <f>"－"</f>
        <v>－</v>
      </c>
      <c r="J1120" s="21" t="str">
        <f>"－"</f>
        <v>－</v>
      </c>
      <c r="K1120" s="21" t="str">
        <f>"－"</f>
        <v>－</v>
      </c>
      <c r="L1120" s="4" t="s">
        <v>268</v>
      </c>
      <c r="M1120" s="22" t="str">
        <f>"－"</f>
        <v>－</v>
      </c>
      <c r="N1120" s="5" t="s">
        <v>268</v>
      </c>
      <c r="O1120" s="23" t="str">
        <f>"－"</f>
        <v>－</v>
      </c>
      <c r="P1120" s="3" t="s">
        <v>247</v>
      </c>
      <c r="Q1120" s="21"/>
      <c r="R1120" s="3" t="s">
        <v>247</v>
      </c>
      <c r="S1120" s="21" t="str">
        <f>"－"</f>
        <v>－</v>
      </c>
      <c r="T1120" s="21" t="str">
        <f>"－"</f>
        <v>－</v>
      </c>
      <c r="U1120" s="5" t="s">
        <v>268</v>
      </c>
      <c r="V1120" s="23" t="str">
        <f>"－"</f>
        <v>－</v>
      </c>
      <c r="W1120" s="5" t="s">
        <v>268</v>
      </c>
      <c r="X1120" s="23" t="str">
        <f>"－"</f>
        <v>－</v>
      </c>
      <c r="Y1120" s="23" t="str">
        <f>"－"</f>
        <v>－</v>
      </c>
      <c r="Z1120" s="21" t="str">
        <f>"－"</f>
        <v>－</v>
      </c>
      <c r="AA1120" s="21" t="str">
        <f>"－"</f>
        <v>－</v>
      </c>
      <c r="AB1120" s="4" t="s">
        <v>268</v>
      </c>
      <c r="AC1120" s="22" t="str">
        <f>"－"</f>
        <v>－</v>
      </c>
      <c r="AD1120" s="5" t="s">
        <v>268</v>
      </c>
      <c r="AE1120" s="23" t="str">
        <f>"－"</f>
        <v>－</v>
      </c>
    </row>
    <row r="1121">
      <c r="A1121" s="24" t="s">
        <v>2151</v>
      </c>
      <c r="B1121" s="25" t="s">
        <v>2152</v>
      </c>
      <c r="C1121" s="26" t="s">
        <v>1748</v>
      </c>
      <c r="D1121" s="27" t="s">
        <v>1749</v>
      </c>
      <c r="E1121" s="28" t="s">
        <v>89</v>
      </c>
      <c r="F1121" s="20" t="n">
        <f>121</f>
        <v>121.0</v>
      </c>
      <c r="G1121" s="21" t="str">
        <f>"－"</f>
        <v>－</v>
      </c>
      <c r="H1121" s="21"/>
      <c r="I1121" s="21" t="str">
        <f>"－"</f>
        <v>－</v>
      </c>
      <c r="J1121" s="21" t="str">
        <f>"－"</f>
        <v>－</v>
      </c>
      <c r="K1121" s="21" t="str">
        <f>"－"</f>
        <v>－</v>
      </c>
      <c r="L1121" s="4" t="s">
        <v>268</v>
      </c>
      <c r="M1121" s="22" t="str">
        <f>"－"</f>
        <v>－</v>
      </c>
      <c r="N1121" s="5" t="s">
        <v>268</v>
      </c>
      <c r="O1121" s="23" t="str">
        <f>"－"</f>
        <v>－</v>
      </c>
      <c r="P1121" s="3" t="s">
        <v>247</v>
      </c>
      <c r="Q1121" s="21"/>
      <c r="R1121" s="3" t="s">
        <v>247</v>
      </c>
      <c r="S1121" s="21" t="str">
        <f>"－"</f>
        <v>－</v>
      </c>
      <c r="T1121" s="21" t="str">
        <f>"－"</f>
        <v>－</v>
      </c>
      <c r="U1121" s="5" t="s">
        <v>268</v>
      </c>
      <c r="V1121" s="23" t="str">
        <f>"－"</f>
        <v>－</v>
      </c>
      <c r="W1121" s="5" t="s">
        <v>268</v>
      </c>
      <c r="X1121" s="23" t="str">
        <f>"－"</f>
        <v>－</v>
      </c>
      <c r="Y1121" s="23" t="str">
        <f>"－"</f>
        <v>－</v>
      </c>
      <c r="Z1121" s="21" t="str">
        <f>"－"</f>
        <v>－</v>
      </c>
      <c r="AA1121" s="21" t="str">
        <f>"－"</f>
        <v>－</v>
      </c>
      <c r="AB1121" s="4" t="s">
        <v>268</v>
      </c>
      <c r="AC1121" s="22" t="str">
        <f>"－"</f>
        <v>－</v>
      </c>
      <c r="AD1121" s="5" t="s">
        <v>268</v>
      </c>
      <c r="AE1121" s="23" t="str">
        <f>"－"</f>
        <v>－</v>
      </c>
    </row>
    <row r="1122">
      <c r="A1122" s="24" t="s">
        <v>2151</v>
      </c>
      <c r="B1122" s="25" t="s">
        <v>2152</v>
      </c>
      <c r="C1122" s="26" t="s">
        <v>1752</v>
      </c>
      <c r="D1122" s="27" t="s">
        <v>1753</v>
      </c>
      <c r="E1122" s="28" t="s">
        <v>89</v>
      </c>
      <c r="F1122" s="20" t="n">
        <f>121</f>
        <v>121.0</v>
      </c>
      <c r="G1122" s="21" t="str">
        <f>"－"</f>
        <v>－</v>
      </c>
      <c r="H1122" s="21"/>
      <c r="I1122" s="21" t="str">
        <f>"－"</f>
        <v>－</v>
      </c>
      <c r="J1122" s="21" t="str">
        <f>"－"</f>
        <v>－</v>
      </c>
      <c r="K1122" s="21" t="str">
        <f>"－"</f>
        <v>－</v>
      </c>
      <c r="L1122" s="4" t="s">
        <v>268</v>
      </c>
      <c r="M1122" s="22" t="str">
        <f>"－"</f>
        <v>－</v>
      </c>
      <c r="N1122" s="5" t="s">
        <v>268</v>
      </c>
      <c r="O1122" s="23" t="str">
        <f>"－"</f>
        <v>－</v>
      </c>
      <c r="P1122" s="3" t="s">
        <v>247</v>
      </c>
      <c r="Q1122" s="21"/>
      <c r="R1122" s="3" t="s">
        <v>247</v>
      </c>
      <c r="S1122" s="21" t="str">
        <f>"－"</f>
        <v>－</v>
      </c>
      <c r="T1122" s="21" t="str">
        <f>"－"</f>
        <v>－</v>
      </c>
      <c r="U1122" s="5" t="s">
        <v>268</v>
      </c>
      <c r="V1122" s="23" t="str">
        <f>"－"</f>
        <v>－</v>
      </c>
      <c r="W1122" s="5" t="s">
        <v>268</v>
      </c>
      <c r="X1122" s="23" t="str">
        <f>"－"</f>
        <v>－</v>
      </c>
      <c r="Y1122" s="23" t="str">
        <f>"－"</f>
        <v>－</v>
      </c>
      <c r="Z1122" s="21" t="str">
        <f>"－"</f>
        <v>－</v>
      </c>
      <c r="AA1122" s="21" t="str">
        <f>"－"</f>
        <v>－</v>
      </c>
      <c r="AB1122" s="4" t="s">
        <v>268</v>
      </c>
      <c r="AC1122" s="22" t="str">
        <f>"－"</f>
        <v>－</v>
      </c>
      <c r="AD1122" s="5" t="s">
        <v>268</v>
      </c>
      <c r="AE1122" s="23" t="str">
        <f>"－"</f>
        <v>－</v>
      </c>
    </row>
    <row r="1123">
      <c r="A1123" s="24" t="s">
        <v>2151</v>
      </c>
      <c r="B1123" s="25" t="s">
        <v>2152</v>
      </c>
      <c r="C1123" s="26" t="s">
        <v>1744</v>
      </c>
      <c r="D1123" s="27" t="s">
        <v>1745</v>
      </c>
      <c r="E1123" s="28" t="s">
        <v>95</v>
      </c>
      <c r="F1123" s="20" t="n">
        <f>124</f>
        <v>124.0</v>
      </c>
      <c r="G1123" s="21" t="str">
        <f>"－"</f>
        <v>－</v>
      </c>
      <c r="H1123" s="21"/>
      <c r="I1123" s="21" t="str">
        <f>"－"</f>
        <v>－</v>
      </c>
      <c r="J1123" s="21" t="str">
        <f>"－"</f>
        <v>－</v>
      </c>
      <c r="K1123" s="21" t="str">
        <f>"－"</f>
        <v>－</v>
      </c>
      <c r="L1123" s="4" t="s">
        <v>263</v>
      </c>
      <c r="M1123" s="22" t="str">
        <f>"－"</f>
        <v>－</v>
      </c>
      <c r="N1123" s="5" t="s">
        <v>263</v>
      </c>
      <c r="O1123" s="23" t="str">
        <f>"－"</f>
        <v>－</v>
      </c>
      <c r="P1123" s="3" t="s">
        <v>247</v>
      </c>
      <c r="Q1123" s="21"/>
      <c r="R1123" s="3" t="s">
        <v>247</v>
      </c>
      <c r="S1123" s="21" t="str">
        <f>"－"</f>
        <v>－</v>
      </c>
      <c r="T1123" s="21" t="str">
        <f>"－"</f>
        <v>－</v>
      </c>
      <c r="U1123" s="5" t="s">
        <v>263</v>
      </c>
      <c r="V1123" s="23" t="str">
        <f>"－"</f>
        <v>－</v>
      </c>
      <c r="W1123" s="5" t="s">
        <v>263</v>
      </c>
      <c r="X1123" s="23" t="str">
        <f>"－"</f>
        <v>－</v>
      </c>
      <c r="Y1123" s="23" t="str">
        <f>"－"</f>
        <v>－</v>
      </c>
      <c r="Z1123" s="21" t="str">
        <f>"－"</f>
        <v>－</v>
      </c>
      <c r="AA1123" s="21" t="str">
        <f>"－"</f>
        <v>－</v>
      </c>
      <c r="AB1123" s="4" t="s">
        <v>263</v>
      </c>
      <c r="AC1123" s="22" t="str">
        <f>"－"</f>
        <v>－</v>
      </c>
      <c r="AD1123" s="5" t="s">
        <v>263</v>
      </c>
      <c r="AE1123" s="23" t="str">
        <f>"－"</f>
        <v>－</v>
      </c>
    </row>
    <row r="1124">
      <c r="A1124" s="24" t="s">
        <v>2151</v>
      </c>
      <c r="B1124" s="25" t="s">
        <v>2152</v>
      </c>
      <c r="C1124" s="26" t="s">
        <v>1748</v>
      </c>
      <c r="D1124" s="27" t="s">
        <v>1749</v>
      </c>
      <c r="E1124" s="28" t="s">
        <v>95</v>
      </c>
      <c r="F1124" s="20" t="n">
        <f>124</f>
        <v>124.0</v>
      </c>
      <c r="G1124" s="21" t="str">
        <f>"－"</f>
        <v>－</v>
      </c>
      <c r="H1124" s="21"/>
      <c r="I1124" s="21" t="str">
        <f>"－"</f>
        <v>－</v>
      </c>
      <c r="J1124" s="21" t="str">
        <f>"－"</f>
        <v>－</v>
      </c>
      <c r="K1124" s="21" t="str">
        <f>"－"</f>
        <v>－</v>
      </c>
      <c r="L1124" s="4" t="s">
        <v>263</v>
      </c>
      <c r="M1124" s="22" t="str">
        <f>"－"</f>
        <v>－</v>
      </c>
      <c r="N1124" s="5" t="s">
        <v>263</v>
      </c>
      <c r="O1124" s="23" t="str">
        <f>"－"</f>
        <v>－</v>
      </c>
      <c r="P1124" s="3" t="s">
        <v>247</v>
      </c>
      <c r="Q1124" s="21"/>
      <c r="R1124" s="3" t="s">
        <v>247</v>
      </c>
      <c r="S1124" s="21" t="str">
        <f>"－"</f>
        <v>－</v>
      </c>
      <c r="T1124" s="21" t="str">
        <f>"－"</f>
        <v>－</v>
      </c>
      <c r="U1124" s="5" t="s">
        <v>263</v>
      </c>
      <c r="V1124" s="23" t="str">
        <f>"－"</f>
        <v>－</v>
      </c>
      <c r="W1124" s="5" t="s">
        <v>263</v>
      </c>
      <c r="X1124" s="23" t="str">
        <f>"－"</f>
        <v>－</v>
      </c>
      <c r="Y1124" s="23" t="str">
        <f>"－"</f>
        <v>－</v>
      </c>
      <c r="Z1124" s="21" t="str">
        <f>"－"</f>
        <v>－</v>
      </c>
      <c r="AA1124" s="21" t="str">
        <f>"－"</f>
        <v>－</v>
      </c>
      <c r="AB1124" s="4" t="s">
        <v>263</v>
      </c>
      <c r="AC1124" s="22" t="str">
        <f>"－"</f>
        <v>－</v>
      </c>
      <c r="AD1124" s="5" t="s">
        <v>263</v>
      </c>
      <c r="AE1124" s="23" t="str">
        <f>"－"</f>
        <v>－</v>
      </c>
    </row>
    <row r="1125">
      <c r="A1125" s="24" t="s">
        <v>2151</v>
      </c>
      <c r="B1125" s="25" t="s">
        <v>2152</v>
      </c>
      <c r="C1125" s="26" t="s">
        <v>1752</v>
      </c>
      <c r="D1125" s="27" t="s">
        <v>1753</v>
      </c>
      <c r="E1125" s="28" t="s">
        <v>95</v>
      </c>
      <c r="F1125" s="20" t="n">
        <f>124</f>
        <v>124.0</v>
      </c>
      <c r="G1125" s="21" t="str">
        <f>"－"</f>
        <v>－</v>
      </c>
      <c r="H1125" s="21"/>
      <c r="I1125" s="21" t="str">
        <f>"－"</f>
        <v>－</v>
      </c>
      <c r="J1125" s="21" t="str">
        <f>"－"</f>
        <v>－</v>
      </c>
      <c r="K1125" s="21" t="str">
        <f>"－"</f>
        <v>－</v>
      </c>
      <c r="L1125" s="4" t="s">
        <v>263</v>
      </c>
      <c r="M1125" s="22" t="str">
        <f>"－"</f>
        <v>－</v>
      </c>
      <c r="N1125" s="5" t="s">
        <v>263</v>
      </c>
      <c r="O1125" s="23" t="str">
        <f>"－"</f>
        <v>－</v>
      </c>
      <c r="P1125" s="3" t="s">
        <v>247</v>
      </c>
      <c r="Q1125" s="21"/>
      <c r="R1125" s="3" t="s">
        <v>247</v>
      </c>
      <c r="S1125" s="21" t="str">
        <f>"－"</f>
        <v>－</v>
      </c>
      <c r="T1125" s="21" t="str">
        <f>"－"</f>
        <v>－</v>
      </c>
      <c r="U1125" s="5" t="s">
        <v>263</v>
      </c>
      <c r="V1125" s="23" t="str">
        <f>"－"</f>
        <v>－</v>
      </c>
      <c r="W1125" s="5" t="s">
        <v>263</v>
      </c>
      <c r="X1125" s="23" t="str">
        <f>"－"</f>
        <v>－</v>
      </c>
      <c r="Y1125" s="23" t="str">
        <f>"－"</f>
        <v>－</v>
      </c>
      <c r="Z1125" s="21" t="str">
        <f>"－"</f>
        <v>－</v>
      </c>
      <c r="AA1125" s="21" t="str">
        <f>"－"</f>
        <v>－</v>
      </c>
      <c r="AB1125" s="4" t="s">
        <v>263</v>
      </c>
      <c r="AC1125" s="22" t="str">
        <f>"－"</f>
        <v>－</v>
      </c>
      <c r="AD1125" s="5" t="s">
        <v>263</v>
      </c>
      <c r="AE1125" s="23" t="str">
        <f>"－"</f>
        <v>－</v>
      </c>
    </row>
    <row r="1126">
      <c r="A1126" s="24" t="s">
        <v>2151</v>
      </c>
      <c r="B1126" s="25" t="s">
        <v>2152</v>
      </c>
      <c r="C1126" s="26" t="s">
        <v>1744</v>
      </c>
      <c r="D1126" s="27" t="s">
        <v>1745</v>
      </c>
      <c r="E1126" s="28" t="s">
        <v>101</v>
      </c>
      <c r="F1126" s="20" t="n">
        <f>120</f>
        <v>120.0</v>
      </c>
      <c r="G1126" s="21" t="str">
        <f>"－"</f>
        <v>－</v>
      </c>
      <c r="H1126" s="21"/>
      <c r="I1126" s="21" t="str">
        <f>"－"</f>
        <v>－</v>
      </c>
      <c r="J1126" s="21" t="str">
        <f>"－"</f>
        <v>－</v>
      </c>
      <c r="K1126" s="21" t="str">
        <f>"－"</f>
        <v>－</v>
      </c>
      <c r="L1126" s="4" t="s">
        <v>279</v>
      </c>
      <c r="M1126" s="22" t="str">
        <f>"－"</f>
        <v>－</v>
      </c>
      <c r="N1126" s="5" t="s">
        <v>279</v>
      </c>
      <c r="O1126" s="23" t="str">
        <f>"－"</f>
        <v>－</v>
      </c>
      <c r="P1126" s="3" t="s">
        <v>247</v>
      </c>
      <c r="Q1126" s="21"/>
      <c r="R1126" s="3" t="s">
        <v>247</v>
      </c>
      <c r="S1126" s="21" t="str">
        <f>"－"</f>
        <v>－</v>
      </c>
      <c r="T1126" s="21" t="str">
        <f>"－"</f>
        <v>－</v>
      </c>
      <c r="U1126" s="5" t="s">
        <v>279</v>
      </c>
      <c r="V1126" s="23" t="str">
        <f>"－"</f>
        <v>－</v>
      </c>
      <c r="W1126" s="5" t="s">
        <v>279</v>
      </c>
      <c r="X1126" s="23" t="str">
        <f>"－"</f>
        <v>－</v>
      </c>
      <c r="Y1126" s="23" t="str">
        <f>"－"</f>
        <v>－</v>
      </c>
      <c r="Z1126" s="21" t="str">
        <f>"－"</f>
        <v>－</v>
      </c>
      <c r="AA1126" s="21" t="str">
        <f>"－"</f>
        <v>－</v>
      </c>
      <c r="AB1126" s="4" t="s">
        <v>279</v>
      </c>
      <c r="AC1126" s="22" t="str">
        <f>"－"</f>
        <v>－</v>
      </c>
      <c r="AD1126" s="5" t="s">
        <v>279</v>
      </c>
      <c r="AE1126" s="23" t="str">
        <f>"－"</f>
        <v>－</v>
      </c>
    </row>
    <row r="1127">
      <c r="A1127" s="24" t="s">
        <v>2151</v>
      </c>
      <c r="B1127" s="25" t="s">
        <v>2152</v>
      </c>
      <c r="C1127" s="26" t="s">
        <v>1748</v>
      </c>
      <c r="D1127" s="27" t="s">
        <v>1749</v>
      </c>
      <c r="E1127" s="28" t="s">
        <v>101</v>
      </c>
      <c r="F1127" s="20" t="n">
        <f>120</f>
        <v>120.0</v>
      </c>
      <c r="G1127" s="21" t="str">
        <f>"－"</f>
        <v>－</v>
      </c>
      <c r="H1127" s="21"/>
      <c r="I1127" s="21" t="str">
        <f>"－"</f>
        <v>－</v>
      </c>
      <c r="J1127" s="21" t="str">
        <f>"－"</f>
        <v>－</v>
      </c>
      <c r="K1127" s="21" t="str">
        <f>"－"</f>
        <v>－</v>
      </c>
      <c r="L1127" s="4" t="s">
        <v>279</v>
      </c>
      <c r="M1127" s="22" t="str">
        <f>"－"</f>
        <v>－</v>
      </c>
      <c r="N1127" s="5" t="s">
        <v>279</v>
      </c>
      <c r="O1127" s="23" t="str">
        <f>"－"</f>
        <v>－</v>
      </c>
      <c r="P1127" s="3" t="s">
        <v>247</v>
      </c>
      <c r="Q1127" s="21"/>
      <c r="R1127" s="3" t="s">
        <v>247</v>
      </c>
      <c r="S1127" s="21" t="str">
        <f>"－"</f>
        <v>－</v>
      </c>
      <c r="T1127" s="21" t="str">
        <f>"－"</f>
        <v>－</v>
      </c>
      <c r="U1127" s="5" t="s">
        <v>279</v>
      </c>
      <c r="V1127" s="23" t="str">
        <f>"－"</f>
        <v>－</v>
      </c>
      <c r="W1127" s="5" t="s">
        <v>279</v>
      </c>
      <c r="X1127" s="23" t="str">
        <f>"－"</f>
        <v>－</v>
      </c>
      <c r="Y1127" s="23" t="str">
        <f>"－"</f>
        <v>－</v>
      </c>
      <c r="Z1127" s="21" t="str">
        <f>"－"</f>
        <v>－</v>
      </c>
      <c r="AA1127" s="21" t="str">
        <f>"－"</f>
        <v>－</v>
      </c>
      <c r="AB1127" s="4" t="s">
        <v>279</v>
      </c>
      <c r="AC1127" s="22" t="str">
        <f>"－"</f>
        <v>－</v>
      </c>
      <c r="AD1127" s="5" t="s">
        <v>279</v>
      </c>
      <c r="AE1127" s="23" t="str">
        <f>"－"</f>
        <v>－</v>
      </c>
    </row>
    <row r="1128">
      <c r="A1128" s="24" t="s">
        <v>2151</v>
      </c>
      <c r="B1128" s="25" t="s">
        <v>2152</v>
      </c>
      <c r="C1128" s="26" t="s">
        <v>1752</v>
      </c>
      <c r="D1128" s="27" t="s">
        <v>1753</v>
      </c>
      <c r="E1128" s="28" t="s">
        <v>101</v>
      </c>
      <c r="F1128" s="20" t="n">
        <f>120</f>
        <v>120.0</v>
      </c>
      <c r="G1128" s="21" t="str">
        <f>"－"</f>
        <v>－</v>
      </c>
      <c r="H1128" s="21"/>
      <c r="I1128" s="21" t="str">
        <f>"－"</f>
        <v>－</v>
      </c>
      <c r="J1128" s="21" t="str">
        <f>"－"</f>
        <v>－</v>
      </c>
      <c r="K1128" s="21" t="str">
        <f>"－"</f>
        <v>－</v>
      </c>
      <c r="L1128" s="4" t="s">
        <v>279</v>
      </c>
      <c r="M1128" s="22" t="str">
        <f>"－"</f>
        <v>－</v>
      </c>
      <c r="N1128" s="5" t="s">
        <v>279</v>
      </c>
      <c r="O1128" s="23" t="str">
        <f>"－"</f>
        <v>－</v>
      </c>
      <c r="P1128" s="3" t="s">
        <v>247</v>
      </c>
      <c r="Q1128" s="21"/>
      <c r="R1128" s="3" t="s">
        <v>247</v>
      </c>
      <c r="S1128" s="21" t="str">
        <f>"－"</f>
        <v>－</v>
      </c>
      <c r="T1128" s="21" t="str">
        <f>"－"</f>
        <v>－</v>
      </c>
      <c r="U1128" s="5" t="s">
        <v>279</v>
      </c>
      <c r="V1128" s="23" t="str">
        <f>"－"</f>
        <v>－</v>
      </c>
      <c r="W1128" s="5" t="s">
        <v>279</v>
      </c>
      <c r="X1128" s="23" t="str">
        <f>"－"</f>
        <v>－</v>
      </c>
      <c r="Y1128" s="23" t="str">
        <f>"－"</f>
        <v>－</v>
      </c>
      <c r="Z1128" s="21" t="str">
        <f>"－"</f>
        <v>－</v>
      </c>
      <c r="AA1128" s="21" t="str">
        <f>"－"</f>
        <v>－</v>
      </c>
      <c r="AB1128" s="4" t="s">
        <v>279</v>
      </c>
      <c r="AC1128" s="22" t="str">
        <f>"－"</f>
        <v>－</v>
      </c>
      <c r="AD1128" s="5" t="s">
        <v>279</v>
      </c>
      <c r="AE1128" s="23" t="str">
        <f>"－"</f>
        <v>－</v>
      </c>
    </row>
    <row r="1129">
      <c r="A1129" s="24" t="s">
        <v>2151</v>
      </c>
      <c r="B1129" s="25" t="s">
        <v>2152</v>
      </c>
      <c r="C1129" s="26" t="s">
        <v>1744</v>
      </c>
      <c r="D1129" s="27" t="s">
        <v>1745</v>
      </c>
      <c r="E1129" s="28" t="s">
        <v>106</v>
      </c>
      <c r="F1129" s="20" t="n">
        <f>121</f>
        <v>121.0</v>
      </c>
      <c r="G1129" s="21" t="str">
        <f>"－"</f>
        <v>－</v>
      </c>
      <c r="H1129" s="21"/>
      <c r="I1129" s="21" t="str">
        <f>"－"</f>
        <v>－</v>
      </c>
      <c r="J1129" s="21" t="str">
        <f>"－"</f>
        <v>－</v>
      </c>
      <c r="K1129" s="21" t="str">
        <f>"－"</f>
        <v>－</v>
      </c>
      <c r="L1129" s="4" t="s">
        <v>335</v>
      </c>
      <c r="M1129" s="22" t="str">
        <f>"－"</f>
        <v>－</v>
      </c>
      <c r="N1129" s="5" t="s">
        <v>335</v>
      </c>
      <c r="O1129" s="23" t="str">
        <f>"－"</f>
        <v>－</v>
      </c>
      <c r="P1129" s="3" t="s">
        <v>247</v>
      </c>
      <c r="Q1129" s="21"/>
      <c r="R1129" s="3" t="s">
        <v>247</v>
      </c>
      <c r="S1129" s="21" t="str">
        <f>"－"</f>
        <v>－</v>
      </c>
      <c r="T1129" s="21" t="str">
        <f>"－"</f>
        <v>－</v>
      </c>
      <c r="U1129" s="5" t="s">
        <v>335</v>
      </c>
      <c r="V1129" s="23" t="str">
        <f>"－"</f>
        <v>－</v>
      </c>
      <c r="W1129" s="5" t="s">
        <v>335</v>
      </c>
      <c r="X1129" s="23" t="str">
        <f>"－"</f>
        <v>－</v>
      </c>
      <c r="Y1129" s="23" t="str">
        <f>"－"</f>
        <v>－</v>
      </c>
      <c r="Z1129" s="21" t="str">
        <f>"－"</f>
        <v>－</v>
      </c>
      <c r="AA1129" s="21" t="str">
        <f>"－"</f>
        <v>－</v>
      </c>
      <c r="AB1129" s="4" t="s">
        <v>335</v>
      </c>
      <c r="AC1129" s="22" t="str">
        <f>"－"</f>
        <v>－</v>
      </c>
      <c r="AD1129" s="5" t="s">
        <v>335</v>
      </c>
      <c r="AE1129" s="23" t="str">
        <f>"－"</f>
        <v>－</v>
      </c>
    </row>
    <row r="1130">
      <c r="A1130" s="24" t="s">
        <v>2151</v>
      </c>
      <c r="B1130" s="25" t="s">
        <v>2152</v>
      </c>
      <c r="C1130" s="26" t="s">
        <v>1748</v>
      </c>
      <c r="D1130" s="27" t="s">
        <v>1749</v>
      </c>
      <c r="E1130" s="28" t="s">
        <v>106</v>
      </c>
      <c r="F1130" s="20" t="n">
        <f>121</f>
        <v>121.0</v>
      </c>
      <c r="G1130" s="21" t="str">
        <f>"－"</f>
        <v>－</v>
      </c>
      <c r="H1130" s="21"/>
      <c r="I1130" s="21" t="str">
        <f>"－"</f>
        <v>－</v>
      </c>
      <c r="J1130" s="21" t="str">
        <f>"－"</f>
        <v>－</v>
      </c>
      <c r="K1130" s="21" t="str">
        <f>"－"</f>
        <v>－</v>
      </c>
      <c r="L1130" s="4" t="s">
        <v>335</v>
      </c>
      <c r="M1130" s="22" t="str">
        <f>"－"</f>
        <v>－</v>
      </c>
      <c r="N1130" s="5" t="s">
        <v>335</v>
      </c>
      <c r="O1130" s="23" t="str">
        <f>"－"</f>
        <v>－</v>
      </c>
      <c r="P1130" s="3" t="s">
        <v>247</v>
      </c>
      <c r="Q1130" s="21"/>
      <c r="R1130" s="3" t="s">
        <v>247</v>
      </c>
      <c r="S1130" s="21" t="str">
        <f>"－"</f>
        <v>－</v>
      </c>
      <c r="T1130" s="21" t="str">
        <f>"－"</f>
        <v>－</v>
      </c>
      <c r="U1130" s="5" t="s">
        <v>335</v>
      </c>
      <c r="V1130" s="23" t="str">
        <f>"－"</f>
        <v>－</v>
      </c>
      <c r="W1130" s="5" t="s">
        <v>335</v>
      </c>
      <c r="X1130" s="23" t="str">
        <f>"－"</f>
        <v>－</v>
      </c>
      <c r="Y1130" s="23" t="str">
        <f>"－"</f>
        <v>－</v>
      </c>
      <c r="Z1130" s="21" t="str">
        <f>"－"</f>
        <v>－</v>
      </c>
      <c r="AA1130" s="21" t="str">
        <f>"－"</f>
        <v>－</v>
      </c>
      <c r="AB1130" s="4" t="s">
        <v>335</v>
      </c>
      <c r="AC1130" s="22" t="str">
        <f>"－"</f>
        <v>－</v>
      </c>
      <c r="AD1130" s="5" t="s">
        <v>335</v>
      </c>
      <c r="AE1130" s="23" t="str">
        <f>"－"</f>
        <v>－</v>
      </c>
    </row>
    <row r="1131">
      <c r="A1131" s="24" t="s">
        <v>2151</v>
      </c>
      <c r="B1131" s="25" t="s">
        <v>2152</v>
      </c>
      <c r="C1131" s="26" t="s">
        <v>1752</v>
      </c>
      <c r="D1131" s="27" t="s">
        <v>1753</v>
      </c>
      <c r="E1131" s="28" t="s">
        <v>106</v>
      </c>
      <c r="F1131" s="20" t="n">
        <f>121</f>
        <v>121.0</v>
      </c>
      <c r="G1131" s="21" t="str">
        <f>"－"</f>
        <v>－</v>
      </c>
      <c r="H1131" s="21"/>
      <c r="I1131" s="21" t="str">
        <f>"－"</f>
        <v>－</v>
      </c>
      <c r="J1131" s="21" t="str">
        <f>"－"</f>
        <v>－</v>
      </c>
      <c r="K1131" s="21" t="str">
        <f>"－"</f>
        <v>－</v>
      </c>
      <c r="L1131" s="4" t="s">
        <v>335</v>
      </c>
      <c r="M1131" s="22" t="str">
        <f>"－"</f>
        <v>－</v>
      </c>
      <c r="N1131" s="5" t="s">
        <v>335</v>
      </c>
      <c r="O1131" s="23" t="str">
        <f>"－"</f>
        <v>－</v>
      </c>
      <c r="P1131" s="3" t="s">
        <v>247</v>
      </c>
      <c r="Q1131" s="21"/>
      <c r="R1131" s="3" t="s">
        <v>247</v>
      </c>
      <c r="S1131" s="21" t="str">
        <f>"－"</f>
        <v>－</v>
      </c>
      <c r="T1131" s="21" t="str">
        <f>"－"</f>
        <v>－</v>
      </c>
      <c r="U1131" s="5" t="s">
        <v>335</v>
      </c>
      <c r="V1131" s="23" t="str">
        <f>"－"</f>
        <v>－</v>
      </c>
      <c r="W1131" s="5" t="s">
        <v>335</v>
      </c>
      <c r="X1131" s="23" t="str">
        <f>"－"</f>
        <v>－</v>
      </c>
      <c r="Y1131" s="23" t="str">
        <f>"－"</f>
        <v>－</v>
      </c>
      <c r="Z1131" s="21" t="str">
        <f>"－"</f>
        <v>－</v>
      </c>
      <c r="AA1131" s="21" t="str">
        <f>"－"</f>
        <v>－</v>
      </c>
      <c r="AB1131" s="4" t="s">
        <v>335</v>
      </c>
      <c r="AC1131" s="22" t="str">
        <f>"－"</f>
        <v>－</v>
      </c>
      <c r="AD1131" s="5" t="s">
        <v>335</v>
      </c>
      <c r="AE1131" s="23" t="str">
        <f>"－"</f>
        <v>－</v>
      </c>
    </row>
    <row r="1132">
      <c r="A1132" s="24" t="s">
        <v>2151</v>
      </c>
      <c r="B1132" s="25" t="s">
        <v>2152</v>
      </c>
      <c r="C1132" s="26" t="s">
        <v>1744</v>
      </c>
      <c r="D1132" s="27" t="s">
        <v>1745</v>
      </c>
      <c r="E1132" s="28" t="s">
        <v>112</v>
      </c>
      <c r="F1132" s="20" t="n">
        <f>120</f>
        <v>120.0</v>
      </c>
      <c r="G1132" s="21" t="str">
        <f>"－"</f>
        <v>－</v>
      </c>
      <c r="H1132" s="21"/>
      <c r="I1132" s="21" t="str">
        <f>"－"</f>
        <v>－</v>
      </c>
      <c r="J1132" s="21" t="str">
        <f>"－"</f>
        <v>－</v>
      </c>
      <c r="K1132" s="21" t="str">
        <f>"－"</f>
        <v>－</v>
      </c>
      <c r="L1132" s="4" t="s">
        <v>279</v>
      </c>
      <c r="M1132" s="22" t="str">
        <f>"－"</f>
        <v>－</v>
      </c>
      <c r="N1132" s="5" t="s">
        <v>279</v>
      </c>
      <c r="O1132" s="23" t="str">
        <f>"－"</f>
        <v>－</v>
      </c>
      <c r="P1132" s="3" t="s">
        <v>247</v>
      </c>
      <c r="Q1132" s="21"/>
      <c r="R1132" s="3" t="s">
        <v>247</v>
      </c>
      <c r="S1132" s="21" t="str">
        <f>"－"</f>
        <v>－</v>
      </c>
      <c r="T1132" s="21" t="str">
        <f>"－"</f>
        <v>－</v>
      </c>
      <c r="U1132" s="5" t="s">
        <v>279</v>
      </c>
      <c r="V1132" s="23" t="str">
        <f>"－"</f>
        <v>－</v>
      </c>
      <c r="W1132" s="5" t="s">
        <v>279</v>
      </c>
      <c r="X1132" s="23" t="str">
        <f>"－"</f>
        <v>－</v>
      </c>
      <c r="Y1132" s="23" t="str">
        <f>"－"</f>
        <v>－</v>
      </c>
      <c r="Z1132" s="21" t="str">
        <f>"－"</f>
        <v>－</v>
      </c>
      <c r="AA1132" s="21" t="str">
        <f>"－"</f>
        <v>－</v>
      </c>
      <c r="AB1132" s="4" t="s">
        <v>279</v>
      </c>
      <c r="AC1132" s="22" t="str">
        <f>"－"</f>
        <v>－</v>
      </c>
      <c r="AD1132" s="5" t="s">
        <v>279</v>
      </c>
      <c r="AE1132" s="23" t="str">
        <f>"－"</f>
        <v>－</v>
      </c>
    </row>
    <row r="1133">
      <c r="A1133" s="24" t="s">
        <v>2151</v>
      </c>
      <c r="B1133" s="25" t="s">
        <v>2152</v>
      </c>
      <c r="C1133" s="26" t="s">
        <v>1748</v>
      </c>
      <c r="D1133" s="27" t="s">
        <v>1749</v>
      </c>
      <c r="E1133" s="28" t="s">
        <v>112</v>
      </c>
      <c r="F1133" s="20" t="n">
        <f>120</f>
        <v>120.0</v>
      </c>
      <c r="G1133" s="21" t="str">
        <f>"－"</f>
        <v>－</v>
      </c>
      <c r="H1133" s="21"/>
      <c r="I1133" s="21" t="str">
        <f>"－"</f>
        <v>－</v>
      </c>
      <c r="J1133" s="21" t="str">
        <f>"－"</f>
        <v>－</v>
      </c>
      <c r="K1133" s="21" t="str">
        <f>"－"</f>
        <v>－</v>
      </c>
      <c r="L1133" s="4" t="s">
        <v>279</v>
      </c>
      <c r="M1133" s="22" t="str">
        <f>"－"</f>
        <v>－</v>
      </c>
      <c r="N1133" s="5" t="s">
        <v>279</v>
      </c>
      <c r="O1133" s="23" t="str">
        <f>"－"</f>
        <v>－</v>
      </c>
      <c r="P1133" s="3" t="s">
        <v>247</v>
      </c>
      <c r="Q1133" s="21"/>
      <c r="R1133" s="3" t="s">
        <v>247</v>
      </c>
      <c r="S1133" s="21" t="str">
        <f>"－"</f>
        <v>－</v>
      </c>
      <c r="T1133" s="21" t="str">
        <f>"－"</f>
        <v>－</v>
      </c>
      <c r="U1133" s="5" t="s">
        <v>279</v>
      </c>
      <c r="V1133" s="23" t="str">
        <f>"－"</f>
        <v>－</v>
      </c>
      <c r="W1133" s="5" t="s">
        <v>279</v>
      </c>
      <c r="X1133" s="23" t="str">
        <f>"－"</f>
        <v>－</v>
      </c>
      <c r="Y1133" s="23" t="str">
        <f>"－"</f>
        <v>－</v>
      </c>
      <c r="Z1133" s="21" t="str">
        <f>"－"</f>
        <v>－</v>
      </c>
      <c r="AA1133" s="21" t="str">
        <f>"－"</f>
        <v>－</v>
      </c>
      <c r="AB1133" s="4" t="s">
        <v>279</v>
      </c>
      <c r="AC1133" s="22" t="str">
        <f>"－"</f>
        <v>－</v>
      </c>
      <c r="AD1133" s="5" t="s">
        <v>279</v>
      </c>
      <c r="AE1133" s="23" t="str">
        <f>"－"</f>
        <v>－</v>
      </c>
    </row>
    <row r="1134">
      <c r="A1134" s="24" t="s">
        <v>2151</v>
      </c>
      <c r="B1134" s="25" t="s">
        <v>2152</v>
      </c>
      <c r="C1134" s="26" t="s">
        <v>1752</v>
      </c>
      <c r="D1134" s="27" t="s">
        <v>1753</v>
      </c>
      <c r="E1134" s="28" t="s">
        <v>112</v>
      </c>
      <c r="F1134" s="20" t="n">
        <f>120</f>
        <v>120.0</v>
      </c>
      <c r="G1134" s="21" t="str">
        <f>"－"</f>
        <v>－</v>
      </c>
      <c r="H1134" s="21"/>
      <c r="I1134" s="21" t="str">
        <f>"－"</f>
        <v>－</v>
      </c>
      <c r="J1134" s="21" t="str">
        <f>"－"</f>
        <v>－</v>
      </c>
      <c r="K1134" s="21" t="str">
        <f>"－"</f>
        <v>－</v>
      </c>
      <c r="L1134" s="4" t="s">
        <v>279</v>
      </c>
      <c r="M1134" s="22" t="str">
        <f>"－"</f>
        <v>－</v>
      </c>
      <c r="N1134" s="5" t="s">
        <v>279</v>
      </c>
      <c r="O1134" s="23" t="str">
        <f>"－"</f>
        <v>－</v>
      </c>
      <c r="P1134" s="3" t="s">
        <v>247</v>
      </c>
      <c r="Q1134" s="21"/>
      <c r="R1134" s="3" t="s">
        <v>247</v>
      </c>
      <c r="S1134" s="21" t="str">
        <f>"－"</f>
        <v>－</v>
      </c>
      <c r="T1134" s="21" t="str">
        <f>"－"</f>
        <v>－</v>
      </c>
      <c r="U1134" s="5" t="s">
        <v>279</v>
      </c>
      <c r="V1134" s="23" t="str">
        <f>"－"</f>
        <v>－</v>
      </c>
      <c r="W1134" s="5" t="s">
        <v>279</v>
      </c>
      <c r="X1134" s="23" t="str">
        <f>"－"</f>
        <v>－</v>
      </c>
      <c r="Y1134" s="23" t="str">
        <f>"－"</f>
        <v>－</v>
      </c>
      <c r="Z1134" s="21" t="str">
        <f>"－"</f>
        <v>－</v>
      </c>
      <c r="AA1134" s="21" t="str">
        <f>"－"</f>
        <v>－</v>
      </c>
      <c r="AB1134" s="4" t="s">
        <v>279</v>
      </c>
      <c r="AC1134" s="22" t="str">
        <f>"－"</f>
        <v>－</v>
      </c>
      <c r="AD1134" s="5" t="s">
        <v>279</v>
      </c>
      <c r="AE1134" s="23" t="str">
        <f>"－"</f>
        <v>－</v>
      </c>
    </row>
    <row r="1135">
      <c r="A1135" s="24" t="s">
        <v>2151</v>
      </c>
      <c r="B1135" s="25" t="s">
        <v>2152</v>
      </c>
      <c r="C1135" s="26" t="s">
        <v>1744</v>
      </c>
      <c r="D1135" s="27" t="s">
        <v>1745</v>
      </c>
      <c r="E1135" s="28" t="s">
        <v>118</v>
      </c>
      <c r="F1135" s="20" t="n">
        <f>122</f>
        <v>122.0</v>
      </c>
      <c r="G1135" s="21" t="str">
        <f>"－"</f>
        <v>－</v>
      </c>
      <c r="H1135" s="21"/>
      <c r="I1135" s="21" t="str">
        <f>"－"</f>
        <v>－</v>
      </c>
      <c r="J1135" s="21" t="str">
        <f>"－"</f>
        <v>－</v>
      </c>
      <c r="K1135" s="21" t="str">
        <f>"－"</f>
        <v>－</v>
      </c>
      <c r="L1135" s="4" t="s">
        <v>335</v>
      </c>
      <c r="M1135" s="22" t="str">
        <f>"－"</f>
        <v>－</v>
      </c>
      <c r="N1135" s="5" t="s">
        <v>335</v>
      </c>
      <c r="O1135" s="23" t="str">
        <f>"－"</f>
        <v>－</v>
      </c>
      <c r="P1135" s="3" t="s">
        <v>247</v>
      </c>
      <c r="Q1135" s="21"/>
      <c r="R1135" s="3" t="s">
        <v>247</v>
      </c>
      <c r="S1135" s="21" t="str">
        <f>"－"</f>
        <v>－</v>
      </c>
      <c r="T1135" s="21" t="str">
        <f>"－"</f>
        <v>－</v>
      </c>
      <c r="U1135" s="5" t="s">
        <v>335</v>
      </c>
      <c r="V1135" s="23" t="str">
        <f>"－"</f>
        <v>－</v>
      </c>
      <c r="W1135" s="5" t="s">
        <v>335</v>
      </c>
      <c r="X1135" s="23" t="str">
        <f>"－"</f>
        <v>－</v>
      </c>
      <c r="Y1135" s="23" t="str">
        <f>"－"</f>
        <v>－</v>
      </c>
      <c r="Z1135" s="21" t="str">
        <f>"－"</f>
        <v>－</v>
      </c>
      <c r="AA1135" s="21" t="str">
        <f>"－"</f>
        <v>－</v>
      </c>
      <c r="AB1135" s="4" t="s">
        <v>335</v>
      </c>
      <c r="AC1135" s="22" t="str">
        <f>"－"</f>
        <v>－</v>
      </c>
      <c r="AD1135" s="5" t="s">
        <v>335</v>
      </c>
      <c r="AE1135" s="23" t="str">
        <f>"－"</f>
        <v>－</v>
      </c>
    </row>
    <row r="1136">
      <c r="A1136" s="24" t="s">
        <v>2151</v>
      </c>
      <c r="B1136" s="25" t="s">
        <v>2152</v>
      </c>
      <c r="C1136" s="26" t="s">
        <v>1748</v>
      </c>
      <c r="D1136" s="27" t="s">
        <v>1749</v>
      </c>
      <c r="E1136" s="28" t="s">
        <v>118</v>
      </c>
      <c r="F1136" s="20" t="n">
        <f>122</f>
        <v>122.0</v>
      </c>
      <c r="G1136" s="21" t="str">
        <f>"－"</f>
        <v>－</v>
      </c>
      <c r="H1136" s="21"/>
      <c r="I1136" s="21" t="str">
        <f>"－"</f>
        <v>－</v>
      </c>
      <c r="J1136" s="21" t="str">
        <f>"－"</f>
        <v>－</v>
      </c>
      <c r="K1136" s="21" t="str">
        <f>"－"</f>
        <v>－</v>
      </c>
      <c r="L1136" s="4" t="s">
        <v>335</v>
      </c>
      <c r="M1136" s="22" t="str">
        <f>"－"</f>
        <v>－</v>
      </c>
      <c r="N1136" s="5" t="s">
        <v>335</v>
      </c>
      <c r="O1136" s="23" t="str">
        <f>"－"</f>
        <v>－</v>
      </c>
      <c r="P1136" s="3" t="s">
        <v>247</v>
      </c>
      <c r="Q1136" s="21"/>
      <c r="R1136" s="3" t="s">
        <v>247</v>
      </c>
      <c r="S1136" s="21" t="str">
        <f>"－"</f>
        <v>－</v>
      </c>
      <c r="T1136" s="21" t="str">
        <f>"－"</f>
        <v>－</v>
      </c>
      <c r="U1136" s="5" t="s">
        <v>335</v>
      </c>
      <c r="V1136" s="23" t="str">
        <f>"－"</f>
        <v>－</v>
      </c>
      <c r="W1136" s="5" t="s">
        <v>335</v>
      </c>
      <c r="X1136" s="23" t="str">
        <f>"－"</f>
        <v>－</v>
      </c>
      <c r="Y1136" s="23" t="str">
        <f>"－"</f>
        <v>－</v>
      </c>
      <c r="Z1136" s="21" t="str">
        <f>"－"</f>
        <v>－</v>
      </c>
      <c r="AA1136" s="21" t="str">
        <f>"－"</f>
        <v>－</v>
      </c>
      <c r="AB1136" s="4" t="s">
        <v>335</v>
      </c>
      <c r="AC1136" s="22" t="str">
        <f>"－"</f>
        <v>－</v>
      </c>
      <c r="AD1136" s="5" t="s">
        <v>335</v>
      </c>
      <c r="AE1136" s="23" t="str">
        <f>"－"</f>
        <v>－</v>
      </c>
    </row>
    <row r="1137">
      <c r="A1137" s="24" t="s">
        <v>2151</v>
      </c>
      <c r="B1137" s="25" t="s">
        <v>2152</v>
      </c>
      <c r="C1137" s="26" t="s">
        <v>1752</v>
      </c>
      <c r="D1137" s="27" t="s">
        <v>1753</v>
      </c>
      <c r="E1137" s="28" t="s">
        <v>118</v>
      </c>
      <c r="F1137" s="20" t="n">
        <f>122</f>
        <v>122.0</v>
      </c>
      <c r="G1137" s="21" t="str">
        <f>"－"</f>
        <v>－</v>
      </c>
      <c r="H1137" s="21"/>
      <c r="I1137" s="21" t="str">
        <f>"－"</f>
        <v>－</v>
      </c>
      <c r="J1137" s="21" t="str">
        <f>"－"</f>
        <v>－</v>
      </c>
      <c r="K1137" s="21" t="str">
        <f>"－"</f>
        <v>－</v>
      </c>
      <c r="L1137" s="4" t="s">
        <v>335</v>
      </c>
      <c r="M1137" s="22" t="str">
        <f>"－"</f>
        <v>－</v>
      </c>
      <c r="N1137" s="5" t="s">
        <v>335</v>
      </c>
      <c r="O1137" s="23" t="str">
        <f>"－"</f>
        <v>－</v>
      </c>
      <c r="P1137" s="3" t="s">
        <v>247</v>
      </c>
      <c r="Q1137" s="21"/>
      <c r="R1137" s="3" t="s">
        <v>247</v>
      </c>
      <c r="S1137" s="21" t="str">
        <f>"－"</f>
        <v>－</v>
      </c>
      <c r="T1137" s="21" t="str">
        <f>"－"</f>
        <v>－</v>
      </c>
      <c r="U1137" s="5" t="s">
        <v>335</v>
      </c>
      <c r="V1137" s="23" t="str">
        <f>"－"</f>
        <v>－</v>
      </c>
      <c r="W1137" s="5" t="s">
        <v>335</v>
      </c>
      <c r="X1137" s="23" t="str">
        <f>"－"</f>
        <v>－</v>
      </c>
      <c r="Y1137" s="23" t="str">
        <f>"－"</f>
        <v>－</v>
      </c>
      <c r="Z1137" s="21" t="str">
        <f>"－"</f>
        <v>－</v>
      </c>
      <c r="AA1137" s="21" t="str">
        <f>"－"</f>
        <v>－</v>
      </c>
      <c r="AB1137" s="4" t="s">
        <v>335</v>
      </c>
      <c r="AC1137" s="22" t="str">
        <f>"－"</f>
        <v>－</v>
      </c>
      <c r="AD1137" s="5" t="s">
        <v>335</v>
      </c>
      <c r="AE1137" s="23" t="str">
        <f>"－"</f>
        <v>－</v>
      </c>
    </row>
    <row r="1138">
      <c r="A1138" s="24" t="s">
        <v>2151</v>
      </c>
      <c r="B1138" s="25" t="s">
        <v>2152</v>
      </c>
      <c r="C1138" s="26" t="s">
        <v>1744</v>
      </c>
      <c r="D1138" s="27" t="s">
        <v>1745</v>
      </c>
      <c r="E1138" s="28" t="s">
        <v>124</v>
      </c>
      <c r="F1138" s="20" t="n">
        <f>123</f>
        <v>123.0</v>
      </c>
      <c r="G1138" s="21" t="str">
        <f>"－"</f>
        <v>－</v>
      </c>
      <c r="H1138" s="21"/>
      <c r="I1138" s="21" t="str">
        <f>"－"</f>
        <v>－</v>
      </c>
      <c r="J1138" s="21" t="str">
        <f>"－"</f>
        <v>－</v>
      </c>
      <c r="K1138" s="21" t="str">
        <f>"－"</f>
        <v>－</v>
      </c>
      <c r="L1138" s="4" t="s">
        <v>279</v>
      </c>
      <c r="M1138" s="22" t="str">
        <f>"－"</f>
        <v>－</v>
      </c>
      <c r="N1138" s="5" t="s">
        <v>279</v>
      </c>
      <c r="O1138" s="23" t="str">
        <f>"－"</f>
        <v>－</v>
      </c>
      <c r="P1138" s="3" t="s">
        <v>247</v>
      </c>
      <c r="Q1138" s="21"/>
      <c r="R1138" s="3" t="s">
        <v>247</v>
      </c>
      <c r="S1138" s="21" t="str">
        <f>"－"</f>
        <v>－</v>
      </c>
      <c r="T1138" s="21" t="str">
        <f>"－"</f>
        <v>－</v>
      </c>
      <c r="U1138" s="5" t="s">
        <v>279</v>
      </c>
      <c r="V1138" s="23" t="str">
        <f>"－"</f>
        <v>－</v>
      </c>
      <c r="W1138" s="5" t="s">
        <v>279</v>
      </c>
      <c r="X1138" s="23" t="str">
        <f>"－"</f>
        <v>－</v>
      </c>
      <c r="Y1138" s="23" t="str">
        <f>"－"</f>
        <v>－</v>
      </c>
      <c r="Z1138" s="21" t="str">
        <f>"－"</f>
        <v>－</v>
      </c>
      <c r="AA1138" s="21" t="str">
        <f>"－"</f>
        <v>－</v>
      </c>
      <c r="AB1138" s="4" t="s">
        <v>279</v>
      </c>
      <c r="AC1138" s="22" t="str">
        <f>"－"</f>
        <v>－</v>
      </c>
      <c r="AD1138" s="5" t="s">
        <v>279</v>
      </c>
      <c r="AE1138" s="23" t="str">
        <f>"－"</f>
        <v>－</v>
      </c>
    </row>
    <row r="1139">
      <c r="A1139" s="24" t="s">
        <v>2151</v>
      </c>
      <c r="B1139" s="25" t="s">
        <v>2152</v>
      </c>
      <c r="C1139" s="26" t="s">
        <v>1748</v>
      </c>
      <c r="D1139" s="27" t="s">
        <v>1749</v>
      </c>
      <c r="E1139" s="28" t="s">
        <v>124</v>
      </c>
      <c r="F1139" s="20" t="n">
        <f>123</f>
        <v>123.0</v>
      </c>
      <c r="G1139" s="21" t="str">
        <f>"－"</f>
        <v>－</v>
      </c>
      <c r="H1139" s="21"/>
      <c r="I1139" s="21" t="str">
        <f>"－"</f>
        <v>－</v>
      </c>
      <c r="J1139" s="21" t="str">
        <f>"－"</f>
        <v>－</v>
      </c>
      <c r="K1139" s="21" t="str">
        <f>"－"</f>
        <v>－</v>
      </c>
      <c r="L1139" s="4" t="s">
        <v>279</v>
      </c>
      <c r="M1139" s="22" t="str">
        <f>"－"</f>
        <v>－</v>
      </c>
      <c r="N1139" s="5" t="s">
        <v>279</v>
      </c>
      <c r="O1139" s="23" t="str">
        <f>"－"</f>
        <v>－</v>
      </c>
      <c r="P1139" s="3" t="s">
        <v>247</v>
      </c>
      <c r="Q1139" s="21"/>
      <c r="R1139" s="3" t="s">
        <v>247</v>
      </c>
      <c r="S1139" s="21" t="str">
        <f>"－"</f>
        <v>－</v>
      </c>
      <c r="T1139" s="21" t="str">
        <f>"－"</f>
        <v>－</v>
      </c>
      <c r="U1139" s="5" t="s">
        <v>279</v>
      </c>
      <c r="V1139" s="23" t="str">
        <f>"－"</f>
        <v>－</v>
      </c>
      <c r="W1139" s="5" t="s">
        <v>279</v>
      </c>
      <c r="X1139" s="23" t="str">
        <f>"－"</f>
        <v>－</v>
      </c>
      <c r="Y1139" s="23" t="str">
        <f>"－"</f>
        <v>－</v>
      </c>
      <c r="Z1139" s="21" t="str">
        <f>"－"</f>
        <v>－</v>
      </c>
      <c r="AA1139" s="21" t="str">
        <f>"－"</f>
        <v>－</v>
      </c>
      <c r="AB1139" s="4" t="s">
        <v>279</v>
      </c>
      <c r="AC1139" s="22" t="str">
        <f>"－"</f>
        <v>－</v>
      </c>
      <c r="AD1139" s="5" t="s">
        <v>279</v>
      </c>
      <c r="AE1139" s="23" t="str">
        <f>"－"</f>
        <v>－</v>
      </c>
    </row>
    <row r="1140">
      <c r="A1140" s="24" t="s">
        <v>2151</v>
      </c>
      <c r="B1140" s="25" t="s">
        <v>2152</v>
      </c>
      <c r="C1140" s="26" t="s">
        <v>1752</v>
      </c>
      <c r="D1140" s="27" t="s">
        <v>1753</v>
      </c>
      <c r="E1140" s="28" t="s">
        <v>124</v>
      </c>
      <c r="F1140" s="20" t="n">
        <f>123</f>
        <v>123.0</v>
      </c>
      <c r="G1140" s="21" t="str">
        <f>"－"</f>
        <v>－</v>
      </c>
      <c r="H1140" s="21"/>
      <c r="I1140" s="21" t="str">
        <f>"－"</f>
        <v>－</v>
      </c>
      <c r="J1140" s="21" t="str">
        <f>"－"</f>
        <v>－</v>
      </c>
      <c r="K1140" s="21" t="str">
        <f>"－"</f>
        <v>－</v>
      </c>
      <c r="L1140" s="4" t="s">
        <v>279</v>
      </c>
      <c r="M1140" s="22" t="str">
        <f>"－"</f>
        <v>－</v>
      </c>
      <c r="N1140" s="5" t="s">
        <v>279</v>
      </c>
      <c r="O1140" s="23" t="str">
        <f>"－"</f>
        <v>－</v>
      </c>
      <c r="P1140" s="3" t="s">
        <v>247</v>
      </c>
      <c r="Q1140" s="21"/>
      <c r="R1140" s="3" t="s">
        <v>247</v>
      </c>
      <c r="S1140" s="21" t="str">
        <f>"－"</f>
        <v>－</v>
      </c>
      <c r="T1140" s="21" t="str">
        <f>"－"</f>
        <v>－</v>
      </c>
      <c r="U1140" s="5" t="s">
        <v>279</v>
      </c>
      <c r="V1140" s="23" t="str">
        <f>"－"</f>
        <v>－</v>
      </c>
      <c r="W1140" s="5" t="s">
        <v>279</v>
      </c>
      <c r="X1140" s="23" t="str">
        <f>"－"</f>
        <v>－</v>
      </c>
      <c r="Y1140" s="23" t="str">
        <f>"－"</f>
        <v>－</v>
      </c>
      <c r="Z1140" s="21" t="str">
        <f>"－"</f>
        <v>－</v>
      </c>
      <c r="AA1140" s="21" t="str">
        <f>"－"</f>
        <v>－</v>
      </c>
      <c r="AB1140" s="4" t="s">
        <v>279</v>
      </c>
      <c r="AC1140" s="22" t="str">
        <f>"－"</f>
        <v>－</v>
      </c>
      <c r="AD1140" s="5" t="s">
        <v>279</v>
      </c>
      <c r="AE1140" s="23" t="str">
        <f>"－"</f>
        <v>－</v>
      </c>
    </row>
    <row r="1141">
      <c r="A1141" s="24" t="s">
        <v>2151</v>
      </c>
      <c r="B1141" s="25" t="s">
        <v>2152</v>
      </c>
      <c r="C1141" s="26" t="s">
        <v>1744</v>
      </c>
      <c r="D1141" s="27" t="s">
        <v>1745</v>
      </c>
      <c r="E1141" s="28" t="s">
        <v>127</v>
      </c>
      <c r="F1141" s="20" t="n">
        <f>122</f>
        <v>122.0</v>
      </c>
      <c r="G1141" s="21" t="str">
        <f>"－"</f>
        <v>－</v>
      </c>
      <c r="H1141" s="21"/>
      <c r="I1141" s="21" t="str">
        <f>"－"</f>
        <v>－</v>
      </c>
      <c r="J1141" s="21" t="str">
        <f>"－"</f>
        <v>－</v>
      </c>
      <c r="K1141" s="21" t="str">
        <f>"－"</f>
        <v>－</v>
      </c>
      <c r="L1141" s="4" t="s">
        <v>335</v>
      </c>
      <c r="M1141" s="22" t="str">
        <f>"－"</f>
        <v>－</v>
      </c>
      <c r="N1141" s="5" t="s">
        <v>335</v>
      </c>
      <c r="O1141" s="23" t="str">
        <f>"－"</f>
        <v>－</v>
      </c>
      <c r="P1141" s="3" t="s">
        <v>247</v>
      </c>
      <c r="Q1141" s="21"/>
      <c r="R1141" s="3" t="s">
        <v>247</v>
      </c>
      <c r="S1141" s="21" t="str">
        <f>"－"</f>
        <v>－</v>
      </c>
      <c r="T1141" s="21" t="str">
        <f>"－"</f>
        <v>－</v>
      </c>
      <c r="U1141" s="5" t="s">
        <v>335</v>
      </c>
      <c r="V1141" s="23" t="str">
        <f>"－"</f>
        <v>－</v>
      </c>
      <c r="W1141" s="5" t="s">
        <v>335</v>
      </c>
      <c r="X1141" s="23" t="str">
        <f>"－"</f>
        <v>－</v>
      </c>
      <c r="Y1141" s="23" t="str">
        <f>"－"</f>
        <v>－</v>
      </c>
      <c r="Z1141" s="21" t="str">
        <f>"－"</f>
        <v>－</v>
      </c>
      <c r="AA1141" s="21" t="str">
        <f>"－"</f>
        <v>－</v>
      </c>
      <c r="AB1141" s="4" t="s">
        <v>335</v>
      </c>
      <c r="AC1141" s="22" t="str">
        <f>"－"</f>
        <v>－</v>
      </c>
      <c r="AD1141" s="5" t="s">
        <v>335</v>
      </c>
      <c r="AE1141" s="23" t="str">
        <f>"－"</f>
        <v>－</v>
      </c>
    </row>
    <row r="1142">
      <c r="A1142" s="24" t="s">
        <v>2151</v>
      </c>
      <c r="B1142" s="25" t="s">
        <v>2152</v>
      </c>
      <c r="C1142" s="26" t="s">
        <v>1748</v>
      </c>
      <c r="D1142" s="27" t="s">
        <v>1749</v>
      </c>
      <c r="E1142" s="28" t="s">
        <v>127</v>
      </c>
      <c r="F1142" s="20" t="n">
        <f>122</f>
        <v>122.0</v>
      </c>
      <c r="G1142" s="21" t="str">
        <f>"－"</f>
        <v>－</v>
      </c>
      <c r="H1142" s="21"/>
      <c r="I1142" s="21" t="str">
        <f>"－"</f>
        <v>－</v>
      </c>
      <c r="J1142" s="21" t="str">
        <f>"－"</f>
        <v>－</v>
      </c>
      <c r="K1142" s="21" t="str">
        <f>"－"</f>
        <v>－</v>
      </c>
      <c r="L1142" s="4" t="s">
        <v>335</v>
      </c>
      <c r="M1142" s="22" t="str">
        <f>"－"</f>
        <v>－</v>
      </c>
      <c r="N1142" s="5" t="s">
        <v>335</v>
      </c>
      <c r="O1142" s="23" t="str">
        <f>"－"</f>
        <v>－</v>
      </c>
      <c r="P1142" s="3" t="s">
        <v>247</v>
      </c>
      <c r="Q1142" s="21"/>
      <c r="R1142" s="3" t="s">
        <v>247</v>
      </c>
      <c r="S1142" s="21" t="str">
        <f>"－"</f>
        <v>－</v>
      </c>
      <c r="T1142" s="21" t="str">
        <f>"－"</f>
        <v>－</v>
      </c>
      <c r="U1142" s="5" t="s">
        <v>335</v>
      </c>
      <c r="V1142" s="23" t="str">
        <f>"－"</f>
        <v>－</v>
      </c>
      <c r="W1142" s="5" t="s">
        <v>335</v>
      </c>
      <c r="X1142" s="23" t="str">
        <f>"－"</f>
        <v>－</v>
      </c>
      <c r="Y1142" s="23" t="str">
        <f>"－"</f>
        <v>－</v>
      </c>
      <c r="Z1142" s="21" t="str">
        <f>"－"</f>
        <v>－</v>
      </c>
      <c r="AA1142" s="21" t="str">
        <f>"－"</f>
        <v>－</v>
      </c>
      <c r="AB1142" s="4" t="s">
        <v>335</v>
      </c>
      <c r="AC1142" s="22" t="str">
        <f>"－"</f>
        <v>－</v>
      </c>
      <c r="AD1142" s="5" t="s">
        <v>335</v>
      </c>
      <c r="AE1142" s="23" t="str">
        <f>"－"</f>
        <v>－</v>
      </c>
    </row>
    <row r="1143">
      <c r="A1143" s="24" t="s">
        <v>2151</v>
      </c>
      <c r="B1143" s="25" t="s">
        <v>2152</v>
      </c>
      <c r="C1143" s="26" t="s">
        <v>1752</v>
      </c>
      <c r="D1143" s="27" t="s">
        <v>1753</v>
      </c>
      <c r="E1143" s="28" t="s">
        <v>127</v>
      </c>
      <c r="F1143" s="20" t="n">
        <f>122</f>
        <v>122.0</v>
      </c>
      <c r="G1143" s="21" t="str">
        <f>"－"</f>
        <v>－</v>
      </c>
      <c r="H1143" s="21"/>
      <c r="I1143" s="21" t="str">
        <f>"－"</f>
        <v>－</v>
      </c>
      <c r="J1143" s="21" t="str">
        <f>"－"</f>
        <v>－</v>
      </c>
      <c r="K1143" s="21" t="str">
        <f>"－"</f>
        <v>－</v>
      </c>
      <c r="L1143" s="4" t="s">
        <v>335</v>
      </c>
      <c r="M1143" s="22" t="str">
        <f>"－"</f>
        <v>－</v>
      </c>
      <c r="N1143" s="5" t="s">
        <v>335</v>
      </c>
      <c r="O1143" s="23" t="str">
        <f>"－"</f>
        <v>－</v>
      </c>
      <c r="P1143" s="3" t="s">
        <v>247</v>
      </c>
      <c r="Q1143" s="21"/>
      <c r="R1143" s="3" t="s">
        <v>247</v>
      </c>
      <c r="S1143" s="21" t="str">
        <f>"－"</f>
        <v>－</v>
      </c>
      <c r="T1143" s="21" t="str">
        <f>"－"</f>
        <v>－</v>
      </c>
      <c r="U1143" s="5" t="s">
        <v>335</v>
      </c>
      <c r="V1143" s="23" t="str">
        <f>"－"</f>
        <v>－</v>
      </c>
      <c r="W1143" s="5" t="s">
        <v>335</v>
      </c>
      <c r="X1143" s="23" t="str">
        <f>"－"</f>
        <v>－</v>
      </c>
      <c r="Y1143" s="23" t="str">
        <f>"－"</f>
        <v>－</v>
      </c>
      <c r="Z1143" s="21" t="str">
        <f>"－"</f>
        <v>－</v>
      </c>
      <c r="AA1143" s="21" t="str">
        <f>"－"</f>
        <v>－</v>
      </c>
      <c r="AB1143" s="4" t="s">
        <v>335</v>
      </c>
      <c r="AC1143" s="22" t="str">
        <f>"－"</f>
        <v>－</v>
      </c>
      <c r="AD1143" s="5" t="s">
        <v>335</v>
      </c>
      <c r="AE1143" s="23" t="str">
        <f>"－"</f>
        <v>－</v>
      </c>
    </row>
    <row r="1144">
      <c r="A1144" s="24" t="s">
        <v>2151</v>
      </c>
      <c r="B1144" s="25" t="s">
        <v>2152</v>
      </c>
      <c r="C1144" s="26" t="s">
        <v>1744</v>
      </c>
      <c r="D1144" s="27" t="s">
        <v>1745</v>
      </c>
      <c r="E1144" s="28" t="s">
        <v>133</v>
      </c>
      <c r="F1144" s="20" t="n">
        <f>122</f>
        <v>122.0</v>
      </c>
      <c r="G1144" s="21" t="str">
        <f>"－"</f>
        <v>－</v>
      </c>
      <c r="H1144" s="21"/>
      <c r="I1144" s="21" t="str">
        <f>"－"</f>
        <v>－</v>
      </c>
      <c r="J1144" s="21" t="str">
        <f>"－"</f>
        <v>－</v>
      </c>
      <c r="K1144" s="21" t="str">
        <f>"－"</f>
        <v>－</v>
      </c>
      <c r="L1144" s="4" t="s">
        <v>279</v>
      </c>
      <c r="M1144" s="22" t="str">
        <f>"－"</f>
        <v>－</v>
      </c>
      <c r="N1144" s="5" t="s">
        <v>279</v>
      </c>
      <c r="O1144" s="23" t="str">
        <f>"－"</f>
        <v>－</v>
      </c>
      <c r="P1144" s="3" t="s">
        <v>247</v>
      </c>
      <c r="Q1144" s="21"/>
      <c r="R1144" s="3" t="s">
        <v>247</v>
      </c>
      <c r="S1144" s="21" t="str">
        <f>"－"</f>
        <v>－</v>
      </c>
      <c r="T1144" s="21" t="str">
        <f>"－"</f>
        <v>－</v>
      </c>
      <c r="U1144" s="5" t="s">
        <v>279</v>
      </c>
      <c r="V1144" s="23" t="str">
        <f>"－"</f>
        <v>－</v>
      </c>
      <c r="W1144" s="5" t="s">
        <v>279</v>
      </c>
      <c r="X1144" s="23" t="str">
        <f>"－"</f>
        <v>－</v>
      </c>
      <c r="Y1144" s="23" t="str">
        <f>"－"</f>
        <v>－</v>
      </c>
      <c r="Z1144" s="21" t="str">
        <f>"－"</f>
        <v>－</v>
      </c>
      <c r="AA1144" s="21" t="str">
        <f>"－"</f>
        <v>－</v>
      </c>
      <c r="AB1144" s="4" t="s">
        <v>279</v>
      </c>
      <c r="AC1144" s="22" t="str">
        <f>"－"</f>
        <v>－</v>
      </c>
      <c r="AD1144" s="5" t="s">
        <v>279</v>
      </c>
      <c r="AE1144" s="23" t="str">
        <f>"－"</f>
        <v>－</v>
      </c>
    </row>
    <row r="1145">
      <c r="A1145" s="24" t="s">
        <v>2151</v>
      </c>
      <c r="B1145" s="25" t="s">
        <v>2152</v>
      </c>
      <c r="C1145" s="26" t="s">
        <v>1748</v>
      </c>
      <c r="D1145" s="27" t="s">
        <v>1749</v>
      </c>
      <c r="E1145" s="28" t="s">
        <v>133</v>
      </c>
      <c r="F1145" s="20" t="n">
        <f>122</f>
        <v>122.0</v>
      </c>
      <c r="G1145" s="21" t="str">
        <f>"－"</f>
        <v>－</v>
      </c>
      <c r="H1145" s="21"/>
      <c r="I1145" s="21" t="str">
        <f>"－"</f>
        <v>－</v>
      </c>
      <c r="J1145" s="21" t="str">
        <f>"－"</f>
        <v>－</v>
      </c>
      <c r="K1145" s="21" t="str">
        <f>"－"</f>
        <v>－</v>
      </c>
      <c r="L1145" s="4" t="s">
        <v>279</v>
      </c>
      <c r="M1145" s="22" t="str">
        <f>"－"</f>
        <v>－</v>
      </c>
      <c r="N1145" s="5" t="s">
        <v>279</v>
      </c>
      <c r="O1145" s="23" t="str">
        <f>"－"</f>
        <v>－</v>
      </c>
      <c r="P1145" s="3" t="s">
        <v>247</v>
      </c>
      <c r="Q1145" s="21"/>
      <c r="R1145" s="3" t="s">
        <v>247</v>
      </c>
      <c r="S1145" s="21" t="str">
        <f>"－"</f>
        <v>－</v>
      </c>
      <c r="T1145" s="21" t="str">
        <f>"－"</f>
        <v>－</v>
      </c>
      <c r="U1145" s="5" t="s">
        <v>279</v>
      </c>
      <c r="V1145" s="23" t="str">
        <f>"－"</f>
        <v>－</v>
      </c>
      <c r="W1145" s="5" t="s">
        <v>279</v>
      </c>
      <c r="X1145" s="23" t="str">
        <f>"－"</f>
        <v>－</v>
      </c>
      <c r="Y1145" s="23" t="str">
        <f>"－"</f>
        <v>－</v>
      </c>
      <c r="Z1145" s="21" t="str">
        <f>"－"</f>
        <v>－</v>
      </c>
      <c r="AA1145" s="21" t="str">
        <f>"－"</f>
        <v>－</v>
      </c>
      <c r="AB1145" s="4" t="s">
        <v>279</v>
      </c>
      <c r="AC1145" s="22" t="str">
        <f>"－"</f>
        <v>－</v>
      </c>
      <c r="AD1145" s="5" t="s">
        <v>279</v>
      </c>
      <c r="AE1145" s="23" t="str">
        <f>"－"</f>
        <v>－</v>
      </c>
    </row>
    <row r="1146">
      <c r="A1146" s="24" t="s">
        <v>2151</v>
      </c>
      <c r="B1146" s="25" t="s">
        <v>2152</v>
      </c>
      <c r="C1146" s="26" t="s">
        <v>1752</v>
      </c>
      <c r="D1146" s="27" t="s">
        <v>1753</v>
      </c>
      <c r="E1146" s="28" t="s">
        <v>133</v>
      </c>
      <c r="F1146" s="20" t="n">
        <f>122</f>
        <v>122.0</v>
      </c>
      <c r="G1146" s="21" t="str">
        <f>"－"</f>
        <v>－</v>
      </c>
      <c r="H1146" s="21"/>
      <c r="I1146" s="21" t="str">
        <f>"－"</f>
        <v>－</v>
      </c>
      <c r="J1146" s="21" t="str">
        <f>"－"</f>
        <v>－</v>
      </c>
      <c r="K1146" s="21" t="str">
        <f>"－"</f>
        <v>－</v>
      </c>
      <c r="L1146" s="4" t="s">
        <v>279</v>
      </c>
      <c r="M1146" s="22" t="str">
        <f>"－"</f>
        <v>－</v>
      </c>
      <c r="N1146" s="5" t="s">
        <v>279</v>
      </c>
      <c r="O1146" s="23" t="str">
        <f>"－"</f>
        <v>－</v>
      </c>
      <c r="P1146" s="3" t="s">
        <v>247</v>
      </c>
      <c r="Q1146" s="21"/>
      <c r="R1146" s="3" t="s">
        <v>247</v>
      </c>
      <c r="S1146" s="21" t="str">
        <f>"－"</f>
        <v>－</v>
      </c>
      <c r="T1146" s="21" t="str">
        <f>"－"</f>
        <v>－</v>
      </c>
      <c r="U1146" s="5" t="s">
        <v>279</v>
      </c>
      <c r="V1146" s="23" t="str">
        <f>"－"</f>
        <v>－</v>
      </c>
      <c r="W1146" s="5" t="s">
        <v>279</v>
      </c>
      <c r="X1146" s="23" t="str">
        <f>"－"</f>
        <v>－</v>
      </c>
      <c r="Y1146" s="23" t="str">
        <f>"－"</f>
        <v>－</v>
      </c>
      <c r="Z1146" s="21" t="str">
        <f>"－"</f>
        <v>－</v>
      </c>
      <c r="AA1146" s="21" t="str">
        <f>"－"</f>
        <v>－</v>
      </c>
      <c r="AB1146" s="4" t="s">
        <v>279</v>
      </c>
      <c r="AC1146" s="22" t="str">
        <f>"－"</f>
        <v>－</v>
      </c>
      <c r="AD1146" s="5" t="s">
        <v>279</v>
      </c>
      <c r="AE1146" s="23" t="str">
        <f>"－"</f>
        <v>－</v>
      </c>
    </row>
    <row r="1147">
      <c r="A1147" s="24" t="s">
        <v>2151</v>
      </c>
      <c r="B1147" s="25" t="s">
        <v>2152</v>
      </c>
      <c r="C1147" s="26" t="s">
        <v>1744</v>
      </c>
      <c r="D1147" s="27" t="s">
        <v>1745</v>
      </c>
      <c r="E1147" s="28" t="s">
        <v>139</v>
      </c>
      <c r="F1147" s="20" t="n">
        <f>123</f>
        <v>123.0</v>
      </c>
      <c r="G1147" s="21" t="str">
        <f>"－"</f>
        <v>－</v>
      </c>
      <c r="H1147" s="21"/>
      <c r="I1147" s="21" t="str">
        <f>"－"</f>
        <v>－</v>
      </c>
      <c r="J1147" s="21" t="str">
        <f>"－"</f>
        <v>－</v>
      </c>
      <c r="K1147" s="21" t="str">
        <f>"－"</f>
        <v>－</v>
      </c>
      <c r="L1147" s="4" t="s">
        <v>335</v>
      </c>
      <c r="M1147" s="22" t="str">
        <f>"－"</f>
        <v>－</v>
      </c>
      <c r="N1147" s="5" t="s">
        <v>335</v>
      </c>
      <c r="O1147" s="23" t="str">
        <f>"－"</f>
        <v>－</v>
      </c>
      <c r="P1147" s="3" t="s">
        <v>247</v>
      </c>
      <c r="Q1147" s="21"/>
      <c r="R1147" s="3" t="s">
        <v>247</v>
      </c>
      <c r="S1147" s="21" t="str">
        <f>"－"</f>
        <v>－</v>
      </c>
      <c r="T1147" s="21" t="str">
        <f>"－"</f>
        <v>－</v>
      </c>
      <c r="U1147" s="5" t="s">
        <v>335</v>
      </c>
      <c r="V1147" s="23" t="str">
        <f>"－"</f>
        <v>－</v>
      </c>
      <c r="W1147" s="5" t="s">
        <v>335</v>
      </c>
      <c r="X1147" s="23" t="str">
        <f>"－"</f>
        <v>－</v>
      </c>
      <c r="Y1147" s="23" t="str">
        <f>"－"</f>
        <v>－</v>
      </c>
      <c r="Z1147" s="21" t="str">
        <f>"－"</f>
        <v>－</v>
      </c>
      <c r="AA1147" s="21" t="str">
        <f>"－"</f>
        <v>－</v>
      </c>
      <c r="AB1147" s="4" t="s">
        <v>335</v>
      </c>
      <c r="AC1147" s="22" t="str">
        <f>"－"</f>
        <v>－</v>
      </c>
      <c r="AD1147" s="5" t="s">
        <v>335</v>
      </c>
      <c r="AE1147" s="23" t="str">
        <f>"－"</f>
        <v>－</v>
      </c>
    </row>
    <row r="1148">
      <c r="A1148" s="24" t="s">
        <v>2151</v>
      </c>
      <c r="B1148" s="25" t="s">
        <v>2152</v>
      </c>
      <c r="C1148" s="26" t="s">
        <v>1748</v>
      </c>
      <c r="D1148" s="27" t="s">
        <v>1749</v>
      </c>
      <c r="E1148" s="28" t="s">
        <v>139</v>
      </c>
      <c r="F1148" s="20" t="n">
        <f>123</f>
        <v>123.0</v>
      </c>
      <c r="G1148" s="21" t="str">
        <f>"－"</f>
        <v>－</v>
      </c>
      <c r="H1148" s="21"/>
      <c r="I1148" s="21" t="str">
        <f>"－"</f>
        <v>－</v>
      </c>
      <c r="J1148" s="21" t="str">
        <f>"－"</f>
        <v>－</v>
      </c>
      <c r="K1148" s="21" t="str">
        <f>"－"</f>
        <v>－</v>
      </c>
      <c r="L1148" s="4" t="s">
        <v>335</v>
      </c>
      <c r="M1148" s="22" t="str">
        <f>"－"</f>
        <v>－</v>
      </c>
      <c r="N1148" s="5" t="s">
        <v>335</v>
      </c>
      <c r="O1148" s="23" t="str">
        <f>"－"</f>
        <v>－</v>
      </c>
      <c r="P1148" s="3" t="s">
        <v>247</v>
      </c>
      <c r="Q1148" s="21"/>
      <c r="R1148" s="3" t="s">
        <v>247</v>
      </c>
      <c r="S1148" s="21" t="str">
        <f>"－"</f>
        <v>－</v>
      </c>
      <c r="T1148" s="21" t="str">
        <f>"－"</f>
        <v>－</v>
      </c>
      <c r="U1148" s="5" t="s">
        <v>335</v>
      </c>
      <c r="V1148" s="23" t="str">
        <f>"－"</f>
        <v>－</v>
      </c>
      <c r="W1148" s="5" t="s">
        <v>335</v>
      </c>
      <c r="X1148" s="23" t="str">
        <f>"－"</f>
        <v>－</v>
      </c>
      <c r="Y1148" s="23" t="str">
        <f>"－"</f>
        <v>－</v>
      </c>
      <c r="Z1148" s="21" t="str">
        <f>"－"</f>
        <v>－</v>
      </c>
      <c r="AA1148" s="21" t="str">
        <f>"－"</f>
        <v>－</v>
      </c>
      <c r="AB1148" s="4" t="s">
        <v>335</v>
      </c>
      <c r="AC1148" s="22" t="str">
        <f>"－"</f>
        <v>－</v>
      </c>
      <c r="AD1148" s="5" t="s">
        <v>335</v>
      </c>
      <c r="AE1148" s="23" t="str">
        <f>"－"</f>
        <v>－</v>
      </c>
    </row>
    <row r="1149">
      <c r="A1149" s="24" t="s">
        <v>2151</v>
      </c>
      <c r="B1149" s="25" t="s">
        <v>2152</v>
      </c>
      <c r="C1149" s="26" t="s">
        <v>1752</v>
      </c>
      <c r="D1149" s="27" t="s">
        <v>1753</v>
      </c>
      <c r="E1149" s="28" t="s">
        <v>139</v>
      </c>
      <c r="F1149" s="20" t="n">
        <f>123</f>
        <v>123.0</v>
      </c>
      <c r="G1149" s="21" t="str">
        <f>"－"</f>
        <v>－</v>
      </c>
      <c r="H1149" s="21"/>
      <c r="I1149" s="21" t="str">
        <f>"－"</f>
        <v>－</v>
      </c>
      <c r="J1149" s="21" t="str">
        <f>"－"</f>
        <v>－</v>
      </c>
      <c r="K1149" s="21" t="str">
        <f>"－"</f>
        <v>－</v>
      </c>
      <c r="L1149" s="4" t="s">
        <v>335</v>
      </c>
      <c r="M1149" s="22" t="str">
        <f>"－"</f>
        <v>－</v>
      </c>
      <c r="N1149" s="5" t="s">
        <v>335</v>
      </c>
      <c r="O1149" s="23" t="str">
        <f>"－"</f>
        <v>－</v>
      </c>
      <c r="P1149" s="3" t="s">
        <v>247</v>
      </c>
      <c r="Q1149" s="21"/>
      <c r="R1149" s="3" t="s">
        <v>247</v>
      </c>
      <c r="S1149" s="21" t="str">
        <f>"－"</f>
        <v>－</v>
      </c>
      <c r="T1149" s="21" t="str">
        <f>"－"</f>
        <v>－</v>
      </c>
      <c r="U1149" s="5" t="s">
        <v>335</v>
      </c>
      <c r="V1149" s="23" t="str">
        <f>"－"</f>
        <v>－</v>
      </c>
      <c r="W1149" s="5" t="s">
        <v>335</v>
      </c>
      <c r="X1149" s="23" t="str">
        <f>"－"</f>
        <v>－</v>
      </c>
      <c r="Y1149" s="23" t="str">
        <f>"－"</f>
        <v>－</v>
      </c>
      <c r="Z1149" s="21" t="str">
        <f>"－"</f>
        <v>－</v>
      </c>
      <c r="AA1149" s="21" t="str">
        <f>"－"</f>
        <v>－</v>
      </c>
      <c r="AB1149" s="4" t="s">
        <v>335</v>
      </c>
      <c r="AC1149" s="22" t="str">
        <f>"－"</f>
        <v>－</v>
      </c>
      <c r="AD1149" s="5" t="s">
        <v>335</v>
      </c>
      <c r="AE1149" s="23" t="str">
        <f>"－"</f>
        <v>－</v>
      </c>
    </row>
    <row r="1150">
      <c r="A1150" s="24" t="s">
        <v>2151</v>
      </c>
      <c r="B1150" s="25" t="s">
        <v>2152</v>
      </c>
      <c r="C1150" s="26" t="s">
        <v>1744</v>
      </c>
      <c r="D1150" s="27" t="s">
        <v>1745</v>
      </c>
      <c r="E1150" s="28" t="s">
        <v>145</v>
      </c>
      <c r="F1150" s="20" t="n">
        <f>122</f>
        <v>122.0</v>
      </c>
      <c r="G1150" s="21" t="str">
        <f>"－"</f>
        <v>－</v>
      </c>
      <c r="H1150" s="21"/>
      <c r="I1150" s="21" t="str">
        <f>"－"</f>
        <v>－</v>
      </c>
      <c r="J1150" s="21" t="str">
        <f>"－"</f>
        <v>－</v>
      </c>
      <c r="K1150" s="21" t="str">
        <f>"－"</f>
        <v>－</v>
      </c>
      <c r="L1150" s="4" t="s">
        <v>82</v>
      </c>
      <c r="M1150" s="22" t="str">
        <f>"－"</f>
        <v>－</v>
      </c>
      <c r="N1150" s="5" t="s">
        <v>82</v>
      </c>
      <c r="O1150" s="23" t="str">
        <f>"－"</f>
        <v>－</v>
      </c>
      <c r="P1150" s="3" t="s">
        <v>247</v>
      </c>
      <c r="Q1150" s="21"/>
      <c r="R1150" s="3" t="s">
        <v>247</v>
      </c>
      <c r="S1150" s="21" t="str">
        <f>"－"</f>
        <v>－</v>
      </c>
      <c r="T1150" s="21" t="str">
        <f>"－"</f>
        <v>－</v>
      </c>
      <c r="U1150" s="5" t="s">
        <v>82</v>
      </c>
      <c r="V1150" s="23" t="str">
        <f>"－"</f>
        <v>－</v>
      </c>
      <c r="W1150" s="5" t="s">
        <v>82</v>
      </c>
      <c r="X1150" s="23" t="str">
        <f>"－"</f>
        <v>－</v>
      </c>
      <c r="Y1150" s="23" t="str">
        <f>"－"</f>
        <v>－</v>
      </c>
      <c r="Z1150" s="21" t="str">
        <f>"－"</f>
        <v>－</v>
      </c>
      <c r="AA1150" s="21" t="str">
        <f>"－"</f>
        <v>－</v>
      </c>
      <c r="AB1150" s="4" t="s">
        <v>82</v>
      </c>
      <c r="AC1150" s="22" t="str">
        <f>"－"</f>
        <v>－</v>
      </c>
      <c r="AD1150" s="5" t="s">
        <v>82</v>
      </c>
      <c r="AE1150" s="23" t="str">
        <f>"－"</f>
        <v>－</v>
      </c>
    </row>
    <row r="1151">
      <c r="A1151" s="24" t="s">
        <v>2151</v>
      </c>
      <c r="B1151" s="25" t="s">
        <v>2152</v>
      </c>
      <c r="C1151" s="26" t="s">
        <v>1748</v>
      </c>
      <c r="D1151" s="27" t="s">
        <v>1749</v>
      </c>
      <c r="E1151" s="28" t="s">
        <v>145</v>
      </c>
      <c r="F1151" s="20" t="n">
        <f>122</f>
        <v>122.0</v>
      </c>
      <c r="G1151" s="21" t="str">
        <f>"－"</f>
        <v>－</v>
      </c>
      <c r="H1151" s="21"/>
      <c r="I1151" s="21" t="str">
        <f>"－"</f>
        <v>－</v>
      </c>
      <c r="J1151" s="21" t="str">
        <f>"－"</f>
        <v>－</v>
      </c>
      <c r="K1151" s="21" t="str">
        <f>"－"</f>
        <v>－</v>
      </c>
      <c r="L1151" s="4" t="s">
        <v>82</v>
      </c>
      <c r="M1151" s="22" t="str">
        <f>"－"</f>
        <v>－</v>
      </c>
      <c r="N1151" s="5" t="s">
        <v>82</v>
      </c>
      <c r="O1151" s="23" t="str">
        <f>"－"</f>
        <v>－</v>
      </c>
      <c r="P1151" s="3" t="s">
        <v>247</v>
      </c>
      <c r="Q1151" s="21"/>
      <c r="R1151" s="3" t="s">
        <v>247</v>
      </c>
      <c r="S1151" s="21" t="str">
        <f>"－"</f>
        <v>－</v>
      </c>
      <c r="T1151" s="21" t="str">
        <f>"－"</f>
        <v>－</v>
      </c>
      <c r="U1151" s="5" t="s">
        <v>82</v>
      </c>
      <c r="V1151" s="23" t="str">
        <f>"－"</f>
        <v>－</v>
      </c>
      <c r="W1151" s="5" t="s">
        <v>82</v>
      </c>
      <c r="X1151" s="23" t="str">
        <f>"－"</f>
        <v>－</v>
      </c>
      <c r="Y1151" s="23" t="str">
        <f>"－"</f>
        <v>－</v>
      </c>
      <c r="Z1151" s="21" t="str">
        <f>"－"</f>
        <v>－</v>
      </c>
      <c r="AA1151" s="21" t="str">
        <f>"－"</f>
        <v>－</v>
      </c>
      <c r="AB1151" s="4" t="s">
        <v>82</v>
      </c>
      <c r="AC1151" s="22" t="str">
        <f>"－"</f>
        <v>－</v>
      </c>
      <c r="AD1151" s="5" t="s">
        <v>82</v>
      </c>
      <c r="AE1151" s="23" t="str">
        <f>"－"</f>
        <v>－</v>
      </c>
    </row>
    <row r="1152">
      <c r="A1152" s="24" t="s">
        <v>2151</v>
      </c>
      <c r="B1152" s="25" t="s">
        <v>2152</v>
      </c>
      <c r="C1152" s="26" t="s">
        <v>1752</v>
      </c>
      <c r="D1152" s="27" t="s">
        <v>1753</v>
      </c>
      <c r="E1152" s="28" t="s">
        <v>145</v>
      </c>
      <c r="F1152" s="20" t="n">
        <f>122</f>
        <v>122.0</v>
      </c>
      <c r="G1152" s="21" t="str">
        <f>"－"</f>
        <v>－</v>
      </c>
      <c r="H1152" s="21"/>
      <c r="I1152" s="21" t="str">
        <f>"－"</f>
        <v>－</v>
      </c>
      <c r="J1152" s="21" t="str">
        <f>"－"</f>
        <v>－</v>
      </c>
      <c r="K1152" s="21" t="str">
        <f>"－"</f>
        <v>－</v>
      </c>
      <c r="L1152" s="4" t="s">
        <v>82</v>
      </c>
      <c r="M1152" s="22" t="str">
        <f>"－"</f>
        <v>－</v>
      </c>
      <c r="N1152" s="5" t="s">
        <v>82</v>
      </c>
      <c r="O1152" s="23" t="str">
        <f>"－"</f>
        <v>－</v>
      </c>
      <c r="P1152" s="3" t="s">
        <v>247</v>
      </c>
      <c r="Q1152" s="21"/>
      <c r="R1152" s="3" t="s">
        <v>247</v>
      </c>
      <c r="S1152" s="21" t="str">
        <f>"－"</f>
        <v>－</v>
      </c>
      <c r="T1152" s="21" t="str">
        <f>"－"</f>
        <v>－</v>
      </c>
      <c r="U1152" s="5" t="s">
        <v>82</v>
      </c>
      <c r="V1152" s="23" t="str">
        <f>"－"</f>
        <v>－</v>
      </c>
      <c r="W1152" s="5" t="s">
        <v>82</v>
      </c>
      <c r="X1152" s="23" t="str">
        <f>"－"</f>
        <v>－</v>
      </c>
      <c r="Y1152" s="23" t="str">
        <f>"－"</f>
        <v>－</v>
      </c>
      <c r="Z1152" s="21" t="str">
        <f>"－"</f>
        <v>－</v>
      </c>
      <c r="AA1152" s="21" t="str">
        <f>"－"</f>
        <v>－</v>
      </c>
      <c r="AB1152" s="4" t="s">
        <v>82</v>
      </c>
      <c r="AC1152" s="22" t="str">
        <f>"－"</f>
        <v>－</v>
      </c>
      <c r="AD1152" s="5" t="s">
        <v>82</v>
      </c>
      <c r="AE1152" s="23" t="str">
        <f>"－"</f>
        <v>－</v>
      </c>
    </row>
    <row r="1153">
      <c r="A1153" s="24" t="s">
        <v>2151</v>
      </c>
      <c r="B1153" s="25" t="s">
        <v>2152</v>
      </c>
      <c r="C1153" s="26" t="s">
        <v>1744</v>
      </c>
      <c r="D1153" s="27" t="s">
        <v>1745</v>
      </c>
      <c r="E1153" s="28" t="s">
        <v>150</v>
      </c>
      <c r="F1153" s="20" t="n">
        <f>124</f>
        <v>124.0</v>
      </c>
      <c r="G1153" s="21" t="str">
        <f>"－"</f>
        <v>－</v>
      </c>
      <c r="H1153" s="21"/>
      <c r="I1153" s="21" t="str">
        <f>"－"</f>
        <v>－</v>
      </c>
      <c r="J1153" s="21" t="str">
        <f>"－"</f>
        <v>－</v>
      </c>
      <c r="K1153" s="21" t="str">
        <f>"－"</f>
        <v>－</v>
      </c>
      <c r="L1153" s="4" t="s">
        <v>666</v>
      </c>
      <c r="M1153" s="22" t="str">
        <f>"－"</f>
        <v>－</v>
      </c>
      <c r="N1153" s="5" t="s">
        <v>666</v>
      </c>
      <c r="O1153" s="23" t="str">
        <f>"－"</f>
        <v>－</v>
      </c>
      <c r="P1153" s="3" t="s">
        <v>247</v>
      </c>
      <c r="Q1153" s="21"/>
      <c r="R1153" s="3" t="s">
        <v>247</v>
      </c>
      <c r="S1153" s="21" t="str">
        <f>"－"</f>
        <v>－</v>
      </c>
      <c r="T1153" s="21" t="str">
        <f>"－"</f>
        <v>－</v>
      </c>
      <c r="U1153" s="5" t="s">
        <v>666</v>
      </c>
      <c r="V1153" s="23" t="str">
        <f>"－"</f>
        <v>－</v>
      </c>
      <c r="W1153" s="5" t="s">
        <v>666</v>
      </c>
      <c r="X1153" s="23" t="str">
        <f>"－"</f>
        <v>－</v>
      </c>
      <c r="Y1153" s="23" t="str">
        <f>"－"</f>
        <v>－</v>
      </c>
      <c r="Z1153" s="21" t="str">
        <f>"－"</f>
        <v>－</v>
      </c>
      <c r="AA1153" s="21" t="str">
        <f>"－"</f>
        <v>－</v>
      </c>
      <c r="AB1153" s="4" t="s">
        <v>666</v>
      </c>
      <c r="AC1153" s="22" t="str">
        <f>"－"</f>
        <v>－</v>
      </c>
      <c r="AD1153" s="5" t="s">
        <v>666</v>
      </c>
      <c r="AE1153" s="23" t="str">
        <f>"－"</f>
        <v>－</v>
      </c>
    </row>
    <row r="1154">
      <c r="A1154" s="24" t="s">
        <v>2151</v>
      </c>
      <c r="B1154" s="25" t="s">
        <v>2152</v>
      </c>
      <c r="C1154" s="26" t="s">
        <v>1748</v>
      </c>
      <c r="D1154" s="27" t="s">
        <v>1749</v>
      </c>
      <c r="E1154" s="28" t="s">
        <v>150</v>
      </c>
      <c r="F1154" s="20" t="n">
        <f>124</f>
        <v>124.0</v>
      </c>
      <c r="G1154" s="21" t="str">
        <f>"－"</f>
        <v>－</v>
      </c>
      <c r="H1154" s="21"/>
      <c r="I1154" s="21" t="str">
        <f>"－"</f>
        <v>－</v>
      </c>
      <c r="J1154" s="21" t="str">
        <f>"－"</f>
        <v>－</v>
      </c>
      <c r="K1154" s="21" t="str">
        <f>"－"</f>
        <v>－</v>
      </c>
      <c r="L1154" s="4" t="s">
        <v>666</v>
      </c>
      <c r="M1154" s="22" t="str">
        <f>"－"</f>
        <v>－</v>
      </c>
      <c r="N1154" s="5" t="s">
        <v>666</v>
      </c>
      <c r="O1154" s="23" t="str">
        <f>"－"</f>
        <v>－</v>
      </c>
      <c r="P1154" s="3" t="s">
        <v>247</v>
      </c>
      <c r="Q1154" s="21"/>
      <c r="R1154" s="3" t="s">
        <v>247</v>
      </c>
      <c r="S1154" s="21" t="str">
        <f>"－"</f>
        <v>－</v>
      </c>
      <c r="T1154" s="21" t="str">
        <f>"－"</f>
        <v>－</v>
      </c>
      <c r="U1154" s="5" t="s">
        <v>666</v>
      </c>
      <c r="V1154" s="23" t="str">
        <f>"－"</f>
        <v>－</v>
      </c>
      <c r="W1154" s="5" t="s">
        <v>666</v>
      </c>
      <c r="X1154" s="23" t="str">
        <f>"－"</f>
        <v>－</v>
      </c>
      <c r="Y1154" s="23" t="str">
        <f>"－"</f>
        <v>－</v>
      </c>
      <c r="Z1154" s="21" t="str">
        <f>"－"</f>
        <v>－</v>
      </c>
      <c r="AA1154" s="21" t="str">
        <f>"－"</f>
        <v>－</v>
      </c>
      <c r="AB1154" s="4" t="s">
        <v>666</v>
      </c>
      <c r="AC1154" s="22" t="str">
        <f>"－"</f>
        <v>－</v>
      </c>
      <c r="AD1154" s="5" t="s">
        <v>666</v>
      </c>
      <c r="AE1154" s="23" t="str">
        <f>"－"</f>
        <v>－</v>
      </c>
    </row>
    <row r="1155">
      <c r="A1155" s="24" t="s">
        <v>2151</v>
      </c>
      <c r="B1155" s="25" t="s">
        <v>2152</v>
      </c>
      <c r="C1155" s="26" t="s">
        <v>1752</v>
      </c>
      <c r="D1155" s="27" t="s">
        <v>1753</v>
      </c>
      <c r="E1155" s="28" t="s">
        <v>150</v>
      </c>
      <c r="F1155" s="20" t="n">
        <f>124</f>
        <v>124.0</v>
      </c>
      <c r="G1155" s="21" t="str">
        <f>"－"</f>
        <v>－</v>
      </c>
      <c r="H1155" s="21"/>
      <c r="I1155" s="21" t="str">
        <f>"－"</f>
        <v>－</v>
      </c>
      <c r="J1155" s="21" t="str">
        <f>"－"</f>
        <v>－</v>
      </c>
      <c r="K1155" s="21" t="str">
        <f>"－"</f>
        <v>－</v>
      </c>
      <c r="L1155" s="4" t="s">
        <v>666</v>
      </c>
      <c r="M1155" s="22" t="str">
        <f>"－"</f>
        <v>－</v>
      </c>
      <c r="N1155" s="5" t="s">
        <v>666</v>
      </c>
      <c r="O1155" s="23" t="str">
        <f>"－"</f>
        <v>－</v>
      </c>
      <c r="P1155" s="3" t="s">
        <v>247</v>
      </c>
      <c r="Q1155" s="21"/>
      <c r="R1155" s="3" t="s">
        <v>247</v>
      </c>
      <c r="S1155" s="21" t="str">
        <f>"－"</f>
        <v>－</v>
      </c>
      <c r="T1155" s="21" t="str">
        <f>"－"</f>
        <v>－</v>
      </c>
      <c r="U1155" s="5" t="s">
        <v>666</v>
      </c>
      <c r="V1155" s="23" t="str">
        <f>"－"</f>
        <v>－</v>
      </c>
      <c r="W1155" s="5" t="s">
        <v>666</v>
      </c>
      <c r="X1155" s="23" t="str">
        <f>"－"</f>
        <v>－</v>
      </c>
      <c r="Y1155" s="23" t="str">
        <f>"－"</f>
        <v>－</v>
      </c>
      <c r="Z1155" s="21" t="str">
        <f>"－"</f>
        <v>－</v>
      </c>
      <c r="AA1155" s="21" t="str">
        <f>"－"</f>
        <v>－</v>
      </c>
      <c r="AB1155" s="4" t="s">
        <v>666</v>
      </c>
      <c r="AC1155" s="22" t="str">
        <f>"－"</f>
        <v>－</v>
      </c>
      <c r="AD1155" s="5" t="s">
        <v>666</v>
      </c>
      <c r="AE1155" s="23" t="str">
        <f>"－"</f>
        <v>－</v>
      </c>
    </row>
    <row r="1156">
      <c r="A1156" s="24" t="s">
        <v>2151</v>
      </c>
      <c r="B1156" s="25" t="s">
        <v>2152</v>
      </c>
      <c r="C1156" s="26" t="s">
        <v>1744</v>
      </c>
      <c r="D1156" s="27" t="s">
        <v>1745</v>
      </c>
      <c r="E1156" s="28" t="s">
        <v>154</v>
      </c>
      <c r="F1156" s="20" t="n">
        <f>120</f>
        <v>120.0</v>
      </c>
      <c r="G1156" s="21" t="str">
        <f>"－"</f>
        <v>－</v>
      </c>
      <c r="H1156" s="21"/>
      <c r="I1156" s="21" t="str">
        <f>"－"</f>
        <v>－</v>
      </c>
      <c r="J1156" s="21" t="str">
        <f>"－"</f>
        <v>－</v>
      </c>
      <c r="K1156" s="21" t="str">
        <f>"－"</f>
        <v>－</v>
      </c>
      <c r="L1156" s="4" t="s">
        <v>268</v>
      </c>
      <c r="M1156" s="22" t="str">
        <f>"－"</f>
        <v>－</v>
      </c>
      <c r="N1156" s="5" t="s">
        <v>268</v>
      </c>
      <c r="O1156" s="23" t="str">
        <f>"－"</f>
        <v>－</v>
      </c>
      <c r="P1156" s="3" t="s">
        <v>247</v>
      </c>
      <c r="Q1156" s="21"/>
      <c r="R1156" s="3" t="s">
        <v>247</v>
      </c>
      <c r="S1156" s="21" t="str">
        <f>"－"</f>
        <v>－</v>
      </c>
      <c r="T1156" s="21" t="str">
        <f>"－"</f>
        <v>－</v>
      </c>
      <c r="U1156" s="5" t="s">
        <v>268</v>
      </c>
      <c r="V1156" s="23" t="str">
        <f>"－"</f>
        <v>－</v>
      </c>
      <c r="W1156" s="5" t="s">
        <v>268</v>
      </c>
      <c r="X1156" s="23" t="str">
        <f>"－"</f>
        <v>－</v>
      </c>
      <c r="Y1156" s="23" t="str">
        <f>"－"</f>
        <v>－</v>
      </c>
      <c r="Z1156" s="21" t="str">
        <f>"－"</f>
        <v>－</v>
      </c>
      <c r="AA1156" s="21" t="str">
        <f>"－"</f>
        <v>－</v>
      </c>
      <c r="AB1156" s="4" t="s">
        <v>268</v>
      </c>
      <c r="AC1156" s="22" t="str">
        <f>"－"</f>
        <v>－</v>
      </c>
      <c r="AD1156" s="5" t="s">
        <v>268</v>
      </c>
      <c r="AE1156" s="23" t="str">
        <f>"－"</f>
        <v>－</v>
      </c>
    </row>
    <row r="1157">
      <c r="A1157" s="24" t="s">
        <v>2151</v>
      </c>
      <c r="B1157" s="25" t="s">
        <v>2152</v>
      </c>
      <c r="C1157" s="26" t="s">
        <v>1748</v>
      </c>
      <c r="D1157" s="27" t="s">
        <v>1749</v>
      </c>
      <c r="E1157" s="28" t="s">
        <v>154</v>
      </c>
      <c r="F1157" s="20" t="n">
        <f>120</f>
        <v>120.0</v>
      </c>
      <c r="G1157" s="21" t="str">
        <f>"－"</f>
        <v>－</v>
      </c>
      <c r="H1157" s="21"/>
      <c r="I1157" s="21" t="str">
        <f>"－"</f>
        <v>－</v>
      </c>
      <c r="J1157" s="21" t="str">
        <f>"－"</f>
        <v>－</v>
      </c>
      <c r="K1157" s="21" t="str">
        <f>"－"</f>
        <v>－</v>
      </c>
      <c r="L1157" s="4" t="s">
        <v>268</v>
      </c>
      <c r="M1157" s="22" t="str">
        <f>"－"</f>
        <v>－</v>
      </c>
      <c r="N1157" s="5" t="s">
        <v>268</v>
      </c>
      <c r="O1157" s="23" t="str">
        <f>"－"</f>
        <v>－</v>
      </c>
      <c r="P1157" s="3" t="s">
        <v>247</v>
      </c>
      <c r="Q1157" s="21"/>
      <c r="R1157" s="3" t="s">
        <v>247</v>
      </c>
      <c r="S1157" s="21" t="str">
        <f>"－"</f>
        <v>－</v>
      </c>
      <c r="T1157" s="21" t="str">
        <f>"－"</f>
        <v>－</v>
      </c>
      <c r="U1157" s="5" t="s">
        <v>268</v>
      </c>
      <c r="V1157" s="23" t="str">
        <f>"－"</f>
        <v>－</v>
      </c>
      <c r="W1157" s="5" t="s">
        <v>268</v>
      </c>
      <c r="X1157" s="23" t="str">
        <f>"－"</f>
        <v>－</v>
      </c>
      <c r="Y1157" s="23" t="str">
        <f>"－"</f>
        <v>－</v>
      </c>
      <c r="Z1157" s="21" t="str">
        <f>"－"</f>
        <v>－</v>
      </c>
      <c r="AA1157" s="21" t="str">
        <f>"－"</f>
        <v>－</v>
      </c>
      <c r="AB1157" s="4" t="s">
        <v>268</v>
      </c>
      <c r="AC1157" s="22" t="str">
        <f>"－"</f>
        <v>－</v>
      </c>
      <c r="AD1157" s="5" t="s">
        <v>268</v>
      </c>
      <c r="AE1157" s="23" t="str">
        <f>"－"</f>
        <v>－</v>
      </c>
    </row>
    <row r="1158">
      <c r="A1158" s="24" t="s">
        <v>2151</v>
      </c>
      <c r="B1158" s="25" t="s">
        <v>2152</v>
      </c>
      <c r="C1158" s="26" t="s">
        <v>1752</v>
      </c>
      <c r="D1158" s="27" t="s">
        <v>1753</v>
      </c>
      <c r="E1158" s="28" t="s">
        <v>154</v>
      </c>
      <c r="F1158" s="20" t="n">
        <f>120</f>
        <v>120.0</v>
      </c>
      <c r="G1158" s="21" t="str">
        <f>"－"</f>
        <v>－</v>
      </c>
      <c r="H1158" s="21"/>
      <c r="I1158" s="21" t="str">
        <f>"－"</f>
        <v>－</v>
      </c>
      <c r="J1158" s="21" t="str">
        <f>"－"</f>
        <v>－</v>
      </c>
      <c r="K1158" s="21" t="str">
        <f>"－"</f>
        <v>－</v>
      </c>
      <c r="L1158" s="4" t="s">
        <v>268</v>
      </c>
      <c r="M1158" s="22" t="str">
        <f>"－"</f>
        <v>－</v>
      </c>
      <c r="N1158" s="5" t="s">
        <v>268</v>
      </c>
      <c r="O1158" s="23" t="str">
        <f>"－"</f>
        <v>－</v>
      </c>
      <c r="P1158" s="3" t="s">
        <v>247</v>
      </c>
      <c r="Q1158" s="21"/>
      <c r="R1158" s="3" t="s">
        <v>247</v>
      </c>
      <c r="S1158" s="21" t="str">
        <f>"－"</f>
        <v>－</v>
      </c>
      <c r="T1158" s="21" t="str">
        <f>"－"</f>
        <v>－</v>
      </c>
      <c r="U1158" s="5" t="s">
        <v>268</v>
      </c>
      <c r="V1158" s="23" t="str">
        <f>"－"</f>
        <v>－</v>
      </c>
      <c r="W1158" s="5" t="s">
        <v>268</v>
      </c>
      <c r="X1158" s="23" t="str">
        <f>"－"</f>
        <v>－</v>
      </c>
      <c r="Y1158" s="23" t="str">
        <f>"－"</f>
        <v>－</v>
      </c>
      <c r="Z1158" s="21" t="str">
        <f>"－"</f>
        <v>－</v>
      </c>
      <c r="AA1158" s="21" t="str">
        <f>"－"</f>
        <v>－</v>
      </c>
      <c r="AB1158" s="4" t="s">
        <v>268</v>
      </c>
      <c r="AC1158" s="22" t="str">
        <f>"－"</f>
        <v>－</v>
      </c>
      <c r="AD1158" s="5" t="s">
        <v>268</v>
      </c>
      <c r="AE1158" s="23" t="str">
        <f>"－"</f>
        <v>－</v>
      </c>
    </row>
    <row r="1159">
      <c r="A1159" s="24" t="s">
        <v>2160</v>
      </c>
      <c r="B1159" s="25" t="s">
        <v>2161</v>
      </c>
      <c r="C1159" s="26"/>
      <c r="D1159" s="27"/>
      <c r="E1159" s="28"/>
      <c r="F1159" s="20"/>
      <c r="G1159" s="21"/>
      <c r="H1159" s="21"/>
      <c r="I1159" s="21"/>
      <c r="J1159" s="21"/>
      <c r="K1159" s="21"/>
      <c r="L1159" s="4"/>
      <c r="M1159" s="22"/>
      <c r="N1159" s="5"/>
      <c r="O1159" s="23"/>
      <c r="P1159" s="3"/>
      <c r="Q1159" s="21"/>
      <c r="R1159" s="3"/>
      <c r="S1159" s="21"/>
      <c r="T1159" s="21"/>
      <c r="U1159" s="5"/>
      <c r="V1159" s="23"/>
      <c r="W1159" s="5"/>
      <c r="X1159" s="23"/>
      <c r="Y1159" s="23"/>
      <c r="Z1159" s="21"/>
      <c r="AA1159" s="21"/>
      <c r="AB1159" s="4"/>
      <c r="AC1159" s="22"/>
      <c r="AD1159" s="5"/>
      <c r="AE1159" s="23"/>
    </row>
    <row r="1160">
      <c r="A1160" s="24" t="s">
        <v>2162</v>
      </c>
      <c r="B1160" s="25" t="s">
        <v>2163</v>
      </c>
      <c r="C1160" s="26"/>
      <c r="D1160" s="27"/>
      <c r="E1160" s="28"/>
      <c r="F1160" s="20"/>
      <c r="G1160" s="21"/>
      <c r="H1160" s="21"/>
      <c r="I1160" s="21"/>
      <c r="J1160" s="21"/>
      <c r="K1160" s="21"/>
      <c r="L1160" s="4"/>
      <c r="M1160" s="22"/>
      <c r="N1160" s="5"/>
      <c r="O1160" s="23"/>
      <c r="P1160" s="3"/>
      <c r="Q1160" s="21"/>
      <c r="R1160" s="3"/>
      <c r="S1160" s="21"/>
      <c r="T1160" s="21"/>
      <c r="U1160" s="5"/>
      <c r="V1160" s="23"/>
      <c r="W1160" s="5"/>
      <c r="X1160" s="23"/>
      <c r="Y1160" s="23"/>
      <c r="Z1160" s="21"/>
      <c r="AA1160" s="21"/>
      <c r="AB1160" s="4"/>
      <c r="AC1160" s="22"/>
      <c r="AD1160" s="5"/>
      <c r="AE1160" s="23"/>
    </row>
    <row r="1161">
      <c r="A1161" s="24" t="s">
        <v>2164</v>
      </c>
      <c r="B1161" s="25" t="s">
        <v>2165</v>
      </c>
      <c r="C1161" s="26" t="s">
        <v>1744</v>
      </c>
      <c r="D1161" s="27" t="s">
        <v>1745</v>
      </c>
      <c r="E1161" s="28" t="s">
        <v>261</v>
      </c>
      <c r="F1161" s="20" t="n">
        <f>100</f>
        <v>100.0</v>
      </c>
      <c r="G1161" s="21" t="n">
        <f>766278</f>
        <v>766278.0</v>
      </c>
      <c r="H1161" s="21"/>
      <c r="I1161" s="21" t="str">
        <f>"－"</f>
        <v>－</v>
      </c>
      <c r="J1161" s="21" t="n">
        <f>7663</f>
        <v>7663.0</v>
      </c>
      <c r="K1161" s="21" t="str">
        <f>"－"</f>
        <v>－</v>
      </c>
      <c r="L1161" s="4" t="s">
        <v>1306</v>
      </c>
      <c r="M1161" s="22" t="n">
        <f>86965</f>
        <v>86965.0</v>
      </c>
      <c r="N1161" s="5" t="s">
        <v>544</v>
      </c>
      <c r="O1161" s="23" t="n">
        <f>4416</f>
        <v>4416.0</v>
      </c>
      <c r="P1161" s="3" t="s">
        <v>2166</v>
      </c>
      <c r="Q1161" s="21"/>
      <c r="R1161" s="3" t="s">
        <v>247</v>
      </c>
      <c r="S1161" s="21" t="n">
        <f>5557830500</f>
        <v>5.5578305E9</v>
      </c>
      <c r="T1161" s="21" t="str">
        <f>"－"</f>
        <v>－</v>
      </c>
      <c r="U1161" s="5" t="s">
        <v>1306</v>
      </c>
      <c r="V1161" s="23" t="n">
        <f>52577430000</f>
        <v>5.257743E10</v>
      </c>
      <c r="W1161" s="5" t="s">
        <v>1072</v>
      </c>
      <c r="X1161" s="23" t="n">
        <f>1854440000</f>
        <v>1.85444E9</v>
      </c>
      <c r="Y1161" s="23" t="n">
        <f>13481</f>
        <v>13481.0</v>
      </c>
      <c r="Z1161" s="21" t="str">
        <f>"－"</f>
        <v>－</v>
      </c>
      <c r="AA1161" s="21" t="n">
        <f>16593</f>
        <v>16593.0</v>
      </c>
      <c r="AB1161" s="4" t="s">
        <v>1306</v>
      </c>
      <c r="AC1161" s="22" t="n">
        <f>30426</f>
        <v>30426.0</v>
      </c>
      <c r="AD1161" s="5" t="s">
        <v>302</v>
      </c>
      <c r="AE1161" s="23" t="n">
        <f>9311</f>
        <v>9311.0</v>
      </c>
    </row>
    <row r="1162">
      <c r="A1162" s="24" t="s">
        <v>2164</v>
      </c>
      <c r="B1162" s="25" t="s">
        <v>2165</v>
      </c>
      <c r="C1162" s="26" t="s">
        <v>1748</v>
      </c>
      <c r="D1162" s="27" t="s">
        <v>1749</v>
      </c>
      <c r="E1162" s="28" t="s">
        <v>261</v>
      </c>
      <c r="F1162" s="20" t="n">
        <f>100</f>
        <v>100.0</v>
      </c>
      <c r="G1162" s="21" t="n">
        <f>828611</f>
        <v>828611.0</v>
      </c>
      <c r="H1162" s="21"/>
      <c r="I1162" s="21" t="str">
        <f>"－"</f>
        <v>－</v>
      </c>
      <c r="J1162" s="21" t="n">
        <f>8286</f>
        <v>8286.0</v>
      </c>
      <c r="K1162" s="21" t="str">
        <f>"－"</f>
        <v>－</v>
      </c>
      <c r="L1162" s="4" t="s">
        <v>1306</v>
      </c>
      <c r="M1162" s="22" t="n">
        <f>126831</f>
        <v>126831.0</v>
      </c>
      <c r="N1162" s="5" t="s">
        <v>188</v>
      </c>
      <c r="O1162" s="23" t="n">
        <f>4353</f>
        <v>4353.0</v>
      </c>
      <c r="P1162" s="3" t="s">
        <v>2167</v>
      </c>
      <c r="Q1162" s="21"/>
      <c r="R1162" s="3" t="s">
        <v>247</v>
      </c>
      <c r="S1162" s="21" t="n">
        <f>5217852600</f>
        <v>5.2178526E9</v>
      </c>
      <c r="T1162" s="21" t="str">
        <f>"－"</f>
        <v>－</v>
      </c>
      <c r="U1162" s="5" t="s">
        <v>1306</v>
      </c>
      <c r="V1162" s="23" t="n">
        <f>84395310000</f>
        <v>8.439531E10</v>
      </c>
      <c r="W1162" s="5" t="s">
        <v>282</v>
      </c>
      <c r="X1162" s="23" t="n">
        <f>1367640000</f>
        <v>1.36764E9</v>
      </c>
      <c r="Y1162" s="23" t="n">
        <f>787</f>
        <v>787.0</v>
      </c>
      <c r="Z1162" s="21" t="str">
        <f>"－"</f>
        <v>－</v>
      </c>
      <c r="AA1162" s="21" t="n">
        <f>17445</f>
        <v>17445.0</v>
      </c>
      <c r="AB1162" s="4" t="s">
        <v>1003</v>
      </c>
      <c r="AC1162" s="22" t="n">
        <f>34008</f>
        <v>34008.0</v>
      </c>
      <c r="AD1162" s="5" t="s">
        <v>302</v>
      </c>
      <c r="AE1162" s="23" t="n">
        <f>8896</f>
        <v>8896.0</v>
      </c>
    </row>
    <row r="1163">
      <c r="A1163" s="24" t="s">
        <v>2164</v>
      </c>
      <c r="B1163" s="25" t="s">
        <v>2165</v>
      </c>
      <c r="C1163" s="26" t="s">
        <v>1752</v>
      </c>
      <c r="D1163" s="27" t="s">
        <v>1753</v>
      </c>
      <c r="E1163" s="28" t="s">
        <v>261</v>
      </c>
      <c r="F1163" s="20" t="n">
        <f>100</f>
        <v>100.0</v>
      </c>
      <c r="G1163" s="21" t="n">
        <f>1594889</f>
        <v>1594889.0</v>
      </c>
      <c r="H1163" s="21"/>
      <c r="I1163" s="21" t="str">
        <f>"－"</f>
        <v>－</v>
      </c>
      <c r="J1163" s="21" t="n">
        <f>15949</f>
        <v>15949.0</v>
      </c>
      <c r="K1163" s="21" t="str">
        <f>"－"</f>
        <v>－</v>
      </c>
      <c r="L1163" s="4" t="s">
        <v>1306</v>
      </c>
      <c r="M1163" s="22" t="n">
        <f>213796</f>
        <v>213796.0</v>
      </c>
      <c r="N1163" s="5" t="s">
        <v>544</v>
      </c>
      <c r="O1163" s="23" t="n">
        <f>9194</f>
        <v>9194.0</v>
      </c>
      <c r="P1163" s="3" t="s">
        <v>2168</v>
      </c>
      <c r="Q1163" s="21"/>
      <c r="R1163" s="3" t="s">
        <v>247</v>
      </c>
      <c r="S1163" s="21" t="n">
        <f>10775683100</f>
        <v>1.07756831E10</v>
      </c>
      <c r="T1163" s="21" t="str">
        <f>"－"</f>
        <v>－</v>
      </c>
      <c r="U1163" s="5" t="s">
        <v>1306</v>
      </c>
      <c r="V1163" s="23" t="n">
        <f>136972740000</f>
        <v>1.3697274E11</v>
      </c>
      <c r="W1163" s="5" t="s">
        <v>1072</v>
      </c>
      <c r="X1163" s="23" t="n">
        <f>4191110000</f>
        <v>4.19111E9</v>
      </c>
      <c r="Y1163" s="23" t="n">
        <f>14268</f>
        <v>14268.0</v>
      </c>
      <c r="Z1163" s="21" t="str">
        <f>"－"</f>
        <v>－</v>
      </c>
      <c r="AA1163" s="21" t="n">
        <f>34038</f>
        <v>34038.0</v>
      </c>
      <c r="AB1163" s="4" t="s">
        <v>1306</v>
      </c>
      <c r="AC1163" s="22" t="n">
        <f>59951</f>
        <v>59951.0</v>
      </c>
      <c r="AD1163" s="5" t="s">
        <v>302</v>
      </c>
      <c r="AE1163" s="23" t="n">
        <f>18207</f>
        <v>18207.0</v>
      </c>
    </row>
    <row r="1164">
      <c r="A1164" s="24" t="s">
        <v>2164</v>
      </c>
      <c r="B1164" s="25" t="s">
        <v>2165</v>
      </c>
      <c r="C1164" s="26" t="s">
        <v>1744</v>
      </c>
      <c r="D1164" s="27" t="s">
        <v>1745</v>
      </c>
      <c r="E1164" s="28" t="s">
        <v>267</v>
      </c>
      <c r="F1164" s="20" t="n">
        <f>119</f>
        <v>119.0</v>
      </c>
      <c r="G1164" s="21" t="n">
        <f>596462</f>
        <v>596462.0</v>
      </c>
      <c r="H1164" s="21"/>
      <c r="I1164" s="21" t="str">
        <f>"－"</f>
        <v>－</v>
      </c>
      <c r="J1164" s="21" t="n">
        <f>5012</f>
        <v>5012.0</v>
      </c>
      <c r="K1164" s="21" t="str">
        <f>"－"</f>
        <v>－</v>
      </c>
      <c r="L1164" s="4" t="s">
        <v>968</v>
      </c>
      <c r="M1164" s="22" t="n">
        <f>8250</f>
        <v>8250.0</v>
      </c>
      <c r="N1164" s="5" t="s">
        <v>552</v>
      </c>
      <c r="O1164" s="23" t="n">
        <f>2870</f>
        <v>2870.0</v>
      </c>
      <c r="P1164" s="3" t="s">
        <v>2169</v>
      </c>
      <c r="Q1164" s="21"/>
      <c r="R1164" s="3" t="s">
        <v>247</v>
      </c>
      <c r="S1164" s="21" t="n">
        <f>1569252941</f>
        <v>1.569252941E9</v>
      </c>
      <c r="T1164" s="21" t="str">
        <f>"－"</f>
        <v>－</v>
      </c>
      <c r="U1164" s="5" t="s">
        <v>658</v>
      </c>
      <c r="V1164" s="23" t="n">
        <f>5249010000</f>
        <v>5.24901E9</v>
      </c>
      <c r="W1164" s="5" t="s">
        <v>552</v>
      </c>
      <c r="X1164" s="23" t="n">
        <f>306180000</f>
        <v>3.0618E8</v>
      </c>
      <c r="Y1164" s="23" t="n">
        <f>2778</f>
        <v>2778.0</v>
      </c>
      <c r="Z1164" s="21" t="str">
        <f>"－"</f>
        <v>－</v>
      </c>
      <c r="AA1164" s="21" t="n">
        <f>25034</f>
        <v>25034.0</v>
      </c>
      <c r="AB1164" s="4" t="s">
        <v>921</v>
      </c>
      <c r="AC1164" s="22" t="n">
        <f>40860</f>
        <v>40860.0</v>
      </c>
      <c r="AD1164" s="5" t="s">
        <v>276</v>
      </c>
      <c r="AE1164" s="23" t="n">
        <f>10702</f>
        <v>10702.0</v>
      </c>
    </row>
    <row r="1165">
      <c r="A1165" s="24" t="s">
        <v>2164</v>
      </c>
      <c r="B1165" s="25" t="s">
        <v>2165</v>
      </c>
      <c r="C1165" s="26" t="s">
        <v>1748</v>
      </c>
      <c r="D1165" s="27" t="s">
        <v>1749</v>
      </c>
      <c r="E1165" s="28" t="s">
        <v>267</v>
      </c>
      <c r="F1165" s="20" t="n">
        <f>119</f>
        <v>119.0</v>
      </c>
      <c r="G1165" s="21" t="n">
        <f>580883</f>
        <v>580883.0</v>
      </c>
      <c r="H1165" s="21"/>
      <c r="I1165" s="21" t="str">
        <f>"－"</f>
        <v>－</v>
      </c>
      <c r="J1165" s="21" t="n">
        <f>4881</f>
        <v>4881.0</v>
      </c>
      <c r="K1165" s="21" t="str">
        <f>"－"</f>
        <v>－</v>
      </c>
      <c r="L1165" s="4" t="s">
        <v>308</v>
      </c>
      <c r="M1165" s="22" t="n">
        <f>8032</f>
        <v>8032.0</v>
      </c>
      <c r="N1165" s="5" t="s">
        <v>1767</v>
      </c>
      <c r="O1165" s="23" t="n">
        <f>2943</f>
        <v>2943.0</v>
      </c>
      <c r="P1165" s="3" t="s">
        <v>2170</v>
      </c>
      <c r="Q1165" s="21"/>
      <c r="R1165" s="3" t="s">
        <v>247</v>
      </c>
      <c r="S1165" s="21" t="n">
        <f>2704553445</f>
        <v>2.704553445E9</v>
      </c>
      <c r="T1165" s="21" t="str">
        <f>"－"</f>
        <v>－</v>
      </c>
      <c r="U1165" s="5" t="s">
        <v>507</v>
      </c>
      <c r="V1165" s="23" t="n">
        <f>10104470000</f>
        <v>1.010447E10</v>
      </c>
      <c r="W1165" s="5" t="s">
        <v>171</v>
      </c>
      <c r="X1165" s="23" t="n">
        <f>817010000</f>
        <v>8.1701E8</v>
      </c>
      <c r="Y1165" s="23" t="n">
        <f>18691</f>
        <v>18691.0</v>
      </c>
      <c r="Z1165" s="21" t="str">
        <f>"－"</f>
        <v>－</v>
      </c>
      <c r="AA1165" s="21" t="n">
        <f>19223</f>
        <v>19223.0</v>
      </c>
      <c r="AB1165" s="4" t="s">
        <v>259</v>
      </c>
      <c r="AC1165" s="22" t="n">
        <f>27366</f>
        <v>27366.0</v>
      </c>
      <c r="AD1165" s="5" t="s">
        <v>292</v>
      </c>
      <c r="AE1165" s="23" t="n">
        <f>8524</f>
        <v>8524.0</v>
      </c>
    </row>
    <row r="1166">
      <c r="A1166" s="24" t="s">
        <v>2164</v>
      </c>
      <c r="B1166" s="25" t="s">
        <v>2165</v>
      </c>
      <c r="C1166" s="26" t="s">
        <v>1752</v>
      </c>
      <c r="D1166" s="27" t="s">
        <v>1753</v>
      </c>
      <c r="E1166" s="28" t="s">
        <v>267</v>
      </c>
      <c r="F1166" s="20" t="n">
        <f>119</f>
        <v>119.0</v>
      </c>
      <c r="G1166" s="21" t="n">
        <f>1177345</f>
        <v>1177345.0</v>
      </c>
      <c r="H1166" s="21"/>
      <c r="I1166" s="21" t="str">
        <f>"－"</f>
        <v>－</v>
      </c>
      <c r="J1166" s="21" t="n">
        <f>9894</f>
        <v>9894.0</v>
      </c>
      <c r="K1166" s="21" t="str">
        <f>"－"</f>
        <v>－</v>
      </c>
      <c r="L1166" s="4" t="s">
        <v>968</v>
      </c>
      <c r="M1166" s="22" t="n">
        <f>14976</f>
        <v>14976.0</v>
      </c>
      <c r="N1166" s="5" t="s">
        <v>167</v>
      </c>
      <c r="O1166" s="23" t="n">
        <f>6687</f>
        <v>6687.0</v>
      </c>
      <c r="P1166" s="3" t="s">
        <v>2171</v>
      </c>
      <c r="Q1166" s="21"/>
      <c r="R1166" s="3" t="s">
        <v>247</v>
      </c>
      <c r="S1166" s="21" t="n">
        <f>4273806387</f>
        <v>4.273806387E9</v>
      </c>
      <c r="T1166" s="21" t="str">
        <f>"－"</f>
        <v>－</v>
      </c>
      <c r="U1166" s="5" t="s">
        <v>507</v>
      </c>
      <c r="V1166" s="23" t="n">
        <f>11513050000</f>
        <v>1.151305E10</v>
      </c>
      <c r="W1166" s="5" t="s">
        <v>1920</v>
      </c>
      <c r="X1166" s="23" t="n">
        <f>1438280000</f>
        <v>1.43828E9</v>
      </c>
      <c r="Y1166" s="23" t="n">
        <f>21469</f>
        <v>21469.0</v>
      </c>
      <c r="Z1166" s="21" t="str">
        <f>"－"</f>
        <v>－</v>
      </c>
      <c r="AA1166" s="21" t="n">
        <f>44257</f>
        <v>44257.0</v>
      </c>
      <c r="AB1166" s="4" t="s">
        <v>259</v>
      </c>
      <c r="AC1166" s="22" t="n">
        <f>62111</f>
        <v>62111.0</v>
      </c>
      <c r="AD1166" s="5" t="s">
        <v>276</v>
      </c>
      <c r="AE1166" s="23" t="n">
        <f>19359</f>
        <v>19359.0</v>
      </c>
    </row>
    <row r="1167">
      <c r="A1167" s="24" t="s">
        <v>2164</v>
      </c>
      <c r="B1167" s="25" t="s">
        <v>2165</v>
      </c>
      <c r="C1167" s="26" t="s">
        <v>1744</v>
      </c>
      <c r="D1167" s="27" t="s">
        <v>1745</v>
      </c>
      <c r="E1167" s="28" t="s">
        <v>271</v>
      </c>
      <c r="F1167" s="20" t="n">
        <f>126</f>
        <v>126.0</v>
      </c>
      <c r="G1167" s="21" t="n">
        <f>449103</f>
        <v>449103.0</v>
      </c>
      <c r="H1167" s="21"/>
      <c r="I1167" s="21" t="str">
        <f>"－"</f>
        <v>－</v>
      </c>
      <c r="J1167" s="21" t="n">
        <f>3564</f>
        <v>3564.0</v>
      </c>
      <c r="K1167" s="21" t="str">
        <f>"－"</f>
        <v>－</v>
      </c>
      <c r="L1167" s="4" t="s">
        <v>107</v>
      </c>
      <c r="M1167" s="22" t="n">
        <f>8021</f>
        <v>8021.0</v>
      </c>
      <c r="N1167" s="5" t="s">
        <v>129</v>
      </c>
      <c r="O1167" s="23" t="n">
        <f>1738</f>
        <v>1738.0</v>
      </c>
      <c r="P1167" s="3" t="s">
        <v>2172</v>
      </c>
      <c r="Q1167" s="21"/>
      <c r="R1167" s="3" t="s">
        <v>247</v>
      </c>
      <c r="S1167" s="21" t="n">
        <f>984954444</f>
        <v>9.84954444E8</v>
      </c>
      <c r="T1167" s="21" t="str">
        <f>"－"</f>
        <v>－</v>
      </c>
      <c r="U1167" s="5" t="s">
        <v>107</v>
      </c>
      <c r="V1167" s="23" t="n">
        <f>3711850000</f>
        <v>3.71185E9</v>
      </c>
      <c r="W1167" s="5" t="s">
        <v>97</v>
      </c>
      <c r="X1167" s="23" t="n">
        <f>313970000</f>
        <v>3.1397E8</v>
      </c>
      <c r="Y1167" s="23" t="n">
        <f>3458</f>
        <v>3458.0</v>
      </c>
      <c r="Z1167" s="21" t="str">
        <f>"－"</f>
        <v>－</v>
      </c>
      <c r="AA1167" s="21" t="n">
        <f>21671</f>
        <v>21671.0</v>
      </c>
      <c r="AB1167" s="4" t="s">
        <v>72</v>
      </c>
      <c r="AC1167" s="22" t="n">
        <f>40525</f>
        <v>40525.0</v>
      </c>
      <c r="AD1167" s="5" t="s">
        <v>709</v>
      </c>
      <c r="AE1167" s="23" t="n">
        <f>12432</f>
        <v>12432.0</v>
      </c>
    </row>
    <row r="1168">
      <c r="A1168" s="24" t="s">
        <v>2164</v>
      </c>
      <c r="B1168" s="25" t="s">
        <v>2165</v>
      </c>
      <c r="C1168" s="26" t="s">
        <v>1748</v>
      </c>
      <c r="D1168" s="27" t="s">
        <v>1749</v>
      </c>
      <c r="E1168" s="28" t="s">
        <v>271</v>
      </c>
      <c r="F1168" s="20" t="n">
        <f>126</f>
        <v>126.0</v>
      </c>
      <c r="G1168" s="21" t="n">
        <f>542762</f>
        <v>542762.0</v>
      </c>
      <c r="H1168" s="21"/>
      <c r="I1168" s="21" t="str">
        <f>"－"</f>
        <v>－</v>
      </c>
      <c r="J1168" s="21" t="n">
        <f>4308</f>
        <v>4308.0</v>
      </c>
      <c r="K1168" s="21" t="str">
        <f>"－"</f>
        <v>－</v>
      </c>
      <c r="L1168" s="4" t="s">
        <v>1377</v>
      </c>
      <c r="M1168" s="22" t="n">
        <f>7923</f>
        <v>7923.0</v>
      </c>
      <c r="N1168" s="5" t="s">
        <v>2129</v>
      </c>
      <c r="O1168" s="23" t="n">
        <f>1916</f>
        <v>1916.0</v>
      </c>
      <c r="P1168" s="3" t="s">
        <v>2173</v>
      </c>
      <c r="Q1168" s="21"/>
      <c r="R1168" s="3" t="s">
        <v>247</v>
      </c>
      <c r="S1168" s="21" t="n">
        <f>1542242460</f>
        <v>1.54224246E9</v>
      </c>
      <c r="T1168" s="21" t="str">
        <f>"－"</f>
        <v>－</v>
      </c>
      <c r="U1168" s="5" t="s">
        <v>450</v>
      </c>
      <c r="V1168" s="23" t="n">
        <f>5338690000</f>
        <v>5.33869E9</v>
      </c>
      <c r="W1168" s="5" t="s">
        <v>2129</v>
      </c>
      <c r="X1168" s="23" t="n">
        <f>440640000</f>
        <v>4.4064E8</v>
      </c>
      <c r="Y1168" s="23" t="n">
        <f>9425</f>
        <v>9425.0</v>
      </c>
      <c r="Z1168" s="21" t="str">
        <f>"－"</f>
        <v>－</v>
      </c>
      <c r="AA1168" s="21" t="n">
        <f>34729</f>
        <v>34729.0</v>
      </c>
      <c r="AB1168" s="4" t="s">
        <v>398</v>
      </c>
      <c r="AC1168" s="22" t="n">
        <f>38900</f>
        <v>38900.0</v>
      </c>
      <c r="AD1168" s="5" t="s">
        <v>823</v>
      </c>
      <c r="AE1168" s="23" t="n">
        <f>16656</f>
        <v>16656.0</v>
      </c>
    </row>
    <row r="1169">
      <c r="A1169" s="24" t="s">
        <v>2164</v>
      </c>
      <c r="B1169" s="25" t="s">
        <v>2165</v>
      </c>
      <c r="C1169" s="26" t="s">
        <v>1752</v>
      </c>
      <c r="D1169" s="27" t="s">
        <v>1753</v>
      </c>
      <c r="E1169" s="28" t="s">
        <v>271</v>
      </c>
      <c r="F1169" s="20" t="n">
        <f>126</f>
        <v>126.0</v>
      </c>
      <c r="G1169" s="21" t="n">
        <f>991865</f>
        <v>991865.0</v>
      </c>
      <c r="H1169" s="21"/>
      <c r="I1169" s="21" t="str">
        <f>"－"</f>
        <v>－</v>
      </c>
      <c r="J1169" s="21" t="n">
        <f>7872</f>
        <v>7872.0</v>
      </c>
      <c r="K1169" s="21" t="str">
        <f>"－"</f>
        <v>－</v>
      </c>
      <c r="L1169" s="4" t="s">
        <v>107</v>
      </c>
      <c r="M1169" s="22" t="n">
        <f>14294</f>
        <v>14294.0</v>
      </c>
      <c r="N1169" s="5" t="s">
        <v>892</v>
      </c>
      <c r="O1169" s="23" t="n">
        <f>5153</f>
        <v>5153.0</v>
      </c>
      <c r="P1169" s="3" t="s">
        <v>2174</v>
      </c>
      <c r="Q1169" s="21"/>
      <c r="R1169" s="3" t="s">
        <v>247</v>
      </c>
      <c r="S1169" s="21" t="n">
        <f>2527196905</f>
        <v>2.527196905E9</v>
      </c>
      <c r="T1169" s="21" t="str">
        <f>"－"</f>
        <v>－</v>
      </c>
      <c r="U1169" s="5" t="s">
        <v>895</v>
      </c>
      <c r="V1169" s="23" t="n">
        <f>6266990000</f>
        <v>6.26699E9</v>
      </c>
      <c r="W1169" s="5" t="s">
        <v>2129</v>
      </c>
      <c r="X1169" s="23" t="n">
        <f>845110000</f>
        <v>8.4511E8</v>
      </c>
      <c r="Y1169" s="23" t="n">
        <f>12883</f>
        <v>12883.0</v>
      </c>
      <c r="Z1169" s="21" t="str">
        <f>"－"</f>
        <v>－</v>
      </c>
      <c r="AA1169" s="21" t="n">
        <f>56400</f>
        <v>56400.0</v>
      </c>
      <c r="AB1169" s="4" t="s">
        <v>398</v>
      </c>
      <c r="AC1169" s="22" t="n">
        <f>77914</f>
        <v>77914.0</v>
      </c>
      <c r="AD1169" s="5" t="s">
        <v>823</v>
      </c>
      <c r="AE1169" s="23" t="n">
        <f>29783</f>
        <v>29783.0</v>
      </c>
    </row>
    <row r="1170">
      <c r="A1170" s="24" t="s">
        <v>2164</v>
      </c>
      <c r="B1170" s="25" t="s">
        <v>2165</v>
      </c>
      <c r="C1170" s="26" t="s">
        <v>1744</v>
      </c>
      <c r="D1170" s="27" t="s">
        <v>1745</v>
      </c>
      <c r="E1170" s="28" t="s">
        <v>275</v>
      </c>
      <c r="F1170" s="20" t="n">
        <f>121</f>
        <v>121.0</v>
      </c>
      <c r="G1170" s="21" t="n">
        <f>289287</f>
        <v>289287.0</v>
      </c>
      <c r="H1170" s="21"/>
      <c r="I1170" s="21" t="str">
        <f>"－"</f>
        <v>－</v>
      </c>
      <c r="J1170" s="21" t="n">
        <f>2391</f>
        <v>2391.0</v>
      </c>
      <c r="K1170" s="21" t="str">
        <f>"－"</f>
        <v>－</v>
      </c>
      <c r="L1170" s="4" t="s">
        <v>50</v>
      </c>
      <c r="M1170" s="22" t="n">
        <f>4989</f>
        <v>4989.0</v>
      </c>
      <c r="N1170" s="5" t="s">
        <v>516</v>
      </c>
      <c r="O1170" s="23" t="n">
        <f>944</f>
        <v>944.0</v>
      </c>
      <c r="P1170" s="3" t="s">
        <v>2175</v>
      </c>
      <c r="Q1170" s="21"/>
      <c r="R1170" s="3" t="s">
        <v>247</v>
      </c>
      <c r="S1170" s="21" t="n">
        <f>610018347</f>
        <v>6.10018347E8</v>
      </c>
      <c r="T1170" s="21" t="str">
        <f>"－"</f>
        <v>－</v>
      </c>
      <c r="U1170" s="5" t="s">
        <v>259</v>
      </c>
      <c r="V1170" s="23" t="n">
        <f>2575500000</f>
        <v>2.5755E9</v>
      </c>
      <c r="W1170" s="5" t="s">
        <v>466</v>
      </c>
      <c r="X1170" s="23" t="n">
        <f>196720000</f>
        <v>1.9672E8</v>
      </c>
      <c r="Y1170" s="23" t="n">
        <f>3338</f>
        <v>3338.0</v>
      </c>
      <c r="Z1170" s="21" t="str">
        <f>"－"</f>
        <v>－</v>
      </c>
      <c r="AA1170" s="21" t="n">
        <f>11761</f>
        <v>11761.0</v>
      </c>
      <c r="AB1170" s="4" t="s">
        <v>184</v>
      </c>
      <c r="AC1170" s="22" t="n">
        <f>38252</f>
        <v>38252.0</v>
      </c>
      <c r="AD1170" s="5" t="s">
        <v>202</v>
      </c>
      <c r="AE1170" s="23" t="n">
        <f>8177</f>
        <v>8177.0</v>
      </c>
    </row>
    <row r="1171">
      <c r="A1171" s="24" t="s">
        <v>2164</v>
      </c>
      <c r="B1171" s="25" t="s">
        <v>2165</v>
      </c>
      <c r="C1171" s="26" t="s">
        <v>1748</v>
      </c>
      <c r="D1171" s="27" t="s">
        <v>1749</v>
      </c>
      <c r="E1171" s="28" t="s">
        <v>275</v>
      </c>
      <c r="F1171" s="20" t="n">
        <f>121</f>
        <v>121.0</v>
      </c>
      <c r="G1171" s="21" t="n">
        <f>378537</f>
        <v>378537.0</v>
      </c>
      <c r="H1171" s="21"/>
      <c r="I1171" s="21" t="str">
        <f>"－"</f>
        <v>－</v>
      </c>
      <c r="J1171" s="21" t="n">
        <f>3128</f>
        <v>3128.0</v>
      </c>
      <c r="K1171" s="21" t="str">
        <f>"－"</f>
        <v>－</v>
      </c>
      <c r="L1171" s="4" t="s">
        <v>945</v>
      </c>
      <c r="M1171" s="22" t="n">
        <f>7473</f>
        <v>7473.0</v>
      </c>
      <c r="N1171" s="5" t="s">
        <v>68</v>
      </c>
      <c r="O1171" s="23" t="n">
        <f>790</f>
        <v>790.0</v>
      </c>
      <c r="P1171" s="3" t="s">
        <v>2176</v>
      </c>
      <c r="Q1171" s="21"/>
      <c r="R1171" s="3" t="s">
        <v>247</v>
      </c>
      <c r="S1171" s="21" t="n">
        <f>1821581901</f>
        <v>1.821581901E9</v>
      </c>
      <c r="T1171" s="21" t="str">
        <f>"－"</f>
        <v>－</v>
      </c>
      <c r="U1171" s="5" t="s">
        <v>945</v>
      </c>
      <c r="V1171" s="23" t="n">
        <f>8676700000</f>
        <v>8.6767E9</v>
      </c>
      <c r="W1171" s="5" t="s">
        <v>68</v>
      </c>
      <c r="X1171" s="23" t="n">
        <f>218810000</f>
        <v>2.1881E8</v>
      </c>
      <c r="Y1171" s="23" t="n">
        <f>27995</f>
        <v>27995.0</v>
      </c>
      <c r="Z1171" s="21" t="str">
        <f>"－"</f>
        <v>－</v>
      </c>
      <c r="AA1171" s="21" t="n">
        <f>19264</f>
        <v>19264.0</v>
      </c>
      <c r="AB1171" s="4" t="s">
        <v>552</v>
      </c>
      <c r="AC1171" s="22" t="n">
        <f>39342</f>
        <v>39342.0</v>
      </c>
      <c r="AD1171" s="5" t="s">
        <v>202</v>
      </c>
      <c r="AE1171" s="23" t="n">
        <f>12666</f>
        <v>12666.0</v>
      </c>
    </row>
    <row r="1172">
      <c r="A1172" s="24" t="s">
        <v>2164</v>
      </c>
      <c r="B1172" s="25" t="s">
        <v>2165</v>
      </c>
      <c r="C1172" s="26" t="s">
        <v>1752</v>
      </c>
      <c r="D1172" s="27" t="s">
        <v>1753</v>
      </c>
      <c r="E1172" s="28" t="s">
        <v>275</v>
      </c>
      <c r="F1172" s="20" t="n">
        <f>121</f>
        <v>121.0</v>
      </c>
      <c r="G1172" s="21" t="n">
        <f>667824</f>
        <v>667824.0</v>
      </c>
      <c r="H1172" s="21"/>
      <c r="I1172" s="21" t="str">
        <f>"－"</f>
        <v>－</v>
      </c>
      <c r="J1172" s="21" t="n">
        <f>5519</f>
        <v>5519.0</v>
      </c>
      <c r="K1172" s="21" t="str">
        <f>"－"</f>
        <v>－</v>
      </c>
      <c r="L1172" s="4" t="s">
        <v>945</v>
      </c>
      <c r="M1172" s="22" t="n">
        <f>12035</f>
        <v>12035.0</v>
      </c>
      <c r="N1172" s="5" t="s">
        <v>68</v>
      </c>
      <c r="O1172" s="23" t="n">
        <f>2284</f>
        <v>2284.0</v>
      </c>
      <c r="P1172" s="3" t="s">
        <v>2177</v>
      </c>
      <c r="Q1172" s="21"/>
      <c r="R1172" s="3" t="s">
        <v>247</v>
      </c>
      <c r="S1172" s="21" t="n">
        <f>2431600248</f>
        <v>2.431600248E9</v>
      </c>
      <c r="T1172" s="21" t="str">
        <f>"－"</f>
        <v>－</v>
      </c>
      <c r="U1172" s="5" t="s">
        <v>945</v>
      </c>
      <c r="V1172" s="23" t="n">
        <f>9282670000</f>
        <v>9.28267E9</v>
      </c>
      <c r="W1172" s="5" t="s">
        <v>68</v>
      </c>
      <c r="X1172" s="23" t="n">
        <f>510610000</f>
        <v>5.1061E8</v>
      </c>
      <c r="Y1172" s="23" t="n">
        <f>31333</f>
        <v>31333.0</v>
      </c>
      <c r="Z1172" s="21" t="str">
        <f>"－"</f>
        <v>－</v>
      </c>
      <c r="AA1172" s="21" t="n">
        <f>31025</f>
        <v>31025.0</v>
      </c>
      <c r="AB1172" s="4" t="s">
        <v>552</v>
      </c>
      <c r="AC1172" s="22" t="n">
        <f>77505</f>
        <v>77505.0</v>
      </c>
      <c r="AD1172" s="5" t="s">
        <v>202</v>
      </c>
      <c r="AE1172" s="23" t="n">
        <f>20843</f>
        <v>20843.0</v>
      </c>
    </row>
    <row r="1173">
      <c r="A1173" s="24" t="s">
        <v>2164</v>
      </c>
      <c r="B1173" s="25" t="s">
        <v>2165</v>
      </c>
      <c r="C1173" s="26" t="s">
        <v>1744</v>
      </c>
      <c r="D1173" s="27" t="s">
        <v>1745</v>
      </c>
      <c r="E1173" s="28" t="s">
        <v>280</v>
      </c>
      <c r="F1173" s="20" t="n">
        <f>126</f>
        <v>126.0</v>
      </c>
      <c r="G1173" s="21" t="n">
        <f>233853</f>
        <v>233853.0</v>
      </c>
      <c r="H1173" s="21"/>
      <c r="I1173" s="21" t="str">
        <f>"－"</f>
        <v>－</v>
      </c>
      <c r="J1173" s="21" t="n">
        <f>1856</f>
        <v>1856.0</v>
      </c>
      <c r="K1173" s="21" t="str">
        <f>"－"</f>
        <v>－</v>
      </c>
      <c r="L1173" s="4" t="s">
        <v>895</v>
      </c>
      <c r="M1173" s="22" t="n">
        <f>5070</f>
        <v>5070.0</v>
      </c>
      <c r="N1173" s="5" t="s">
        <v>143</v>
      </c>
      <c r="O1173" s="23" t="n">
        <f>493</f>
        <v>493.0</v>
      </c>
      <c r="P1173" s="3" t="s">
        <v>2178</v>
      </c>
      <c r="Q1173" s="21"/>
      <c r="R1173" s="3" t="s">
        <v>247</v>
      </c>
      <c r="S1173" s="21" t="n">
        <f>625619841</f>
        <v>6.25619841E8</v>
      </c>
      <c r="T1173" s="21" t="str">
        <f>"－"</f>
        <v>－</v>
      </c>
      <c r="U1173" s="5" t="s">
        <v>1133</v>
      </c>
      <c r="V1173" s="23" t="n">
        <f>2164570000</f>
        <v>2.16457E9</v>
      </c>
      <c r="W1173" s="5" t="s">
        <v>963</v>
      </c>
      <c r="X1173" s="23" t="n">
        <f>150030000</f>
        <v>1.5003E8</v>
      </c>
      <c r="Y1173" s="23" t="n">
        <f>3640</f>
        <v>3640.0</v>
      </c>
      <c r="Z1173" s="21" t="str">
        <f>"－"</f>
        <v>－</v>
      </c>
      <c r="AA1173" s="21" t="n">
        <f>20440</f>
        <v>20440.0</v>
      </c>
      <c r="AB1173" s="4" t="s">
        <v>563</v>
      </c>
      <c r="AC1173" s="22" t="n">
        <f>40701</f>
        <v>40701.0</v>
      </c>
      <c r="AD1173" s="5" t="s">
        <v>230</v>
      </c>
      <c r="AE1173" s="23" t="n">
        <f>7341</f>
        <v>7341.0</v>
      </c>
    </row>
    <row r="1174">
      <c r="A1174" s="24" t="s">
        <v>2164</v>
      </c>
      <c r="B1174" s="25" t="s">
        <v>2165</v>
      </c>
      <c r="C1174" s="26" t="s">
        <v>1748</v>
      </c>
      <c r="D1174" s="27" t="s">
        <v>1749</v>
      </c>
      <c r="E1174" s="28" t="s">
        <v>280</v>
      </c>
      <c r="F1174" s="20" t="n">
        <f>126</f>
        <v>126.0</v>
      </c>
      <c r="G1174" s="21" t="n">
        <f>349060</f>
        <v>349060.0</v>
      </c>
      <c r="H1174" s="21"/>
      <c r="I1174" s="21" t="str">
        <f>"－"</f>
        <v>－</v>
      </c>
      <c r="J1174" s="21" t="n">
        <f>2770</f>
        <v>2770.0</v>
      </c>
      <c r="K1174" s="21" t="str">
        <f>"－"</f>
        <v>－</v>
      </c>
      <c r="L1174" s="4" t="s">
        <v>85</v>
      </c>
      <c r="M1174" s="22" t="n">
        <f>6150</f>
        <v>6150.0</v>
      </c>
      <c r="N1174" s="5" t="s">
        <v>120</v>
      </c>
      <c r="O1174" s="23" t="n">
        <f>889</f>
        <v>889.0</v>
      </c>
      <c r="P1174" s="3" t="s">
        <v>2179</v>
      </c>
      <c r="Q1174" s="21"/>
      <c r="R1174" s="3" t="s">
        <v>247</v>
      </c>
      <c r="S1174" s="21" t="n">
        <f>1507990714</f>
        <v>1.507990714E9</v>
      </c>
      <c r="T1174" s="21" t="str">
        <f>"－"</f>
        <v>－</v>
      </c>
      <c r="U1174" s="5" t="s">
        <v>85</v>
      </c>
      <c r="V1174" s="23" t="n">
        <f>6320280000</f>
        <v>6.32028E9</v>
      </c>
      <c r="W1174" s="5" t="s">
        <v>1396</v>
      </c>
      <c r="X1174" s="23" t="n">
        <f>208770000</f>
        <v>2.0877E8</v>
      </c>
      <c r="Y1174" s="23" t="n">
        <f>23970</f>
        <v>23970.0</v>
      </c>
      <c r="Z1174" s="21" t="str">
        <f>"－"</f>
        <v>－</v>
      </c>
      <c r="AA1174" s="21" t="n">
        <f>25399</f>
        <v>25399.0</v>
      </c>
      <c r="AB1174" s="4" t="s">
        <v>262</v>
      </c>
      <c r="AC1174" s="22" t="n">
        <f>35138</f>
        <v>35138.0</v>
      </c>
      <c r="AD1174" s="5" t="s">
        <v>230</v>
      </c>
      <c r="AE1174" s="23" t="n">
        <f>14455</f>
        <v>14455.0</v>
      </c>
    </row>
    <row r="1175">
      <c r="A1175" s="24" t="s">
        <v>2164</v>
      </c>
      <c r="B1175" s="25" t="s">
        <v>2165</v>
      </c>
      <c r="C1175" s="26" t="s">
        <v>1752</v>
      </c>
      <c r="D1175" s="27" t="s">
        <v>1753</v>
      </c>
      <c r="E1175" s="28" t="s">
        <v>280</v>
      </c>
      <c r="F1175" s="20" t="n">
        <f>126</f>
        <v>126.0</v>
      </c>
      <c r="G1175" s="21" t="n">
        <f>582913</f>
        <v>582913.0</v>
      </c>
      <c r="H1175" s="21"/>
      <c r="I1175" s="21" t="str">
        <f>"－"</f>
        <v>－</v>
      </c>
      <c r="J1175" s="21" t="n">
        <f>4626</f>
        <v>4626.0</v>
      </c>
      <c r="K1175" s="21" t="str">
        <f>"－"</f>
        <v>－</v>
      </c>
      <c r="L1175" s="4" t="s">
        <v>666</v>
      </c>
      <c r="M1175" s="22" t="n">
        <f>10556</f>
        <v>10556.0</v>
      </c>
      <c r="N1175" s="5" t="s">
        <v>963</v>
      </c>
      <c r="O1175" s="23" t="n">
        <f>1956</f>
        <v>1956.0</v>
      </c>
      <c r="P1175" s="3" t="s">
        <v>2180</v>
      </c>
      <c r="Q1175" s="21"/>
      <c r="R1175" s="3" t="s">
        <v>247</v>
      </c>
      <c r="S1175" s="21" t="n">
        <f>2133610556</f>
        <v>2.133610556E9</v>
      </c>
      <c r="T1175" s="21" t="str">
        <f>"－"</f>
        <v>－</v>
      </c>
      <c r="U1175" s="5" t="s">
        <v>85</v>
      </c>
      <c r="V1175" s="23" t="n">
        <f>6505750000</f>
        <v>6.50575E9</v>
      </c>
      <c r="W1175" s="5" t="s">
        <v>1259</v>
      </c>
      <c r="X1175" s="23" t="n">
        <f>543990000</f>
        <v>5.4399E8</v>
      </c>
      <c r="Y1175" s="23" t="n">
        <f>27610</f>
        <v>27610.0</v>
      </c>
      <c r="Z1175" s="21" t="str">
        <f>"－"</f>
        <v>－</v>
      </c>
      <c r="AA1175" s="21" t="n">
        <f>45839</f>
        <v>45839.0</v>
      </c>
      <c r="AB1175" s="4" t="s">
        <v>563</v>
      </c>
      <c r="AC1175" s="22" t="n">
        <f>68443</f>
        <v>68443.0</v>
      </c>
      <c r="AD1175" s="5" t="s">
        <v>230</v>
      </c>
      <c r="AE1175" s="23" t="n">
        <f>21796</f>
        <v>21796.0</v>
      </c>
    </row>
    <row r="1176">
      <c r="A1176" s="24" t="s">
        <v>2164</v>
      </c>
      <c r="B1176" s="25" t="s">
        <v>2165</v>
      </c>
      <c r="C1176" s="26" t="s">
        <v>1744</v>
      </c>
      <c r="D1176" s="27" t="s">
        <v>1745</v>
      </c>
      <c r="E1176" s="28" t="s">
        <v>284</v>
      </c>
      <c r="F1176" s="20" t="n">
        <f>123</f>
        <v>123.0</v>
      </c>
      <c r="G1176" s="21" t="n">
        <f>265880</f>
        <v>265880.0</v>
      </c>
      <c r="H1176" s="21"/>
      <c r="I1176" s="21" t="str">
        <f>"－"</f>
        <v>－</v>
      </c>
      <c r="J1176" s="21" t="n">
        <f>2162</f>
        <v>2162.0</v>
      </c>
      <c r="K1176" s="21" t="str">
        <f>"－"</f>
        <v>－</v>
      </c>
      <c r="L1176" s="4" t="s">
        <v>178</v>
      </c>
      <c r="M1176" s="22" t="n">
        <f>4547</f>
        <v>4547.0</v>
      </c>
      <c r="N1176" s="5" t="s">
        <v>285</v>
      </c>
      <c r="O1176" s="23" t="n">
        <f>902</f>
        <v>902.0</v>
      </c>
      <c r="P1176" s="3" t="s">
        <v>2181</v>
      </c>
      <c r="Q1176" s="21"/>
      <c r="R1176" s="3" t="s">
        <v>247</v>
      </c>
      <c r="S1176" s="21" t="n">
        <f>694765691</f>
        <v>6.94765691E8</v>
      </c>
      <c r="T1176" s="21" t="str">
        <f>"－"</f>
        <v>－</v>
      </c>
      <c r="U1176" s="5" t="s">
        <v>270</v>
      </c>
      <c r="V1176" s="23" t="n">
        <f>2650450000</f>
        <v>2.65045E9</v>
      </c>
      <c r="W1176" s="5" t="s">
        <v>285</v>
      </c>
      <c r="X1176" s="23" t="n">
        <f>131880000</f>
        <v>1.3188E8</v>
      </c>
      <c r="Y1176" s="23" t="n">
        <f>2614</f>
        <v>2614.0</v>
      </c>
      <c r="Z1176" s="21" t="str">
        <f>"－"</f>
        <v>－</v>
      </c>
      <c r="AA1176" s="21" t="n">
        <f>22004</f>
        <v>22004.0</v>
      </c>
      <c r="AB1176" s="4" t="s">
        <v>921</v>
      </c>
      <c r="AC1176" s="22" t="n">
        <f>36871</f>
        <v>36871.0</v>
      </c>
      <c r="AD1176" s="5" t="s">
        <v>872</v>
      </c>
      <c r="AE1176" s="23" t="n">
        <f>7720</f>
        <v>7720.0</v>
      </c>
    </row>
    <row r="1177">
      <c r="A1177" s="24" t="s">
        <v>2164</v>
      </c>
      <c r="B1177" s="25" t="s">
        <v>2165</v>
      </c>
      <c r="C1177" s="26" t="s">
        <v>1748</v>
      </c>
      <c r="D1177" s="27" t="s">
        <v>1749</v>
      </c>
      <c r="E1177" s="28" t="s">
        <v>284</v>
      </c>
      <c r="F1177" s="20" t="n">
        <f>123</f>
        <v>123.0</v>
      </c>
      <c r="G1177" s="21" t="n">
        <f>337087</f>
        <v>337087.0</v>
      </c>
      <c r="H1177" s="21"/>
      <c r="I1177" s="21" t="str">
        <f>"－"</f>
        <v>－</v>
      </c>
      <c r="J1177" s="21" t="n">
        <f>2741</f>
        <v>2741.0</v>
      </c>
      <c r="K1177" s="21" t="str">
        <f>"－"</f>
        <v>－</v>
      </c>
      <c r="L1177" s="4" t="s">
        <v>1433</v>
      </c>
      <c r="M1177" s="22" t="n">
        <f>7297</f>
        <v>7297.0</v>
      </c>
      <c r="N1177" s="5" t="s">
        <v>137</v>
      </c>
      <c r="O1177" s="23" t="n">
        <f>807</f>
        <v>807.0</v>
      </c>
      <c r="P1177" s="3" t="s">
        <v>2182</v>
      </c>
      <c r="Q1177" s="21"/>
      <c r="R1177" s="3" t="s">
        <v>247</v>
      </c>
      <c r="S1177" s="21" t="n">
        <f>1540041463</f>
        <v>1.540041463E9</v>
      </c>
      <c r="T1177" s="21" t="str">
        <f>"－"</f>
        <v>－</v>
      </c>
      <c r="U1177" s="5" t="s">
        <v>954</v>
      </c>
      <c r="V1177" s="23" t="n">
        <f>6071090000</f>
        <v>6.07109E9</v>
      </c>
      <c r="W1177" s="5" t="s">
        <v>285</v>
      </c>
      <c r="X1177" s="23" t="n">
        <f>208670000</f>
        <v>2.0867E8</v>
      </c>
      <c r="Y1177" s="23" t="n">
        <f>25304</f>
        <v>25304.0</v>
      </c>
      <c r="Z1177" s="21" t="str">
        <f>"－"</f>
        <v>－</v>
      </c>
      <c r="AA1177" s="21" t="n">
        <f>29903</f>
        <v>29903.0</v>
      </c>
      <c r="AB1177" s="4" t="s">
        <v>321</v>
      </c>
      <c r="AC1177" s="22" t="n">
        <f>30163</f>
        <v>30163.0</v>
      </c>
      <c r="AD1177" s="5" t="s">
        <v>872</v>
      </c>
      <c r="AE1177" s="23" t="n">
        <f>12491</f>
        <v>12491.0</v>
      </c>
    </row>
    <row r="1178">
      <c r="A1178" s="24" t="s">
        <v>2164</v>
      </c>
      <c r="B1178" s="25" t="s">
        <v>2165</v>
      </c>
      <c r="C1178" s="26" t="s">
        <v>1752</v>
      </c>
      <c r="D1178" s="27" t="s">
        <v>1753</v>
      </c>
      <c r="E1178" s="28" t="s">
        <v>284</v>
      </c>
      <c r="F1178" s="20" t="n">
        <f>123</f>
        <v>123.0</v>
      </c>
      <c r="G1178" s="21" t="n">
        <f>602967</f>
        <v>602967.0</v>
      </c>
      <c r="H1178" s="21"/>
      <c r="I1178" s="21" t="str">
        <f>"－"</f>
        <v>－</v>
      </c>
      <c r="J1178" s="21" t="n">
        <f>4902</f>
        <v>4902.0</v>
      </c>
      <c r="K1178" s="21" t="str">
        <f>"－"</f>
        <v>－</v>
      </c>
      <c r="L1178" s="4" t="s">
        <v>1433</v>
      </c>
      <c r="M1178" s="22" t="n">
        <f>10208</f>
        <v>10208.0</v>
      </c>
      <c r="N1178" s="5" t="s">
        <v>137</v>
      </c>
      <c r="O1178" s="23" t="n">
        <f>1993</f>
        <v>1993.0</v>
      </c>
      <c r="P1178" s="3" t="s">
        <v>2183</v>
      </c>
      <c r="Q1178" s="21"/>
      <c r="R1178" s="3" t="s">
        <v>247</v>
      </c>
      <c r="S1178" s="21" t="n">
        <f>2234807154</f>
        <v>2.234807154E9</v>
      </c>
      <c r="T1178" s="21" t="str">
        <f>"－"</f>
        <v>－</v>
      </c>
      <c r="U1178" s="5" t="s">
        <v>954</v>
      </c>
      <c r="V1178" s="23" t="n">
        <f>6386040000</f>
        <v>6.38604E9</v>
      </c>
      <c r="W1178" s="5" t="s">
        <v>285</v>
      </c>
      <c r="X1178" s="23" t="n">
        <f>340550000</f>
        <v>3.4055E8</v>
      </c>
      <c r="Y1178" s="23" t="n">
        <f>27918</f>
        <v>27918.0</v>
      </c>
      <c r="Z1178" s="21" t="str">
        <f>"－"</f>
        <v>－</v>
      </c>
      <c r="AA1178" s="21" t="n">
        <f>51907</f>
        <v>51907.0</v>
      </c>
      <c r="AB1178" s="4" t="s">
        <v>593</v>
      </c>
      <c r="AC1178" s="22" t="n">
        <f>62121</f>
        <v>62121.0</v>
      </c>
      <c r="AD1178" s="5" t="s">
        <v>872</v>
      </c>
      <c r="AE1178" s="23" t="n">
        <f>20211</f>
        <v>20211.0</v>
      </c>
    </row>
    <row r="1179">
      <c r="A1179" s="24" t="s">
        <v>2164</v>
      </c>
      <c r="B1179" s="25" t="s">
        <v>2165</v>
      </c>
      <c r="C1179" s="26" t="s">
        <v>1744</v>
      </c>
      <c r="D1179" s="27" t="s">
        <v>1745</v>
      </c>
      <c r="E1179" s="28" t="s">
        <v>288</v>
      </c>
      <c r="F1179" s="20" t="n">
        <f>124</f>
        <v>124.0</v>
      </c>
      <c r="G1179" s="21" t="n">
        <f>286243</f>
        <v>286243.0</v>
      </c>
      <c r="H1179" s="21"/>
      <c r="I1179" s="21" t="str">
        <f>"－"</f>
        <v>－</v>
      </c>
      <c r="J1179" s="21" t="n">
        <f>2308</f>
        <v>2308.0</v>
      </c>
      <c r="K1179" s="21" t="str">
        <f>"－"</f>
        <v>－</v>
      </c>
      <c r="L1179" s="4" t="s">
        <v>364</v>
      </c>
      <c r="M1179" s="22" t="n">
        <f>5830</f>
        <v>5830.0</v>
      </c>
      <c r="N1179" s="5" t="s">
        <v>72</v>
      </c>
      <c r="O1179" s="23" t="n">
        <f>493</f>
        <v>493.0</v>
      </c>
      <c r="P1179" s="3" t="s">
        <v>2184</v>
      </c>
      <c r="Q1179" s="21"/>
      <c r="R1179" s="3" t="s">
        <v>247</v>
      </c>
      <c r="S1179" s="21" t="n">
        <f>827420403</f>
        <v>8.27420403E8</v>
      </c>
      <c r="T1179" s="21" t="str">
        <f>"－"</f>
        <v>－</v>
      </c>
      <c r="U1179" s="5" t="s">
        <v>335</v>
      </c>
      <c r="V1179" s="23" t="n">
        <f>3834500000</f>
        <v>3.8345E9</v>
      </c>
      <c r="W1179" s="5" t="s">
        <v>72</v>
      </c>
      <c r="X1179" s="23" t="n">
        <f>156800000</f>
        <v>1.568E8</v>
      </c>
      <c r="Y1179" s="23" t="n">
        <f>10412</f>
        <v>10412.0</v>
      </c>
      <c r="Z1179" s="21" t="str">
        <f>"－"</f>
        <v>－</v>
      </c>
      <c r="AA1179" s="21" t="n">
        <f>16287</f>
        <v>16287.0</v>
      </c>
      <c r="AB1179" s="4" t="s">
        <v>496</v>
      </c>
      <c r="AC1179" s="22" t="n">
        <f>32209</f>
        <v>32209.0</v>
      </c>
      <c r="AD1179" s="5" t="s">
        <v>442</v>
      </c>
      <c r="AE1179" s="23" t="n">
        <f>5905</f>
        <v>5905.0</v>
      </c>
    </row>
    <row r="1180">
      <c r="A1180" s="24" t="s">
        <v>2164</v>
      </c>
      <c r="B1180" s="25" t="s">
        <v>2165</v>
      </c>
      <c r="C1180" s="26" t="s">
        <v>1748</v>
      </c>
      <c r="D1180" s="27" t="s">
        <v>1749</v>
      </c>
      <c r="E1180" s="28" t="s">
        <v>288</v>
      </c>
      <c r="F1180" s="20" t="n">
        <f>124</f>
        <v>124.0</v>
      </c>
      <c r="G1180" s="21" t="n">
        <f>424333</f>
        <v>424333.0</v>
      </c>
      <c r="H1180" s="21"/>
      <c r="I1180" s="21" t="str">
        <f>"－"</f>
        <v>－</v>
      </c>
      <c r="J1180" s="21" t="n">
        <f>3422</f>
        <v>3422.0</v>
      </c>
      <c r="K1180" s="21" t="str">
        <f>"－"</f>
        <v>－</v>
      </c>
      <c r="L1180" s="4" t="s">
        <v>983</v>
      </c>
      <c r="M1180" s="22" t="n">
        <f>8987</f>
        <v>8987.0</v>
      </c>
      <c r="N1180" s="5" t="s">
        <v>525</v>
      </c>
      <c r="O1180" s="23" t="n">
        <f>1138</f>
        <v>1138.0</v>
      </c>
      <c r="P1180" s="3" t="s">
        <v>2185</v>
      </c>
      <c r="Q1180" s="21"/>
      <c r="R1180" s="3" t="s">
        <v>247</v>
      </c>
      <c r="S1180" s="21" t="n">
        <f>1808743387</f>
        <v>1.808743387E9</v>
      </c>
      <c r="T1180" s="21" t="str">
        <f>"－"</f>
        <v>－</v>
      </c>
      <c r="U1180" s="5" t="s">
        <v>406</v>
      </c>
      <c r="V1180" s="23" t="n">
        <f>8283620000</f>
        <v>8.28362E9</v>
      </c>
      <c r="W1180" s="5" t="s">
        <v>731</v>
      </c>
      <c r="X1180" s="23" t="n">
        <f>267300000</f>
        <v>2.673E8</v>
      </c>
      <c r="Y1180" s="23" t="n">
        <f>27976</f>
        <v>27976.0</v>
      </c>
      <c r="Z1180" s="21" t="str">
        <f>"－"</f>
        <v>－</v>
      </c>
      <c r="AA1180" s="21" t="n">
        <f>25116</f>
        <v>25116.0</v>
      </c>
      <c r="AB1180" s="4" t="s">
        <v>262</v>
      </c>
      <c r="AC1180" s="22" t="n">
        <f>46977</f>
        <v>46977.0</v>
      </c>
      <c r="AD1180" s="5" t="s">
        <v>442</v>
      </c>
      <c r="AE1180" s="23" t="n">
        <f>10616</f>
        <v>10616.0</v>
      </c>
    </row>
    <row r="1181">
      <c r="A1181" s="24" t="s">
        <v>2164</v>
      </c>
      <c r="B1181" s="25" t="s">
        <v>2165</v>
      </c>
      <c r="C1181" s="26" t="s">
        <v>1752</v>
      </c>
      <c r="D1181" s="27" t="s">
        <v>1753</v>
      </c>
      <c r="E1181" s="28" t="s">
        <v>288</v>
      </c>
      <c r="F1181" s="20" t="n">
        <f>124</f>
        <v>124.0</v>
      </c>
      <c r="G1181" s="21" t="n">
        <f>710576</f>
        <v>710576.0</v>
      </c>
      <c r="H1181" s="21"/>
      <c r="I1181" s="21" t="str">
        <f>"－"</f>
        <v>－</v>
      </c>
      <c r="J1181" s="21" t="n">
        <f>5730</f>
        <v>5730.0</v>
      </c>
      <c r="K1181" s="21" t="str">
        <f>"－"</f>
        <v>－</v>
      </c>
      <c r="L1181" s="4" t="s">
        <v>983</v>
      </c>
      <c r="M1181" s="22" t="n">
        <f>12936</f>
        <v>12936.0</v>
      </c>
      <c r="N1181" s="5" t="s">
        <v>496</v>
      </c>
      <c r="O1181" s="23" t="n">
        <f>2320</f>
        <v>2320.0</v>
      </c>
      <c r="P1181" s="3" t="s">
        <v>2186</v>
      </c>
      <c r="Q1181" s="21"/>
      <c r="R1181" s="3" t="s">
        <v>247</v>
      </c>
      <c r="S1181" s="21" t="n">
        <f>2636163790</f>
        <v>2.63616379E9</v>
      </c>
      <c r="T1181" s="21" t="str">
        <f>"－"</f>
        <v>－</v>
      </c>
      <c r="U1181" s="5" t="s">
        <v>406</v>
      </c>
      <c r="V1181" s="23" t="n">
        <f>9360840000</f>
        <v>9.36084E9</v>
      </c>
      <c r="W1181" s="5" t="s">
        <v>731</v>
      </c>
      <c r="X1181" s="23" t="n">
        <f>668730000</f>
        <v>6.6873E8</v>
      </c>
      <c r="Y1181" s="23" t="n">
        <f>38388</f>
        <v>38388.0</v>
      </c>
      <c r="Z1181" s="21" t="str">
        <f>"－"</f>
        <v>－</v>
      </c>
      <c r="AA1181" s="21" t="n">
        <f>41403</f>
        <v>41403.0</v>
      </c>
      <c r="AB1181" s="4" t="s">
        <v>1270</v>
      </c>
      <c r="AC1181" s="22" t="n">
        <f>70464</f>
        <v>70464.0</v>
      </c>
      <c r="AD1181" s="5" t="s">
        <v>442</v>
      </c>
      <c r="AE1181" s="23" t="n">
        <f>16521</f>
        <v>16521.0</v>
      </c>
    </row>
    <row r="1182">
      <c r="A1182" s="24" t="s">
        <v>2164</v>
      </c>
      <c r="B1182" s="25" t="s">
        <v>2165</v>
      </c>
      <c r="C1182" s="26" t="s">
        <v>1744</v>
      </c>
      <c r="D1182" s="27" t="s">
        <v>1745</v>
      </c>
      <c r="E1182" s="28" t="s">
        <v>291</v>
      </c>
      <c r="F1182" s="20" t="n">
        <f>122</f>
        <v>122.0</v>
      </c>
      <c r="G1182" s="21" t="n">
        <f>454389</f>
        <v>454389.0</v>
      </c>
      <c r="H1182" s="21"/>
      <c r="I1182" s="21" t="str">
        <f>"－"</f>
        <v>－</v>
      </c>
      <c r="J1182" s="21" t="n">
        <f>3725</f>
        <v>3725.0</v>
      </c>
      <c r="K1182" s="21" t="str">
        <f>"－"</f>
        <v>－</v>
      </c>
      <c r="L1182" s="4" t="s">
        <v>293</v>
      </c>
      <c r="M1182" s="22" t="n">
        <f>12635</f>
        <v>12635.0</v>
      </c>
      <c r="N1182" s="5" t="s">
        <v>285</v>
      </c>
      <c r="O1182" s="23" t="n">
        <f>951</f>
        <v>951.0</v>
      </c>
      <c r="P1182" s="3" t="s">
        <v>2187</v>
      </c>
      <c r="Q1182" s="21"/>
      <c r="R1182" s="3" t="s">
        <v>247</v>
      </c>
      <c r="S1182" s="21" t="n">
        <f>2014746393</f>
        <v>2.014746393E9</v>
      </c>
      <c r="T1182" s="21" t="str">
        <f>"－"</f>
        <v>－</v>
      </c>
      <c r="U1182" s="5" t="s">
        <v>202</v>
      </c>
      <c r="V1182" s="23" t="n">
        <f>12137910000</f>
        <v>1.213791E10</v>
      </c>
      <c r="W1182" s="5" t="s">
        <v>767</v>
      </c>
      <c r="X1182" s="23" t="n">
        <f>316650000</f>
        <v>3.1665E8</v>
      </c>
      <c r="Y1182" s="23" t="n">
        <f>21190</f>
        <v>21190.0</v>
      </c>
      <c r="Z1182" s="21" t="str">
        <f>"－"</f>
        <v>－</v>
      </c>
      <c r="AA1182" s="21" t="n">
        <f>18887</f>
        <v>18887.0</v>
      </c>
      <c r="AB1182" s="4" t="s">
        <v>306</v>
      </c>
      <c r="AC1182" s="22" t="n">
        <f>49987</f>
        <v>49987.0</v>
      </c>
      <c r="AD1182" s="5" t="s">
        <v>787</v>
      </c>
      <c r="AE1182" s="23" t="n">
        <f>6162</f>
        <v>6162.0</v>
      </c>
    </row>
    <row r="1183">
      <c r="A1183" s="24" t="s">
        <v>2164</v>
      </c>
      <c r="B1183" s="25" t="s">
        <v>2165</v>
      </c>
      <c r="C1183" s="26" t="s">
        <v>1748</v>
      </c>
      <c r="D1183" s="27" t="s">
        <v>1749</v>
      </c>
      <c r="E1183" s="28" t="s">
        <v>291</v>
      </c>
      <c r="F1183" s="20" t="n">
        <f>122</f>
        <v>122.0</v>
      </c>
      <c r="G1183" s="21" t="n">
        <f>465397</f>
        <v>465397.0</v>
      </c>
      <c r="H1183" s="21"/>
      <c r="I1183" s="21" t="str">
        <f>"－"</f>
        <v>－</v>
      </c>
      <c r="J1183" s="21" t="n">
        <f>3815</f>
        <v>3815.0</v>
      </c>
      <c r="K1183" s="21" t="str">
        <f>"－"</f>
        <v>－</v>
      </c>
      <c r="L1183" s="4" t="s">
        <v>49</v>
      </c>
      <c r="M1183" s="22" t="n">
        <f>7885</f>
        <v>7885.0</v>
      </c>
      <c r="N1183" s="5" t="s">
        <v>314</v>
      </c>
      <c r="O1183" s="23" t="n">
        <f>729</f>
        <v>729.0</v>
      </c>
      <c r="P1183" s="3" t="s">
        <v>2188</v>
      </c>
      <c r="Q1183" s="21"/>
      <c r="R1183" s="3" t="s">
        <v>247</v>
      </c>
      <c r="S1183" s="21" t="n">
        <f>2122821967</f>
        <v>2.122821967E9</v>
      </c>
      <c r="T1183" s="21" t="str">
        <f>"－"</f>
        <v>－</v>
      </c>
      <c r="U1183" s="5" t="s">
        <v>306</v>
      </c>
      <c r="V1183" s="23" t="n">
        <f>8712870000</f>
        <v>8.71287E9</v>
      </c>
      <c r="W1183" s="5" t="s">
        <v>184</v>
      </c>
      <c r="X1183" s="23" t="n">
        <f>288270000</f>
        <v>2.8827E8</v>
      </c>
      <c r="Y1183" s="23" t="n">
        <f>22150</f>
        <v>22150.0</v>
      </c>
      <c r="Z1183" s="21" t="str">
        <f>"－"</f>
        <v>－</v>
      </c>
      <c r="AA1183" s="21" t="n">
        <f>24358</f>
        <v>24358.0</v>
      </c>
      <c r="AB1183" s="4" t="s">
        <v>516</v>
      </c>
      <c r="AC1183" s="22" t="n">
        <f>43151</f>
        <v>43151.0</v>
      </c>
      <c r="AD1183" s="5" t="s">
        <v>787</v>
      </c>
      <c r="AE1183" s="23" t="n">
        <f>7752</f>
        <v>7752.0</v>
      </c>
    </row>
    <row r="1184">
      <c r="A1184" s="24" t="s">
        <v>2164</v>
      </c>
      <c r="B1184" s="25" t="s">
        <v>2165</v>
      </c>
      <c r="C1184" s="26" t="s">
        <v>1752</v>
      </c>
      <c r="D1184" s="27" t="s">
        <v>1753</v>
      </c>
      <c r="E1184" s="28" t="s">
        <v>291</v>
      </c>
      <c r="F1184" s="20" t="n">
        <f>122</f>
        <v>122.0</v>
      </c>
      <c r="G1184" s="21" t="n">
        <f>919786</f>
        <v>919786.0</v>
      </c>
      <c r="H1184" s="21"/>
      <c r="I1184" s="21" t="str">
        <f>"－"</f>
        <v>－</v>
      </c>
      <c r="J1184" s="21" t="n">
        <f>7539</f>
        <v>7539.0</v>
      </c>
      <c r="K1184" s="21" t="str">
        <f>"－"</f>
        <v>－</v>
      </c>
      <c r="L1184" s="4" t="s">
        <v>293</v>
      </c>
      <c r="M1184" s="22" t="n">
        <f>17194</f>
        <v>17194.0</v>
      </c>
      <c r="N1184" s="5" t="s">
        <v>314</v>
      </c>
      <c r="O1184" s="23" t="n">
        <f>1822</f>
        <v>1822.0</v>
      </c>
      <c r="P1184" s="3" t="s">
        <v>2189</v>
      </c>
      <c r="Q1184" s="21"/>
      <c r="R1184" s="3" t="s">
        <v>247</v>
      </c>
      <c r="S1184" s="21" t="n">
        <f>4137568361</f>
        <v>4.137568361E9</v>
      </c>
      <c r="T1184" s="21" t="str">
        <f>"－"</f>
        <v>－</v>
      </c>
      <c r="U1184" s="5" t="s">
        <v>202</v>
      </c>
      <c r="V1184" s="23" t="n">
        <f>14151290000</f>
        <v>1.415129E10</v>
      </c>
      <c r="W1184" s="5" t="s">
        <v>314</v>
      </c>
      <c r="X1184" s="23" t="n">
        <f>958700000</f>
        <v>9.587E8</v>
      </c>
      <c r="Y1184" s="23" t="n">
        <f>43340</f>
        <v>43340.0</v>
      </c>
      <c r="Z1184" s="21" t="str">
        <f>"－"</f>
        <v>－</v>
      </c>
      <c r="AA1184" s="21" t="n">
        <f>43245</f>
        <v>43245.0</v>
      </c>
      <c r="AB1184" s="4" t="s">
        <v>2190</v>
      </c>
      <c r="AC1184" s="22" t="n">
        <f>82200</f>
        <v>82200.0</v>
      </c>
      <c r="AD1184" s="5" t="s">
        <v>787</v>
      </c>
      <c r="AE1184" s="23" t="n">
        <f>13914</f>
        <v>13914.0</v>
      </c>
    </row>
    <row r="1185">
      <c r="A1185" s="24" t="s">
        <v>2164</v>
      </c>
      <c r="B1185" s="25" t="s">
        <v>2165</v>
      </c>
      <c r="C1185" s="26" t="s">
        <v>1744</v>
      </c>
      <c r="D1185" s="27" t="s">
        <v>1745</v>
      </c>
      <c r="E1185" s="28" t="s">
        <v>295</v>
      </c>
      <c r="F1185" s="20" t="n">
        <f>125</f>
        <v>125.0</v>
      </c>
      <c r="G1185" s="21" t="n">
        <f>398212</f>
        <v>398212.0</v>
      </c>
      <c r="H1185" s="21"/>
      <c r="I1185" s="21" t="str">
        <f>"－"</f>
        <v>－</v>
      </c>
      <c r="J1185" s="21" t="n">
        <f>3186</f>
        <v>3186.0</v>
      </c>
      <c r="K1185" s="21" t="str">
        <f>"－"</f>
        <v>－</v>
      </c>
      <c r="L1185" s="4" t="s">
        <v>201</v>
      </c>
      <c r="M1185" s="22" t="n">
        <f>7794</f>
        <v>7794.0</v>
      </c>
      <c r="N1185" s="5" t="s">
        <v>675</v>
      </c>
      <c r="O1185" s="23" t="n">
        <f>910</f>
        <v>910.0</v>
      </c>
      <c r="P1185" s="3" t="s">
        <v>2191</v>
      </c>
      <c r="Q1185" s="21"/>
      <c r="R1185" s="3" t="s">
        <v>247</v>
      </c>
      <c r="S1185" s="21" t="n">
        <f>1825407680</f>
        <v>1.82540768E9</v>
      </c>
      <c r="T1185" s="21" t="str">
        <f>"－"</f>
        <v>－</v>
      </c>
      <c r="U1185" s="5" t="s">
        <v>936</v>
      </c>
      <c r="V1185" s="23" t="n">
        <f>9067460000</f>
        <v>9.06746E9</v>
      </c>
      <c r="W1185" s="5" t="s">
        <v>781</v>
      </c>
      <c r="X1185" s="23" t="n">
        <f>373610000</f>
        <v>3.7361E8</v>
      </c>
      <c r="Y1185" s="23" t="n">
        <f>13603</f>
        <v>13603.0</v>
      </c>
      <c r="Z1185" s="21" t="str">
        <f>"－"</f>
        <v>－</v>
      </c>
      <c r="AA1185" s="21" t="n">
        <f>23763</f>
        <v>23763.0</v>
      </c>
      <c r="AB1185" s="4" t="s">
        <v>1614</v>
      </c>
      <c r="AC1185" s="22" t="n">
        <f>34525</f>
        <v>34525.0</v>
      </c>
      <c r="AD1185" s="5" t="s">
        <v>230</v>
      </c>
      <c r="AE1185" s="23" t="n">
        <f>10865</f>
        <v>10865.0</v>
      </c>
    </row>
    <row r="1186">
      <c r="A1186" s="24" t="s">
        <v>2164</v>
      </c>
      <c r="B1186" s="25" t="s">
        <v>2165</v>
      </c>
      <c r="C1186" s="26" t="s">
        <v>1748</v>
      </c>
      <c r="D1186" s="27" t="s">
        <v>1749</v>
      </c>
      <c r="E1186" s="28" t="s">
        <v>295</v>
      </c>
      <c r="F1186" s="20" t="n">
        <f>125</f>
        <v>125.0</v>
      </c>
      <c r="G1186" s="21" t="n">
        <f>396975</f>
        <v>396975.0</v>
      </c>
      <c r="H1186" s="21"/>
      <c r="I1186" s="21" t="str">
        <f>"－"</f>
        <v>－</v>
      </c>
      <c r="J1186" s="21" t="n">
        <f>3176</f>
        <v>3176.0</v>
      </c>
      <c r="K1186" s="21" t="str">
        <f>"－"</f>
        <v>－</v>
      </c>
      <c r="L1186" s="4" t="s">
        <v>343</v>
      </c>
      <c r="M1186" s="22" t="n">
        <f>6907</f>
        <v>6907.0</v>
      </c>
      <c r="N1186" s="5" t="s">
        <v>289</v>
      </c>
      <c r="O1186" s="23" t="n">
        <f>1223</f>
        <v>1223.0</v>
      </c>
      <c r="P1186" s="3" t="s">
        <v>2192</v>
      </c>
      <c r="Q1186" s="21"/>
      <c r="R1186" s="3" t="s">
        <v>247</v>
      </c>
      <c r="S1186" s="21" t="n">
        <f>1380748400</f>
        <v>1.3807484E9</v>
      </c>
      <c r="T1186" s="21" t="str">
        <f>"－"</f>
        <v>－</v>
      </c>
      <c r="U1186" s="5" t="s">
        <v>731</v>
      </c>
      <c r="V1186" s="23" t="n">
        <f>4691390000</f>
        <v>4.69139E9</v>
      </c>
      <c r="W1186" s="5" t="s">
        <v>1072</v>
      </c>
      <c r="X1186" s="23" t="n">
        <f>163330000</f>
        <v>1.6333E8</v>
      </c>
      <c r="Y1186" s="23" t="n">
        <f>12049</f>
        <v>12049.0</v>
      </c>
      <c r="Z1186" s="21" t="str">
        <f>"－"</f>
        <v>－</v>
      </c>
      <c r="AA1186" s="21" t="n">
        <f>24453</f>
        <v>24453.0</v>
      </c>
      <c r="AB1186" s="4" t="s">
        <v>289</v>
      </c>
      <c r="AC1186" s="22" t="n">
        <f>46932</f>
        <v>46932.0</v>
      </c>
      <c r="AD1186" s="5" t="s">
        <v>442</v>
      </c>
      <c r="AE1186" s="23" t="n">
        <f>12005</f>
        <v>12005.0</v>
      </c>
    </row>
    <row r="1187">
      <c r="A1187" s="24" t="s">
        <v>2164</v>
      </c>
      <c r="B1187" s="25" t="s">
        <v>2165</v>
      </c>
      <c r="C1187" s="26" t="s">
        <v>1752</v>
      </c>
      <c r="D1187" s="27" t="s">
        <v>1753</v>
      </c>
      <c r="E1187" s="28" t="s">
        <v>295</v>
      </c>
      <c r="F1187" s="20" t="n">
        <f>125</f>
        <v>125.0</v>
      </c>
      <c r="G1187" s="21" t="n">
        <f>795187</f>
        <v>795187.0</v>
      </c>
      <c r="H1187" s="21"/>
      <c r="I1187" s="21" t="str">
        <f>"－"</f>
        <v>－</v>
      </c>
      <c r="J1187" s="21" t="n">
        <f>6361</f>
        <v>6361.0</v>
      </c>
      <c r="K1187" s="21" t="str">
        <f>"－"</f>
        <v>－</v>
      </c>
      <c r="L1187" s="4" t="s">
        <v>201</v>
      </c>
      <c r="M1187" s="22" t="n">
        <f>14158</f>
        <v>14158.0</v>
      </c>
      <c r="N1187" s="5" t="s">
        <v>496</v>
      </c>
      <c r="O1187" s="23" t="n">
        <f>3139</f>
        <v>3139.0</v>
      </c>
      <c r="P1187" s="3" t="s">
        <v>2193</v>
      </c>
      <c r="Q1187" s="21"/>
      <c r="R1187" s="3" t="s">
        <v>247</v>
      </c>
      <c r="S1187" s="21" t="n">
        <f>3206156080</f>
        <v>3.20615608E9</v>
      </c>
      <c r="T1187" s="21" t="str">
        <f>"－"</f>
        <v>－</v>
      </c>
      <c r="U1187" s="5" t="s">
        <v>936</v>
      </c>
      <c r="V1187" s="23" t="n">
        <f>10064910000</f>
        <v>1.006491E10</v>
      </c>
      <c r="W1187" s="5" t="s">
        <v>491</v>
      </c>
      <c r="X1187" s="23" t="n">
        <f>903820000</f>
        <v>9.0382E8</v>
      </c>
      <c r="Y1187" s="23" t="n">
        <f>25652</f>
        <v>25652.0</v>
      </c>
      <c r="Z1187" s="21" t="str">
        <f>"－"</f>
        <v>－</v>
      </c>
      <c r="AA1187" s="21" t="n">
        <f>48216</f>
        <v>48216.0</v>
      </c>
      <c r="AB1187" s="4" t="s">
        <v>1614</v>
      </c>
      <c r="AC1187" s="22" t="n">
        <f>80922</f>
        <v>80922.0</v>
      </c>
      <c r="AD1187" s="5" t="s">
        <v>230</v>
      </c>
      <c r="AE1187" s="23" t="n">
        <f>25602</f>
        <v>25602.0</v>
      </c>
    </row>
    <row r="1188">
      <c r="A1188" s="24" t="s">
        <v>2164</v>
      </c>
      <c r="B1188" s="25" t="s">
        <v>2165</v>
      </c>
      <c r="C1188" s="26" t="s">
        <v>1744</v>
      </c>
      <c r="D1188" s="27" t="s">
        <v>1745</v>
      </c>
      <c r="E1188" s="28" t="s">
        <v>297</v>
      </c>
      <c r="F1188" s="20" t="n">
        <f>122</f>
        <v>122.0</v>
      </c>
      <c r="G1188" s="21" t="n">
        <f>542398</f>
        <v>542398.0</v>
      </c>
      <c r="H1188" s="21"/>
      <c r="I1188" s="21" t="str">
        <f>"－"</f>
        <v>－</v>
      </c>
      <c r="J1188" s="21" t="n">
        <f>4446</f>
        <v>4446.0</v>
      </c>
      <c r="K1188" s="21" t="str">
        <f>"－"</f>
        <v>－</v>
      </c>
      <c r="L1188" s="4" t="s">
        <v>568</v>
      </c>
      <c r="M1188" s="22" t="n">
        <f>8945</f>
        <v>8945.0</v>
      </c>
      <c r="N1188" s="5" t="s">
        <v>314</v>
      </c>
      <c r="O1188" s="23" t="n">
        <f>1232</f>
        <v>1232.0</v>
      </c>
      <c r="P1188" s="3" t="s">
        <v>2194</v>
      </c>
      <c r="Q1188" s="21"/>
      <c r="R1188" s="3" t="s">
        <v>247</v>
      </c>
      <c r="S1188" s="21" t="n">
        <f>1339389508</f>
        <v>1.339389508E9</v>
      </c>
      <c r="T1188" s="21" t="str">
        <f>"－"</f>
        <v>－</v>
      </c>
      <c r="U1188" s="5" t="s">
        <v>68</v>
      </c>
      <c r="V1188" s="23" t="n">
        <f>3410620000</f>
        <v>3.41062E9</v>
      </c>
      <c r="W1188" s="5" t="s">
        <v>314</v>
      </c>
      <c r="X1188" s="23" t="n">
        <f>301760000</f>
        <v>3.0176E8</v>
      </c>
      <c r="Y1188" s="23" t="n">
        <f>462</f>
        <v>462.0</v>
      </c>
      <c r="Z1188" s="21" t="str">
        <f>"－"</f>
        <v>－</v>
      </c>
      <c r="AA1188" s="21" t="n">
        <f>39040</f>
        <v>39040.0</v>
      </c>
      <c r="AB1188" s="4" t="s">
        <v>516</v>
      </c>
      <c r="AC1188" s="22" t="n">
        <f>69716</f>
        <v>69716.0</v>
      </c>
      <c r="AD1188" s="5" t="s">
        <v>541</v>
      </c>
      <c r="AE1188" s="23" t="n">
        <f>23176</f>
        <v>23176.0</v>
      </c>
    </row>
    <row r="1189">
      <c r="A1189" s="24" t="s">
        <v>2164</v>
      </c>
      <c r="B1189" s="25" t="s">
        <v>2165</v>
      </c>
      <c r="C1189" s="26" t="s">
        <v>1748</v>
      </c>
      <c r="D1189" s="27" t="s">
        <v>1749</v>
      </c>
      <c r="E1189" s="28" t="s">
        <v>297</v>
      </c>
      <c r="F1189" s="20" t="n">
        <f>122</f>
        <v>122.0</v>
      </c>
      <c r="G1189" s="21" t="n">
        <f>514966</f>
        <v>514966.0</v>
      </c>
      <c r="H1189" s="21"/>
      <c r="I1189" s="21" t="str">
        <f>"－"</f>
        <v>－</v>
      </c>
      <c r="J1189" s="21" t="n">
        <f>4221</f>
        <v>4221.0</v>
      </c>
      <c r="K1189" s="21" t="str">
        <f>"－"</f>
        <v>－</v>
      </c>
      <c r="L1189" s="4" t="s">
        <v>1320</v>
      </c>
      <c r="M1189" s="22" t="n">
        <f>13026</f>
        <v>13026.0</v>
      </c>
      <c r="N1189" s="5" t="s">
        <v>767</v>
      </c>
      <c r="O1189" s="23" t="n">
        <f>1282</f>
        <v>1282.0</v>
      </c>
      <c r="P1189" s="3" t="s">
        <v>2195</v>
      </c>
      <c r="Q1189" s="21"/>
      <c r="R1189" s="3" t="s">
        <v>247</v>
      </c>
      <c r="S1189" s="21" t="n">
        <f>2127325328</f>
        <v>2.127325328E9</v>
      </c>
      <c r="T1189" s="21" t="str">
        <f>"－"</f>
        <v>－</v>
      </c>
      <c r="U1189" s="5" t="s">
        <v>252</v>
      </c>
      <c r="V1189" s="23" t="n">
        <f>13698120000</f>
        <v>1.369812E10</v>
      </c>
      <c r="W1189" s="5" t="s">
        <v>504</v>
      </c>
      <c r="X1189" s="23" t="n">
        <f>389110000</f>
        <v>3.8911E8</v>
      </c>
      <c r="Y1189" s="23" t="n">
        <f>25757</f>
        <v>25757.0</v>
      </c>
      <c r="Z1189" s="21" t="str">
        <f>"－"</f>
        <v>－</v>
      </c>
      <c r="AA1189" s="21" t="n">
        <f>35646</f>
        <v>35646.0</v>
      </c>
      <c r="AB1189" s="4" t="s">
        <v>1147</v>
      </c>
      <c r="AC1189" s="22" t="n">
        <f>41590</f>
        <v>41590.0</v>
      </c>
      <c r="AD1189" s="5" t="s">
        <v>872</v>
      </c>
      <c r="AE1189" s="23" t="n">
        <f>17592</f>
        <v>17592.0</v>
      </c>
    </row>
    <row r="1190">
      <c r="A1190" s="24" t="s">
        <v>2164</v>
      </c>
      <c r="B1190" s="25" t="s">
        <v>2165</v>
      </c>
      <c r="C1190" s="26" t="s">
        <v>1752</v>
      </c>
      <c r="D1190" s="27" t="s">
        <v>1753</v>
      </c>
      <c r="E1190" s="28" t="s">
        <v>297</v>
      </c>
      <c r="F1190" s="20" t="n">
        <f>122</f>
        <v>122.0</v>
      </c>
      <c r="G1190" s="21" t="n">
        <f>1057364</f>
        <v>1057364.0</v>
      </c>
      <c r="H1190" s="21"/>
      <c r="I1190" s="21" t="str">
        <f>"－"</f>
        <v>－</v>
      </c>
      <c r="J1190" s="21" t="n">
        <f>8667</f>
        <v>8667.0</v>
      </c>
      <c r="K1190" s="21" t="str">
        <f>"－"</f>
        <v>－</v>
      </c>
      <c r="L1190" s="4" t="s">
        <v>1147</v>
      </c>
      <c r="M1190" s="22" t="n">
        <f>20351</f>
        <v>20351.0</v>
      </c>
      <c r="N1190" s="5" t="s">
        <v>767</v>
      </c>
      <c r="O1190" s="23" t="n">
        <f>2859</f>
        <v>2859.0</v>
      </c>
      <c r="P1190" s="3" t="s">
        <v>2196</v>
      </c>
      <c r="Q1190" s="21"/>
      <c r="R1190" s="3" t="s">
        <v>247</v>
      </c>
      <c r="S1190" s="21" t="n">
        <f>3466714836</f>
        <v>3.466714836E9</v>
      </c>
      <c r="T1190" s="21" t="str">
        <f>"－"</f>
        <v>－</v>
      </c>
      <c r="U1190" s="5" t="s">
        <v>252</v>
      </c>
      <c r="V1190" s="23" t="n">
        <f>15415240000</f>
        <v>1.541524E10</v>
      </c>
      <c r="W1190" s="5" t="s">
        <v>314</v>
      </c>
      <c r="X1190" s="23" t="n">
        <f>951930000</f>
        <v>9.5193E8</v>
      </c>
      <c r="Y1190" s="23" t="n">
        <f>26219</f>
        <v>26219.0</v>
      </c>
      <c r="Z1190" s="21" t="str">
        <f>"－"</f>
        <v>－</v>
      </c>
      <c r="AA1190" s="21" t="n">
        <f>74686</f>
        <v>74686.0</v>
      </c>
      <c r="AB1190" s="4" t="s">
        <v>1320</v>
      </c>
      <c r="AC1190" s="22" t="n">
        <f>106120</f>
        <v>106120.0</v>
      </c>
      <c r="AD1190" s="5" t="s">
        <v>872</v>
      </c>
      <c r="AE1190" s="23" t="n">
        <f>40769</f>
        <v>40769.0</v>
      </c>
    </row>
    <row r="1191">
      <c r="A1191" s="24" t="s">
        <v>2164</v>
      </c>
      <c r="B1191" s="25" t="s">
        <v>2165</v>
      </c>
      <c r="C1191" s="26" t="s">
        <v>1744</v>
      </c>
      <c r="D1191" s="27" t="s">
        <v>1745</v>
      </c>
      <c r="E1191" s="28" t="s">
        <v>301</v>
      </c>
      <c r="F1191" s="20" t="n">
        <f>126</f>
        <v>126.0</v>
      </c>
      <c r="G1191" s="21" t="n">
        <f>532514</f>
        <v>532514.0</v>
      </c>
      <c r="H1191" s="21"/>
      <c r="I1191" s="21" t="str">
        <f>"－"</f>
        <v>－</v>
      </c>
      <c r="J1191" s="21" t="n">
        <f>4226</f>
        <v>4226.0</v>
      </c>
      <c r="K1191" s="21" t="str">
        <f>"－"</f>
        <v>－</v>
      </c>
      <c r="L1191" s="4" t="s">
        <v>188</v>
      </c>
      <c r="M1191" s="22" t="n">
        <f>13542</f>
        <v>13542.0</v>
      </c>
      <c r="N1191" s="5" t="s">
        <v>128</v>
      </c>
      <c r="O1191" s="23" t="n">
        <f>1230</f>
        <v>1230.0</v>
      </c>
      <c r="P1191" s="3" t="s">
        <v>2197</v>
      </c>
      <c r="Q1191" s="21"/>
      <c r="R1191" s="3" t="s">
        <v>247</v>
      </c>
      <c r="S1191" s="21" t="n">
        <f>1597324286</f>
        <v>1.597324286E9</v>
      </c>
      <c r="T1191" s="21" t="str">
        <f>"－"</f>
        <v>－</v>
      </c>
      <c r="U1191" s="5" t="s">
        <v>188</v>
      </c>
      <c r="V1191" s="23" t="n">
        <f>9574990000</f>
        <v>9.57499E9</v>
      </c>
      <c r="W1191" s="5" t="s">
        <v>881</v>
      </c>
      <c r="X1191" s="23" t="n">
        <f>423960000</f>
        <v>4.2396E8</v>
      </c>
      <c r="Y1191" s="23" t="n">
        <f>9668</f>
        <v>9668.0</v>
      </c>
      <c r="Z1191" s="21" t="str">
        <f>"－"</f>
        <v>－</v>
      </c>
      <c r="AA1191" s="21" t="n">
        <f>25594</f>
        <v>25594.0</v>
      </c>
      <c r="AB1191" s="4" t="s">
        <v>1148</v>
      </c>
      <c r="AC1191" s="22" t="n">
        <f>73290</f>
        <v>73290.0</v>
      </c>
      <c r="AD1191" s="5" t="s">
        <v>442</v>
      </c>
      <c r="AE1191" s="23" t="n">
        <f>11707</f>
        <v>11707.0</v>
      </c>
    </row>
    <row r="1192">
      <c r="A1192" s="24" t="s">
        <v>2164</v>
      </c>
      <c r="B1192" s="25" t="s">
        <v>2165</v>
      </c>
      <c r="C1192" s="26" t="s">
        <v>1748</v>
      </c>
      <c r="D1192" s="27" t="s">
        <v>1749</v>
      </c>
      <c r="E1192" s="28" t="s">
        <v>301</v>
      </c>
      <c r="F1192" s="20" t="n">
        <f>126</f>
        <v>126.0</v>
      </c>
      <c r="G1192" s="21" t="n">
        <f>450906</f>
        <v>450906.0</v>
      </c>
      <c r="H1192" s="21"/>
      <c r="I1192" s="21" t="str">
        <f>"－"</f>
        <v>－</v>
      </c>
      <c r="J1192" s="21" t="n">
        <f>3579</f>
        <v>3579.0</v>
      </c>
      <c r="K1192" s="21" t="str">
        <f>"－"</f>
        <v>－</v>
      </c>
      <c r="L1192" s="4" t="s">
        <v>1416</v>
      </c>
      <c r="M1192" s="22" t="n">
        <f>8975</f>
        <v>8975.0</v>
      </c>
      <c r="N1192" s="5" t="s">
        <v>924</v>
      </c>
      <c r="O1192" s="23" t="n">
        <f>1040</f>
        <v>1040.0</v>
      </c>
      <c r="P1192" s="3" t="s">
        <v>2198</v>
      </c>
      <c r="Q1192" s="21"/>
      <c r="R1192" s="3" t="s">
        <v>247</v>
      </c>
      <c r="S1192" s="21" t="n">
        <f>2442168016</f>
        <v>2.442168016E9</v>
      </c>
      <c r="T1192" s="21" t="str">
        <f>"－"</f>
        <v>－</v>
      </c>
      <c r="U1192" s="5" t="s">
        <v>666</v>
      </c>
      <c r="V1192" s="23" t="n">
        <f>9887580000</f>
        <v>9.88758E9</v>
      </c>
      <c r="W1192" s="5" t="s">
        <v>924</v>
      </c>
      <c r="X1192" s="23" t="n">
        <f>313470000</f>
        <v>3.1347E8</v>
      </c>
      <c r="Y1192" s="23" t="n">
        <f>44468</f>
        <v>44468.0</v>
      </c>
      <c r="Z1192" s="21" t="str">
        <f>"－"</f>
        <v>－</v>
      </c>
      <c r="AA1192" s="21" t="n">
        <f>28198</f>
        <v>28198.0</v>
      </c>
      <c r="AB1192" s="4" t="s">
        <v>1913</v>
      </c>
      <c r="AC1192" s="22" t="n">
        <f>46117</f>
        <v>46117.0</v>
      </c>
      <c r="AD1192" s="5" t="s">
        <v>442</v>
      </c>
      <c r="AE1192" s="23" t="n">
        <f>10802</f>
        <v>10802.0</v>
      </c>
    </row>
    <row r="1193">
      <c r="A1193" s="24" t="s">
        <v>2164</v>
      </c>
      <c r="B1193" s="25" t="s">
        <v>2165</v>
      </c>
      <c r="C1193" s="26" t="s">
        <v>1752</v>
      </c>
      <c r="D1193" s="27" t="s">
        <v>1753</v>
      </c>
      <c r="E1193" s="28" t="s">
        <v>301</v>
      </c>
      <c r="F1193" s="20" t="n">
        <f>126</f>
        <v>126.0</v>
      </c>
      <c r="G1193" s="21" t="n">
        <f>983420</f>
        <v>983420.0</v>
      </c>
      <c r="H1193" s="21"/>
      <c r="I1193" s="21" t="str">
        <f>"－"</f>
        <v>－</v>
      </c>
      <c r="J1193" s="21" t="n">
        <f>7805</f>
        <v>7805.0</v>
      </c>
      <c r="K1193" s="21" t="str">
        <f>"－"</f>
        <v>－</v>
      </c>
      <c r="L1193" s="4" t="s">
        <v>188</v>
      </c>
      <c r="M1193" s="22" t="n">
        <f>17706</f>
        <v>17706.0</v>
      </c>
      <c r="N1193" s="5" t="s">
        <v>128</v>
      </c>
      <c r="O1193" s="23" t="n">
        <f>2786</f>
        <v>2786.0</v>
      </c>
      <c r="P1193" s="3" t="s">
        <v>2199</v>
      </c>
      <c r="Q1193" s="21"/>
      <c r="R1193" s="3" t="s">
        <v>247</v>
      </c>
      <c r="S1193" s="21" t="n">
        <f>4039492302</f>
        <v>4.039492302E9</v>
      </c>
      <c r="T1193" s="21" t="str">
        <f>"－"</f>
        <v>－</v>
      </c>
      <c r="U1193" s="5" t="s">
        <v>1416</v>
      </c>
      <c r="V1193" s="23" t="n">
        <f>12406810000</f>
        <v>1.240681E10</v>
      </c>
      <c r="W1193" s="5" t="s">
        <v>57</v>
      </c>
      <c r="X1193" s="23" t="n">
        <f>1249640000</f>
        <v>1.24964E9</v>
      </c>
      <c r="Y1193" s="23" t="n">
        <f>54136</f>
        <v>54136.0</v>
      </c>
      <c r="Z1193" s="21" t="str">
        <f>"－"</f>
        <v>－</v>
      </c>
      <c r="AA1193" s="21" t="n">
        <f>53792</f>
        <v>53792.0</v>
      </c>
      <c r="AB1193" s="4" t="s">
        <v>537</v>
      </c>
      <c r="AC1193" s="22" t="n">
        <f>110187</f>
        <v>110187.0</v>
      </c>
      <c r="AD1193" s="5" t="s">
        <v>442</v>
      </c>
      <c r="AE1193" s="23" t="n">
        <f>22509</f>
        <v>22509.0</v>
      </c>
    </row>
    <row r="1194">
      <c r="A1194" s="24" t="s">
        <v>2164</v>
      </c>
      <c r="B1194" s="25" t="s">
        <v>2165</v>
      </c>
      <c r="C1194" s="26" t="s">
        <v>1744</v>
      </c>
      <c r="D1194" s="27" t="s">
        <v>1745</v>
      </c>
      <c r="E1194" s="28" t="s">
        <v>305</v>
      </c>
      <c r="F1194" s="20" t="n">
        <f>121</f>
        <v>121.0</v>
      </c>
      <c r="G1194" s="21" t="n">
        <f>433148</f>
        <v>433148.0</v>
      </c>
      <c r="H1194" s="21"/>
      <c r="I1194" s="21" t="str">
        <f>"－"</f>
        <v>－</v>
      </c>
      <c r="J1194" s="21" t="n">
        <f>3580</f>
        <v>3580.0</v>
      </c>
      <c r="K1194" s="21" t="str">
        <f>"－"</f>
        <v>－</v>
      </c>
      <c r="L1194" s="4" t="s">
        <v>714</v>
      </c>
      <c r="M1194" s="22" t="n">
        <f>9713</f>
        <v>9713.0</v>
      </c>
      <c r="N1194" s="5" t="s">
        <v>440</v>
      </c>
      <c r="O1194" s="23" t="n">
        <f>538</f>
        <v>538.0</v>
      </c>
      <c r="P1194" s="3" t="s">
        <v>2200</v>
      </c>
      <c r="Q1194" s="21"/>
      <c r="R1194" s="3" t="s">
        <v>247</v>
      </c>
      <c r="S1194" s="21" t="n">
        <f>1453021901</f>
        <v>1.453021901E9</v>
      </c>
      <c r="T1194" s="21" t="str">
        <f>"－"</f>
        <v>－</v>
      </c>
      <c r="U1194" s="5" t="s">
        <v>552</v>
      </c>
      <c r="V1194" s="23" t="n">
        <f>5338270000</f>
        <v>5.33827E9</v>
      </c>
      <c r="W1194" s="5" t="s">
        <v>2061</v>
      </c>
      <c r="X1194" s="23" t="n">
        <f>292350000</f>
        <v>2.9235E8</v>
      </c>
      <c r="Y1194" s="23" t="n">
        <f>12395</f>
        <v>12395.0</v>
      </c>
      <c r="Z1194" s="21" t="str">
        <f>"－"</f>
        <v>－</v>
      </c>
      <c r="AA1194" s="21" t="n">
        <f>25819</f>
        <v>25819.0</v>
      </c>
      <c r="AB1194" s="4" t="s">
        <v>306</v>
      </c>
      <c r="AC1194" s="22" t="n">
        <f>46847</f>
        <v>46847.0</v>
      </c>
      <c r="AD1194" s="5" t="s">
        <v>872</v>
      </c>
      <c r="AE1194" s="23" t="n">
        <f>10786</f>
        <v>10786.0</v>
      </c>
    </row>
    <row r="1195">
      <c r="A1195" s="24" t="s">
        <v>2164</v>
      </c>
      <c r="B1195" s="25" t="s">
        <v>2165</v>
      </c>
      <c r="C1195" s="26" t="s">
        <v>1748</v>
      </c>
      <c r="D1195" s="27" t="s">
        <v>1749</v>
      </c>
      <c r="E1195" s="28" t="s">
        <v>305</v>
      </c>
      <c r="F1195" s="20" t="n">
        <f>121</f>
        <v>121.0</v>
      </c>
      <c r="G1195" s="21" t="n">
        <f>373798</f>
        <v>373798.0</v>
      </c>
      <c r="H1195" s="21"/>
      <c r="I1195" s="21" t="str">
        <f>"－"</f>
        <v>－</v>
      </c>
      <c r="J1195" s="21" t="n">
        <f>3089</f>
        <v>3089.0</v>
      </c>
      <c r="K1195" s="21" t="str">
        <f>"－"</f>
        <v>－</v>
      </c>
      <c r="L1195" s="4" t="s">
        <v>134</v>
      </c>
      <c r="M1195" s="22" t="n">
        <f>6486</f>
        <v>6486.0</v>
      </c>
      <c r="N1195" s="5" t="s">
        <v>257</v>
      </c>
      <c r="O1195" s="23" t="n">
        <f>1005</f>
        <v>1005.0</v>
      </c>
      <c r="P1195" s="3" t="s">
        <v>2201</v>
      </c>
      <c r="Q1195" s="21"/>
      <c r="R1195" s="3" t="s">
        <v>247</v>
      </c>
      <c r="S1195" s="21" t="n">
        <f>1352276694</f>
        <v>1.352276694E9</v>
      </c>
      <c r="T1195" s="21" t="str">
        <f>"－"</f>
        <v>－</v>
      </c>
      <c r="U1195" s="5" t="s">
        <v>1082</v>
      </c>
      <c r="V1195" s="23" t="n">
        <f>5352230000</f>
        <v>5.35223E9</v>
      </c>
      <c r="W1195" s="5" t="s">
        <v>1155</v>
      </c>
      <c r="X1195" s="23" t="n">
        <f>272490000</f>
        <v>2.7249E8</v>
      </c>
      <c r="Y1195" s="23" t="n">
        <f>17057</f>
        <v>17057.0</v>
      </c>
      <c r="Z1195" s="21" t="str">
        <f>"－"</f>
        <v>－</v>
      </c>
      <c r="AA1195" s="21" t="n">
        <f>20044</f>
        <v>20044.0</v>
      </c>
      <c r="AB1195" s="4" t="s">
        <v>175</v>
      </c>
      <c r="AC1195" s="22" t="n">
        <f>39293</f>
        <v>39293.0</v>
      </c>
      <c r="AD1195" s="5" t="s">
        <v>872</v>
      </c>
      <c r="AE1195" s="23" t="n">
        <f>11766</f>
        <v>11766.0</v>
      </c>
    </row>
    <row r="1196">
      <c r="A1196" s="24" t="s">
        <v>2164</v>
      </c>
      <c r="B1196" s="25" t="s">
        <v>2165</v>
      </c>
      <c r="C1196" s="26" t="s">
        <v>1752</v>
      </c>
      <c r="D1196" s="27" t="s">
        <v>1753</v>
      </c>
      <c r="E1196" s="28" t="s">
        <v>305</v>
      </c>
      <c r="F1196" s="20" t="n">
        <f>121</f>
        <v>121.0</v>
      </c>
      <c r="G1196" s="21" t="n">
        <f>806946</f>
        <v>806946.0</v>
      </c>
      <c r="H1196" s="21"/>
      <c r="I1196" s="21" t="str">
        <f>"－"</f>
        <v>－</v>
      </c>
      <c r="J1196" s="21" t="n">
        <f>6669</f>
        <v>6669.0</v>
      </c>
      <c r="K1196" s="21" t="str">
        <f>"－"</f>
        <v>－</v>
      </c>
      <c r="L1196" s="4" t="s">
        <v>134</v>
      </c>
      <c r="M1196" s="22" t="n">
        <f>14842</f>
        <v>14842.0</v>
      </c>
      <c r="N1196" s="5" t="s">
        <v>440</v>
      </c>
      <c r="O1196" s="23" t="n">
        <f>1875</f>
        <v>1875.0</v>
      </c>
      <c r="P1196" s="3" t="s">
        <v>2202</v>
      </c>
      <c r="Q1196" s="21"/>
      <c r="R1196" s="3" t="s">
        <v>247</v>
      </c>
      <c r="S1196" s="21" t="n">
        <f>2805298595</f>
        <v>2.805298595E9</v>
      </c>
      <c r="T1196" s="21" t="str">
        <f>"－"</f>
        <v>－</v>
      </c>
      <c r="U1196" s="5" t="s">
        <v>536</v>
      </c>
      <c r="V1196" s="23" t="n">
        <f>7584740000</f>
        <v>7.58474E9</v>
      </c>
      <c r="W1196" s="5" t="s">
        <v>889</v>
      </c>
      <c r="X1196" s="23" t="n">
        <f>949280000</f>
        <v>9.4928E8</v>
      </c>
      <c r="Y1196" s="23" t="n">
        <f>29452</f>
        <v>29452.0</v>
      </c>
      <c r="Z1196" s="21" t="str">
        <f>"－"</f>
        <v>－</v>
      </c>
      <c r="AA1196" s="21" t="n">
        <f>45863</f>
        <v>45863.0</v>
      </c>
      <c r="AB1196" s="4" t="s">
        <v>1082</v>
      </c>
      <c r="AC1196" s="22" t="n">
        <f>80685</f>
        <v>80685.0</v>
      </c>
      <c r="AD1196" s="5" t="s">
        <v>872</v>
      </c>
      <c r="AE1196" s="23" t="n">
        <f>22552</f>
        <v>22552.0</v>
      </c>
    </row>
    <row r="1197">
      <c r="A1197" s="24" t="s">
        <v>2164</v>
      </c>
      <c r="B1197" s="25" t="s">
        <v>2165</v>
      </c>
      <c r="C1197" s="26" t="s">
        <v>1744</v>
      </c>
      <c r="D1197" s="27" t="s">
        <v>1745</v>
      </c>
      <c r="E1197" s="28" t="s">
        <v>309</v>
      </c>
      <c r="F1197" s="20" t="n">
        <f>126</f>
        <v>126.0</v>
      </c>
      <c r="G1197" s="21" t="n">
        <f>550527</f>
        <v>550527.0</v>
      </c>
      <c r="H1197" s="21"/>
      <c r="I1197" s="21" t="str">
        <f>"－"</f>
        <v>－</v>
      </c>
      <c r="J1197" s="21" t="n">
        <f>4369</f>
        <v>4369.0</v>
      </c>
      <c r="K1197" s="21" t="str">
        <f>"－"</f>
        <v>－</v>
      </c>
      <c r="L1197" s="4" t="s">
        <v>1080</v>
      </c>
      <c r="M1197" s="22" t="n">
        <f>11747</f>
        <v>11747.0</v>
      </c>
      <c r="N1197" s="5" t="s">
        <v>302</v>
      </c>
      <c r="O1197" s="23" t="n">
        <f>1324</f>
        <v>1324.0</v>
      </c>
      <c r="P1197" s="3" t="s">
        <v>2203</v>
      </c>
      <c r="Q1197" s="21"/>
      <c r="R1197" s="3" t="s">
        <v>247</v>
      </c>
      <c r="S1197" s="21" t="n">
        <f>1290545159</f>
        <v>1.290545159E9</v>
      </c>
      <c r="T1197" s="21" t="str">
        <f>"－"</f>
        <v>－</v>
      </c>
      <c r="U1197" s="5" t="s">
        <v>1080</v>
      </c>
      <c r="V1197" s="23" t="n">
        <f>5547240000</f>
        <v>5.54724E9</v>
      </c>
      <c r="W1197" s="5" t="s">
        <v>129</v>
      </c>
      <c r="X1197" s="23" t="n">
        <f>346560000</f>
        <v>3.4656E8</v>
      </c>
      <c r="Y1197" s="23" t="n">
        <f>45</f>
        <v>45.0</v>
      </c>
      <c r="Z1197" s="21" t="str">
        <f>"－"</f>
        <v>－</v>
      </c>
      <c r="AA1197" s="21" t="n">
        <f>39331</f>
        <v>39331.0</v>
      </c>
      <c r="AB1197" s="4" t="s">
        <v>72</v>
      </c>
      <c r="AC1197" s="22" t="n">
        <f>70434</f>
        <v>70434.0</v>
      </c>
      <c r="AD1197" s="5" t="s">
        <v>709</v>
      </c>
      <c r="AE1197" s="23" t="n">
        <f>16725</f>
        <v>16725.0</v>
      </c>
    </row>
    <row r="1198">
      <c r="A1198" s="24" t="s">
        <v>2164</v>
      </c>
      <c r="B1198" s="25" t="s">
        <v>2165</v>
      </c>
      <c r="C1198" s="26" t="s">
        <v>1748</v>
      </c>
      <c r="D1198" s="27" t="s">
        <v>1749</v>
      </c>
      <c r="E1198" s="28" t="s">
        <v>309</v>
      </c>
      <c r="F1198" s="20" t="n">
        <f>126</f>
        <v>126.0</v>
      </c>
      <c r="G1198" s="21" t="n">
        <f>469101</f>
        <v>469101.0</v>
      </c>
      <c r="H1198" s="21"/>
      <c r="I1198" s="21" t="str">
        <f>"－"</f>
        <v>－</v>
      </c>
      <c r="J1198" s="21" t="n">
        <f>3723</f>
        <v>3723.0</v>
      </c>
      <c r="K1198" s="21" t="str">
        <f>"－"</f>
        <v>－</v>
      </c>
      <c r="L1198" s="4" t="s">
        <v>1132</v>
      </c>
      <c r="M1198" s="22" t="n">
        <f>11325</f>
        <v>11325.0</v>
      </c>
      <c r="N1198" s="5" t="s">
        <v>501</v>
      </c>
      <c r="O1198" s="23" t="n">
        <f>724</f>
        <v>724.0</v>
      </c>
      <c r="P1198" s="3" t="s">
        <v>2204</v>
      </c>
      <c r="Q1198" s="21"/>
      <c r="R1198" s="3" t="s">
        <v>247</v>
      </c>
      <c r="S1198" s="21" t="n">
        <f>1495572540</f>
        <v>1.49557254E9</v>
      </c>
      <c r="T1198" s="21" t="str">
        <f>"－"</f>
        <v>－</v>
      </c>
      <c r="U1198" s="5" t="s">
        <v>1614</v>
      </c>
      <c r="V1198" s="23" t="n">
        <f>7774010000</f>
        <v>7.77401E9</v>
      </c>
      <c r="W1198" s="5" t="s">
        <v>1758</v>
      </c>
      <c r="X1198" s="23" t="n">
        <f>201320000</f>
        <v>2.0132E8</v>
      </c>
      <c r="Y1198" s="23" t="n">
        <f>33423</f>
        <v>33423.0</v>
      </c>
      <c r="Z1198" s="21" t="str">
        <f>"－"</f>
        <v>－</v>
      </c>
      <c r="AA1198" s="21" t="n">
        <f>33247</f>
        <v>33247.0</v>
      </c>
      <c r="AB1198" s="4" t="s">
        <v>198</v>
      </c>
      <c r="AC1198" s="22" t="n">
        <f>43952</f>
        <v>43952.0</v>
      </c>
      <c r="AD1198" s="5" t="s">
        <v>72</v>
      </c>
      <c r="AE1198" s="23" t="n">
        <f>16841</f>
        <v>16841.0</v>
      </c>
    </row>
    <row r="1199">
      <c r="A1199" s="24" t="s">
        <v>2164</v>
      </c>
      <c r="B1199" s="25" t="s">
        <v>2165</v>
      </c>
      <c r="C1199" s="26" t="s">
        <v>1752</v>
      </c>
      <c r="D1199" s="27" t="s">
        <v>1753</v>
      </c>
      <c r="E1199" s="28" t="s">
        <v>309</v>
      </c>
      <c r="F1199" s="20" t="n">
        <f>126</f>
        <v>126.0</v>
      </c>
      <c r="G1199" s="21" t="n">
        <f>1019628</f>
        <v>1019628.0</v>
      </c>
      <c r="H1199" s="21"/>
      <c r="I1199" s="21" t="str">
        <f>"－"</f>
        <v>－</v>
      </c>
      <c r="J1199" s="21" t="n">
        <f>8092</f>
        <v>8092.0</v>
      </c>
      <c r="K1199" s="21" t="str">
        <f>"－"</f>
        <v>－</v>
      </c>
      <c r="L1199" s="4" t="s">
        <v>1132</v>
      </c>
      <c r="M1199" s="22" t="n">
        <f>18388</f>
        <v>18388.0</v>
      </c>
      <c r="N1199" s="5" t="s">
        <v>501</v>
      </c>
      <c r="O1199" s="23" t="n">
        <f>2847</f>
        <v>2847.0</v>
      </c>
      <c r="P1199" s="3" t="s">
        <v>2205</v>
      </c>
      <c r="Q1199" s="21"/>
      <c r="R1199" s="3" t="s">
        <v>247</v>
      </c>
      <c r="S1199" s="21" t="n">
        <f>2786117698</f>
        <v>2.786117698E9</v>
      </c>
      <c r="T1199" s="21" t="str">
        <f>"－"</f>
        <v>－</v>
      </c>
      <c r="U1199" s="5" t="s">
        <v>1614</v>
      </c>
      <c r="V1199" s="23" t="n">
        <f>9004660000</f>
        <v>9.00466E9</v>
      </c>
      <c r="W1199" s="5" t="s">
        <v>1758</v>
      </c>
      <c r="X1199" s="23" t="n">
        <f>859830000</f>
        <v>8.5983E8</v>
      </c>
      <c r="Y1199" s="23" t="n">
        <f>33468</f>
        <v>33468.0</v>
      </c>
      <c r="Z1199" s="21" t="str">
        <f>"－"</f>
        <v>－</v>
      </c>
      <c r="AA1199" s="21" t="n">
        <f>72578</f>
        <v>72578.0</v>
      </c>
      <c r="AB1199" s="4" t="s">
        <v>892</v>
      </c>
      <c r="AC1199" s="22" t="n">
        <f>107865</f>
        <v>107865.0</v>
      </c>
      <c r="AD1199" s="5" t="s">
        <v>709</v>
      </c>
      <c r="AE1199" s="23" t="n">
        <f>34426</f>
        <v>34426.0</v>
      </c>
    </row>
    <row r="1200">
      <c r="A1200" s="24" t="s">
        <v>2164</v>
      </c>
      <c r="B1200" s="25" t="s">
        <v>2165</v>
      </c>
      <c r="C1200" s="26" t="s">
        <v>1744</v>
      </c>
      <c r="D1200" s="27" t="s">
        <v>1745</v>
      </c>
      <c r="E1200" s="28" t="s">
        <v>313</v>
      </c>
      <c r="F1200" s="20" t="n">
        <f>120</f>
        <v>120.0</v>
      </c>
      <c r="G1200" s="21" t="n">
        <f>522821</f>
        <v>522821.0</v>
      </c>
      <c r="H1200" s="21"/>
      <c r="I1200" s="21" t="str">
        <f>"－"</f>
        <v>－</v>
      </c>
      <c r="J1200" s="21" t="n">
        <f>4357</f>
        <v>4357.0</v>
      </c>
      <c r="K1200" s="21" t="str">
        <f>"－"</f>
        <v>－</v>
      </c>
      <c r="L1200" s="4" t="s">
        <v>447</v>
      </c>
      <c r="M1200" s="22" t="n">
        <f>13037</f>
        <v>13037.0</v>
      </c>
      <c r="N1200" s="5" t="s">
        <v>53</v>
      </c>
      <c r="O1200" s="23" t="n">
        <f>1141</f>
        <v>1141.0</v>
      </c>
      <c r="P1200" s="3" t="s">
        <v>2206</v>
      </c>
      <c r="Q1200" s="21"/>
      <c r="R1200" s="3" t="s">
        <v>247</v>
      </c>
      <c r="S1200" s="21" t="n">
        <f>1274716583</f>
        <v>1.274716583E9</v>
      </c>
      <c r="T1200" s="21" t="str">
        <f>"－"</f>
        <v>－</v>
      </c>
      <c r="U1200" s="5" t="s">
        <v>308</v>
      </c>
      <c r="V1200" s="23" t="n">
        <f>3367940000</f>
        <v>3.36794E9</v>
      </c>
      <c r="W1200" s="5" t="s">
        <v>53</v>
      </c>
      <c r="X1200" s="23" t="n">
        <f>440990000</f>
        <v>4.4099E8</v>
      </c>
      <c r="Y1200" s="23" t="n">
        <f>351</f>
        <v>351.0</v>
      </c>
      <c r="Z1200" s="21" t="str">
        <f>"－"</f>
        <v>－</v>
      </c>
      <c r="AA1200" s="21" t="n">
        <f>27139</f>
        <v>27139.0</v>
      </c>
      <c r="AB1200" s="4" t="s">
        <v>1836</v>
      </c>
      <c r="AC1200" s="22" t="n">
        <f>75718</f>
        <v>75718.0</v>
      </c>
      <c r="AD1200" s="5" t="s">
        <v>541</v>
      </c>
      <c r="AE1200" s="23" t="n">
        <f>10242</f>
        <v>10242.0</v>
      </c>
    </row>
    <row r="1201">
      <c r="A1201" s="24" t="s">
        <v>2164</v>
      </c>
      <c r="B1201" s="25" t="s">
        <v>2165</v>
      </c>
      <c r="C1201" s="26" t="s">
        <v>1748</v>
      </c>
      <c r="D1201" s="27" t="s">
        <v>1749</v>
      </c>
      <c r="E1201" s="28" t="s">
        <v>313</v>
      </c>
      <c r="F1201" s="20" t="n">
        <f>120</f>
        <v>120.0</v>
      </c>
      <c r="G1201" s="21" t="n">
        <f>426639</f>
        <v>426639.0</v>
      </c>
      <c r="H1201" s="21"/>
      <c r="I1201" s="21" t="str">
        <f>"－"</f>
        <v>－</v>
      </c>
      <c r="J1201" s="21" t="n">
        <f>3555</f>
        <v>3555.0</v>
      </c>
      <c r="K1201" s="21" t="str">
        <f>"－"</f>
        <v>－</v>
      </c>
      <c r="L1201" s="4" t="s">
        <v>447</v>
      </c>
      <c r="M1201" s="22" t="n">
        <f>10842</f>
        <v>10842.0</v>
      </c>
      <c r="N1201" s="5" t="s">
        <v>53</v>
      </c>
      <c r="O1201" s="23" t="n">
        <f>656</f>
        <v>656.0</v>
      </c>
      <c r="P1201" s="3" t="s">
        <v>2207</v>
      </c>
      <c r="Q1201" s="21"/>
      <c r="R1201" s="3" t="s">
        <v>247</v>
      </c>
      <c r="S1201" s="21" t="n">
        <f>2004981333</f>
        <v>2.004981333E9</v>
      </c>
      <c r="T1201" s="21" t="str">
        <f>"－"</f>
        <v>－</v>
      </c>
      <c r="U1201" s="5" t="s">
        <v>862</v>
      </c>
      <c r="V1201" s="23" t="n">
        <f>8013270000</f>
        <v>8.01327E9</v>
      </c>
      <c r="W1201" s="5" t="s">
        <v>757</v>
      </c>
      <c r="X1201" s="23" t="n">
        <f>269370000</f>
        <v>2.6937E8</v>
      </c>
      <c r="Y1201" s="23" t="n">
        <f>36575</f>
        <v>36575.0</v>
      </c>
      <c r="Z1201" s="21" t="str">
        <f>"－"</f>
        <v>－</v>
      </c>
      <c r="AA1201" s="21" t="n">
        <f>21719</f>
        <v>21719.0</v>
      </c>
      <c r="AB1201" s="4" t="s">
        <v>1282</v>
      </c>
      <c r="AC1201" s="22" t="n">
        <f>49501</f>
        <v>49501.0</v>
      </c>
      <c r="AD1201" s="5" t="s">
        <v>541</v>
      </c>
      <c r="AE1201" s="23" t="n">
        <f>10633</f>
        <v>10633.0</v>
      </c>
    </row>
    <row r="1202">
      <c r="A1202" s="24" t="s">
        <v>2164</v>
      </c>
      <c r="B1202" s="25" t="s">
        <v>2165</v>
      </c>
      <c r="C1202" s="26" t="s">
        <v>1752</v>
      </c>
      <c r="D1202" s="27" t="s">
        <v>1753</v>
      </c>
      <c r="E1202" s="28" t="s">
        <v>313</v>
      </c>
      <c r="F1202" s="20" t="n">
        <f>120</f>
        <v>120.0</v>
      </c>
      <c r="G1202" s="21" t="n">
        <f>949460</f>
        <v>949460.0</v>
      </c>
      <c r="H1202" s="21"/>
      <c r="I1202" s="21" t="str">
        <f>"－"</f>
        <v>－</v>
      </c>
      <c r="J1202" s="21" t="n">
        <f>7912</f>
        <v>7912.0</v>
      </c>
      <c r="K1202" s="21" t="str">
        <f>"－"</f>
        <v>－</v>
      </c>
      <c r="L1202" s="4" t="s">
        <v>447</v>
      </c>
      <c r="M1202" s="22" t="n">
        <f>23879</f>
        <v>23879.0</v>
      </c>
      <c r="N1202" s="5" t="s">
        <v>53</v>
      </c>
      <c r="O1202" s="23" t="n">
        <f>1797</f>
        <v>1797.0</v>
      </c>
      <c r="P1202" s="3" t="s">
        <v>2208</v>
      </c>
      <c r="Q1202" s="21"/>
      <c r="R1202" s="3" t="s">
        <v>247</v>
      </c>
      <c r="S1202" s="21" t="n">
        <f>3279697917</f>
        <v>3.279697917E9</v>
      </c>
      <c r="T1202" s="21" t="str">
        <f>"－"</f>
        <v>－</v>
      </c>
      <c r="U1202" s="5" t="s">
        <v>862</v>
      </c>
      <c r="V1202" s="23" t="n">
        <f>9306300000</f>
        <v>9.3063E9</v>
      </c>
      <c r="W1202" s="5" t="s">
        <v>53</v>
      </c>
      <c r="X1202" s="23" t="n">
        <f>793460000</f>
        <v>7.9346E8</v>
      </c>
      <c r="Y1202" s="23" t="n">
        <f>36926</f>
        <v>36926.0</v>
      </c>
      <c r="Z1202" s="21" t="str">
        <f>"－"</f>
        <v>－</v>
      </c>
      <c r="AA1202" s="21" t="n">
        <f>48858</f>
        <v>48858.0</v>
      </c>
      <c r="AB1202" s="4" t="s">
        <v>2190</v>
      </c>
      <c r="AC1202" s="22" t="n">
        <f>120738</f>
        <v>120738.0</v>
      </c>
      <c r="AD1202" s="5" t="s">
        <v>541</v>
      </c>
      <c r="AE1202" s="23" t="n">
        <f>20875</f>
        <v>20875.0</v>
      </c>
    </row>
    <row r="1203">
      <c r="A1203" s="24" t="s">
        <v>2164</v>
      </c>
      <c r="B1203" s="25" t="s">
        <v>2165</v>
      </c>
      <c r="C1203" s="26" t="s">
        <v>1744</v>
      </c>
      <c r="D1203" s="27" t="s">
        <v>1745</v>
      </c>
      <c r="E1203" s="28" t="s">
        <v>316</v>
      </c>
      <c r="F1203" s="20" t="n">
        <f>126</f>
        <v>126.0</v>
      </c>
      <c r="G1203" s="21" t="n">
        <f>562004</f>
        <v>562004.0</v>
      </c>
      <c r="H1203" s="21"/>
      <c r="I1203" s="21" t="str">
        <f>"－"</f>
        <v>－</v>
      </c>
      <c r="J1203" s="21" t="n">
        <f>4460</f>
        <v>4460.0</v>
      </c>
      <c r="K1203" s="21" t="str">
        <f>"－"</f>
        <v>－</v>
      </c>
      <c r="L1203" s="4" t="s">
        <v>364</v>
      </c>
      <c r="M1203" s="22" t="n">
        <f>12930</f>
        <v>12930.0</v>
      </c>
      <c r="N1203" s="5" t="s">
        <v>1137</v>
      </c>
      <c r="O1203" s="23" t="n">
        <f>1832</f>
        <v>1832.0</v>
      </c>
      <c r="P1203" s="3" t="s">
        <v>2209</v>
      </c>
      <c r="Q1203" s="21"/>
      <c r="R1203" s="3" t="s">
        <v>247</v>
      </c>
      <c r="S1203" s="21" t="n">
        <f>1532298571</f>
        <v>1.532298571E9</v>
      </c>
      <c r="T1203" s="21" t="str">
        <f>"－"</f>
        <v>－</v>
      </c>
      <c r="U1203" s="5" t="s">
        <v>818</v>
      </c>
      <c r="V1203" s="23" t="n">
        <f>10097470000</f>
        <v>1.009747E10</v>
      </c>
      <c r="W1203" s="5" t="s">
        <v>1137</v>
      </c>
      <c r="X1203" s="23" t="n">
        <f>192210000</f>
        <v>1.9221E8</v>
      </c>
      <c r="Y1203" s="23" t="n">
        <f>16726</f>
        <v>16726.0</v>
      </c>
      <c r="Z1203" s="21" t="str">
        <f>"－"</f>
        <v>－</v>
      </c>
      <c r="AA1203" s="21" t="n">
        <f>28537</f>
        <v>28537.0</v>
      </c>
      <c r="AB1203" s="4" t="s">
        <v>1614</v>
      </c>
      <c r="AC1203" s="22" t="n">
        <f>71168</f>
        <v>71168.0</v>
      </c>
      <c r="AD1203" s="5" t="s">
        <v>442</v>
      </c>
      <c r="AE1203" s="23" t="n">
        <f>7047</f>
        <v>7047.0</v>
      </c>
    </row>
    <row r="1204">
      <c r="A1204" s="24" t="s">
        <v>2164</v>
      </c>
      <c r="B1204" s="25" t="s">
        <v>2165</v>
      </c>
      <c r="C1204" s="26" t="s">
        <v>1748</v>
      </c>
      <c r="D1204" s="27" t="s">
        <v>1749</v>
      </c>
      <c r="E1204" s="28" t="s">
        <v>316</v>
      </c>
      <c r="F1204" s="20" t="n">
        <f>126</f>
        <v>126.0</v>
      </c>
      <c r="G1204" s="21" t="n">
        <f>470087</f>
        <v>470087.0</v>
      </c>
      <c r="H1204" s="21"/>
      <c r="I1204" s="21" t="str">
        <f>"－"</f>
        <v>－</v>
      </c>
      <c r="J1204" s="21" t="n">
        <f>3731</f>
        <v>3731.0</v>
      </c>
      <c r="K1204" s="21" t="str">
        <f>"－"</f>
        <v>－</v>
      </c>
      <c r="L1204" s="4" t="s">
        <v>1108</v>
      </c>
      <c r="M1204" s="22" t="n">
        <f>10696</f>
        <v>10696.0</v>
      </c>
      <c r="N1204" s="5" t="s">
        <v>61</v>
      </c>
      <c r="O1204" s="23" t="n">
        <f>715</f>
        <v>715.0</v>
      </c>
      <c r="P1204" s="3" t="s">
        <v>2210</v>
      </c>
      <c r="Q1204" s="21"/>
      <c r="R1204" s="3" t="s">
        <v>247</v>
      </c>
      <c r="S1204" s="21" t="n">
        <f>1489505159</f>
        <v>1.489505159E9</v>
      </c>
      <c r="T1204" s="21" t="str">
        <f>"－"</f>
        <v>－</v>
      </c>
      <c r="U1204" s="5" t="s">
        <v>312</v>
      </c>
      <c r="V1204" s="23" t="n">
        <f>4935730000</f>
        <v>4.93573E9</v>
      </c>
      <c r="W1204" s="5" t="s">
        <v>61</v>
      </c>
      <c r="X1204" s="23" t="n">
        <f>292500000</f>
        <v>2.925E8</v>
      </c>
      <c r="Y1204" s="23" t="n">
        <f>29012</f>
        <v>29012.0</v>
      </c>
      <c r="Z1204" s="21" t="str">
        <f>"－"</f>
        <v>－</v>
      </c>
      <c r="AA1204" s="21" t="n">
        <f>25465</f>
        <v>25465.0</v>
      </c>
      <c r="AB1204" s="4" t="s">
        <v>238</v>
      </c>
      <c r="AC1204" s="22" t="n">
        <f>52037</f>
        <v>52037.0</v>
      </c>
      <c r="AD1204" s="5" t="s">
        <v>442</v>
      </c>
      <c r="AE1204" s="23" t="n">
        <f>7724</f>
        <v>7724.0</v>
      </c>
    </row>
    <row r="1205">
      <c r="A1205" s="24" t="s">
        <v>2164</v>
      </c>
      <c r="B1205" s="25" t="s">
        <v>2165</v>
      </c>
      <c r="C1205" s="26" t="s">
        <v>1752</v>
      </c>
      <c r="D1205" s="27" t="s">
        <v>1753</v>
      </c>
      <c r="E1205" s="28" t="s">
        <v>316</v>
      </c>
      <c r="F1205" s="20" t="n">
        <f>126</f>
        <v>126.0</v>
      </c>
      <c r="G1205" s="21" t="n">
        <f>1032091</f>
        <v>1032091.0</v>
      </c>
      <c r="H1205" s="21"/>
      <c r="I1205" s="21" t="str">
        <f>"－"</f>
        <v>－</v>
      </c>
      <c r="J1205" s="21" t="n">
        <f>8191</f>
        <v>8191.0</v>
      </c>
      <c r="K1205" s="21" t="str">
        <f>"－"</f>
        <v>－</v>
      </c>
      <c r="L1205" s="4" t="s">
        <v>818</v>
      </c>
      <c r="M1205" s="22" t="n">
        <f>19977</f>
        <v>19977.0</v>
      </c>
      <c r="N1205" s="5" t="s">
        <v>442</v>
      </c>
      <c r="O1205" s="23" t="n">
        <f>3206</f>
        <v>3206.0</v>
      </c>
      <c r="P1205" s="3" t="s">
        <v>2211</v>
      </c>
      <c r="Q1205" s="21"/>
      <c r="R1205" s="3" t="s">
        <v>247</v>
      </c>
      <c r="S1205" s="21" t="n">
        <f>3021803730</f>
        <v>3.02180373E9</v>
      </c>
      <c r="T1205" s="21" t="str">
        <f>"－"</f>
        <v>－</v>
      </c>
      <c r="U1205" s="5" t="s">
        <v>818</v>
      </c>
      <c r="V1205" s="23" t="n">
        <f>12481280000</f>
        <v>1.248128E10</v>
      </c>
      <c r="W1205" s="5" t="s">
        <v>317</v>
      </c>
      <c r="X1205" s="23" t="n">
        <f>819690000</f>
        <v>8.1969E8</v>
      </c>
      <c r="Y1205" s="23" t="n">
        <f>45738</f>
        <v>45738.0</v>
      </c>
      <c r="Z1205" s="21" t="str">
        <f>"－"</f>
        <v>－</v>
      </c>
      <c r="AA1205" s="21" t="n">
        <f>54002</f>
        <v>54002.0</v>
      </c>
      <c r="AB1205" s="4" t="s">
        <v>563</v>
      </c>
      <c r="AC1205" s="22" t="n">
        <f>112494</f>
        <v>112494.0</v>
      </c>
      <c r="AD1205" s="5" t="s">
        <v>442</v>
      </c>
      <c r="AE1205" s="23" t="n">
        <f>14771</f>
        <v>14771.0</v>
      </c>
    </row>
    <row r="1206">
      <c r="A1206" s="24" t="s">
        <v>2164</v>
      </c>
      <c r="B1206" s="25" t="s">
        <v>2165</v>
      </c>
      <c r="C1206" s="26" t="s">
        <v>1744</v>
      </c>
      <c r="D1206" s="27" t="s">
        <v>1745</v>
      </c>
      <c r="E1206" s="28" t="s">
        <v>320</v>
      </c>
      <c r="F1206" s="20" t="n">
        <f>121</f>
        <v>121.0</v>
      </c>
      <c r="G1206" s="21" t="n">
        <f>614886</f>
        <v>614886.0</v>
      </c>
      <c r="H1206" s="21"/>
      <c r="I1206" s="21" t="str">
        <f>"－"</f>
        <v>－</v>
      </c>
      <c r="J1206" s="21" t="n">
        <f>5082</f>
        <v>5082.0</v>
      </c>
      <c r="K1206" s="21" t="str">
        <f>"－"</f>
        <v>－</v>
      </c>
      <c r="L1206" s="4" t="s">
        <v>211</v>
      </c>
      <c r="M1206" s="22" t="n">
        <f>12314</f>
        <v>12314.0</v>
      </c>
      <c r="N1206" s="5" t="s">
        <v>323</v>
      </c>
      <c r="O1206" s="23" t="n">
        <f>1244</f>
        <v>1244.0</v>
      </c>
      <c r="P1206" s="3" t="s">
        <v>2212</v>
      </c>
      <c r="Q1206" s="21"/>
      <c r="R1206" s="3" t="s">
        <v>247</v>
      </c>
      <c r="S1206" s="21" t="n">
        <f>1187318099</f>
        <v>1.187318099E9</v>
      </c>
      <c r="T1206" s="21" t="str">
        <f>"－"</f>
        <v>－</v>
      </c>
      <c r="U1206" s="5" t="s">
        <v>1056</v>
      </c>
      <c r="V1206" s="23" t="n">
        <f>3620010000</f>
        <v>3.62001E9</v>
      </c>
      <c r="W1206" s="5" t="s">
        <v>323</v>
      </c>
      <c r="X1206" s="23" t="n">
        <f>240150000</f>
        <v>2.4015E8</v>
      </c>
      <c r="Y1206" s="23" t="n">
        <f>12608</f>
        <v>12608.0</v>
      </c>
      <c r="Z1206" s="21" t="str">
        <f>"－"</f>
        <v>－</v>
      </c>
      <c r="AA1206" s="21" t="n">
        <f>38160</f>
        <v>38160.0</v>
      </c>
      <c r="AB1206" s="4" t="s">
        <v>862</v>
      </c>
      <c r="AC1206" s="22" t="n">
        <f>70315</f>
        <v>70315.0</v>
      </c>
      <c r="AD1206" s="5" t="s">
        <v>202</v>
      </c>
      <c r="AE1206" s="23" t="n">
        <f>13118</f>
        <v>13118.0</v>
      </c>
    </row>
    <row r="1207">
      <c r="A1207" s="24" t="s">
        <v>2164</v>
      </c>
      <c r="B1207" s="25" t="s">
        <v>2165</v>
      </c>
      <c r="C1207" s="26" t="s">
        <v>1748</v>
      </c>
      <c r="D1207" s="27" t="s">
        <v>1749</v>
      </c>
      <c r="E1207" s="28" t="s">
        <v>320</v>
      </c>
      <c r="F1207" s="20" t="n">
        <f>121</f>
        <v>121.0</v>
      </c>
      <c r="G1207" s="21" t="n">
        <f>406121</f>
        <v>406121.0</v>
      </c>
      <c r="H1207" s="21"/>
      <c r="I1207" s="21" t="str">
        <f>"－"</f>
        <v>－</v>
      </c>
      <c r="J1207" s="21" t="n">
        <f>3356</f>
        <v>3356.0</v>
      </c>
      <c r="K1207" s="21" t="str">
        <f>"－"</f>
        <v>－</v>
      </c>
      <c r="L1207" s="4" t="s">
        <v>279</v>
      </c>
      <c r="M1207" s="22" t="n">
        <f>10780</f>
        <v>10780.0</v>
      </c>
      <c r="N1207" s="5" t="s">
        <v>314</v>
      </c>
      <c r="O1207" s="23" t="n">
        <f>1003</f>
        <v>1003.0</v>
      </c>
      <c r="P1207" s="3" t="s">
        <v>2213</v>
      </c>
      <c r="Q1207" s="21"/>
      <c r="R1207" s="3" t="s">
        <v>247</v>
      </c>
      <c r="S1207" s="21" t="n">
        <f>1162366281</f>
        <v>1.162366281E9</v>
      </c>
      <c r="T1207" s="21" t="str">
        <f>"－"</f>
        <v>－</v>
      </c>
      <c r="U1207" s="5" t="s">
        <v>279</v>
      </c>
      <c r="V1207" s="23" t="n">
        <f>6239810000</f>
        <v>6.23981E9</v>
      </c>
      <c r="W1207" s="5" t="s">
        <v>170</v>
      </c>
      <c r="X1207" s="23" t="n">
        <f>220310000</f>
        <v>2.2031E8</v>
      </c>
      <c r="Y1207" s="23" t="n">
        <f>27494</f>
        <v>27494.0</v>
      </c>
      <c r="Z1207" s="21" t="str">
        <f>"－"</f>
        <v>－</v>
      </c>
      <c r="AA1207" s="21" t="n">
        <f>26988</f>
        <v>26988.0</v>
      </c>
      <c r="AB1207" s="4" t="s">
        <v>593</v>
      </c>
      <c r="AC1207" s="22" t="n">
        <f>44228</f>
        <v>44228.0</v>
      </c>
      <c r="AD1207" s="5" t="s">
        <v>872</v>
      </c>
      <c r="AE1207" s="23" t="n">
        <f>10760</f>
        <v>10760.0</v>
      </c>
    </row>
    <row r="1208">
      <c r="A1208" s="24" t="s">
        <v>2164</v>
      </c>
      <c r="B1208" s="25" t="s">
        <v>2165</v>
      </c>
      <c r="C1208" s="26" t="s">
        <v>1752</v>
      </c>
      <c r="D1208" s="27" t="s">
        <v>1753</v>
      </c>
      <c r="E1208" s="28" t="s">
        <v>320</v>
      </c>
      <c r="F1208" s="20" t="n">
        <f>121</f>
        <v>121.0</v>
      </c>
      <c r="G1208" s="21" t="n">
        <f>1021007</f>
        <v>1021007.0</v>
      </c>
      <c r="H1208" s="21"/>
      <c r="I1208" s="21" t="str">
        <f>"－"</f>
        <v>－</v>
      </c>
      <c r="J1208" s="21" t="n">
        <f>8438</f>
        <v>8438.0</v>
      </c>
      <c r="K1208" s="21" t="str">
        <f>"－"</f>
        <v>－</v>
      </c>
      <c r="L1208" s="4" t="s">
        <v>279</v>
      </c>
      <c r="M1208" s="22" t="n">
        <f>20544</f>
        <v>20544.0</v>
      </c>
      <c r="N1208" s="5" t="s">
        <v>323</v>
      </c>
      <c r="O1208" s="23" t="n">
        <f>2542</f>
        <v>2542.0</v>
      </c>
      <c r="P1208" s="3" t="s">
        <v>2214</v>
      </c>
      <c r="Q1208" s="21"/>
      <c r="R1208" s="3" t="s">
        <v>247</v>
      </c>
      <c r="S1208" s="21" t="n">
        <f>2349684380</f>
        <v>2.34968438E9</v>
      </c>
      <c r="T1208" s="21" t="str">
        <f>"－"</f>
        <v>－</v>
      </c>
      <c r="U1208" s="5" t="s">
        <v>279</v>
      </c>
      <c r="V1208" s="23" t="n">
        <f>8992790000</f>
        <v>8.99279E9</v>
      </c>
      <c r="W1208" s="5" t="s">
        <v>323</v>
      </c>
      <c r="X1208" s="23" t="n">
        <f>609470000</f>
        <v>6.0947E8</v>
      </c>
      <c r="Y1208" s="23" t="n">
        <f>40102</f>
        <v>40102.0</v>
      </c>
      <c r="Z1208" s="21" t="str">
        <f>"－"</f>
        <v>－</v>
      </c>
      <c r="AA1208" s="21" t="n">
        <f>65148</f>
        <v>65148.0</v>
      </c>
      <c r="AB1208" s="4" t="s">
        <v>466</v>
      </c>
      <c r="AC1208" s="22" t="n">
        <f>113372</f>
        <v>113372.0</v>
      </c>
      <c r="AD1208" s="5" t="s">
        <v>872</v>
      </c>
      <c r="AE1208" s="23" t="n">
        <f>25456</f>
        <v>25456.0</v>
      </c>
    </row>
    <row r="1209">
      <c r="A1209" s="24" t="s">
        <v>2164</v>
      </c>
      <c r="B1209" s="25" t="s">
        <v>2165</v>
      </c>
      <c r="C1209" s="26" t="s">
        <v>1744</v>
      </c>
      <c r="D1209" s="27" t="s">
        <v>1745</v>
      </c>
      <c r="E1209" s="28" t="s">
        <v>324</v>
      </c>
      <c r="F1209" s="20" t="n">
        <f>125</f>
        <v>125.0</v>
      </c>
      <c r="G1209" s="21" t="n">
        <f>550746</f>
        <v>550746.0</v>
      </c>
      <c r="H1209" s="21"/>
      <c r="I1209" s="21" t="str">
        <f>"－"</f>
        <v>－</v>
      </c>
      <c r="J1209" s="21" t="n">
        <f>4406</f>
        <v>4406.0</v>
      </c>
      <c r="K1209" s="21" t="str">
        <f>"－"</f>
        <v>－</v>
      </c>
      <c r="L1209" s="4" t="s">
        <v>1162</v>
      </c>
      <c r="M1209" s="22" t="n">
        <f>10893</f>
        <v>10893.0</v>
      </c>
      <c r="N1209" s="5" t="s">
        <v>312</v>
      </c>
      <c r="O1209" s="23" t="n">
        <f>1704</f>
        <v>1704.0</v>
      </c>
      <c r="P1209" s="3" t="s">
        <v>2215</v>
      </c>
      <c r="Q1209" s="21"/>
      <c r="R1209" s="3" t="s">
        <v>247</v>
      </c>
      <c r="S1209" s="21" t="n">
        <f>1241568800</f>
        <v>1.2415688E9</v>
      </c>
      <c r="T1209" s="21" t="str">
        <f>"－"</f>
        <v>－</v>
      </c>
      <c r="U1209" s="5" t="s">
        <v>1162</v>
      </c>
      <c r="V1209" s="23" t="n">
        <f>5295110000</f>
        <v>5.29511E9</v>
      </c>
      <c r="W1209" s="5" t="s">
        <v>537</v>
      </c>
      <c r="X1209" s="23" t="n">
        <f>357000000</f>
        <v>3.57E8</v>
      </c>
      <c r="Y1209" s="23" t="n">
        <f>5057</f>
        <v>5057.0</v>
      </c>
      <c r="Z1209" s="21" t="str">
        <f>"－"</f>
        <v>－</v>
      </c>
      <c r="AA1209" s="21" t="n">
        <f>47153</f>
        <v>47153.0</v>
      </c>
      <c r="AB1209" s="4" t="s">
        <v>289</v>
      </c>
      <c r="AC1209" s="22" t="n">
        <f>69168</f>
        <v>69168.0</v>
      </c>
      <c r="AD1209" s="5" t="s">
        <v>442</v>
      </c>
      <c r="AE1209" s="23" t="n">
        <f>15750</f>
        <v>15750.0</v>
      </c>
    </row>
    <row r="1210">
      <c r="A1210" s="24" t="s">
        <v>2164</v>
      </c>
      <c r="B1210" s="25" t="s">
        <v>2165</v>
      </c>
      <c r="C1210" s="26" t="s">
        <v>1748</v>
      </c>
      <c r="D1210" s="27" t="s">
        <v>1749</v>
      </c>
      <c r="E1210" s="28" t="s">
        <v>324</v>
      </c>
      <c r="F1210" s="20" t="n">
        <f>125</f>
        <v>125.0</v>
      </c>
      <c r="G1210" s="21" t="n">
        <f>372022</f>
        <v>372022.0</v>
      </c>
      <c r="H1210" s="21"/>
      <c r="I1210" s="21" t="str">
        <f>"－"</f>
        <v>－</v>
      </c>
      <c r="J1210" s="21" t="n">
        <f>2976</f>
        <v>2976.0</v>
      </c>
      <c r="K1210" s="21" t="str">
        <f>"－"</f>
        <v>－</v>
      </c>
      <c r="L1210" s="4" t="s">
        <v>281</v>
      </c>
      <c r="M1210" s="22" t="n">
        <f>8805</f>
        <v>8805.0</v>
      </c>
      <c r="N1210" s="5" t="s">
        <v>924</v>
      </c>
      <c r="O1210" s="23" t="n">
        <f>1026</f>
        <v>1026.0</v>
      </c>
      <c r="P1210" s="3" t="s">
        <v>2216</v>
      </c>
      <c r="Q1210" s="21"/>
      <c r="R1210" s="3" t="s">
        <v>247</v>
      </c>
      <c r="S1210" s="21" t="n">
        <f>1202352960</f>
        <v>1.20235296E9</v>
      </c>
      <c r="T1210" s="21" t="str">
        <f>"－"</f>
        <v>－</v>
      </c>
      <c r="U1210" s="5" t="s">
        <v>100</v>
      </c>
      <c r="V1210" s="23" t="n">
        <f>7131360000</f>
        <v>7.13136E9</v>
      </c>
      <c r="W1210" s="5" t="s">
        <v>924</v>
      </c>
      <c r="X1210" s="23" t="n">
        <f>307150000</f>
        <v>3.0715E8</v>
      </c>
      <c r="Y1210" s="23" t="n">
        <f>54171</f>
        <v>54171.0</v>
      </c>
      <c r="Z1210" s="21" t="str">
        <f>"－"</f>
        <v>－</v>
      </c>
      <c r="AA1210" s="21" t="n">
        <f>25677</f>
        <v>25677.0</v>
      </c>
      <c r="AB1210" s="4" t="s">
        <v>1446</v>
      </c>
      <c r="AC1210" s="22" t="n">
        <f>33331</f>
        <v>33331.0</v>
      </c>
      <c r="AD1210" s="5" t="s">
        <v>230</v>
      </c>
      <c r="AE1210" s="23" t="n">
        <f>10353</f>
        <v>10353.0</v>
      </c>
    </row>
    <row r="1211">
      <c r="A1211" s="24" t="s">
        <v>2164</v>
      </c>
      <c r="B1211" s="25" t="s">
        <v>2165</v>
      </c>
      <c r="C1211" s="26" t="s">
        <v>1752</v>
      </c>
      <c r="D1211" s="27" t="s">
        <v>1753</v>
      </c>
      <c r="E1211" s="28" t="s">
        <v>324</v>
      </c>
      <c r="F1211" s="20" t="n">
        <f>125</f>
        <v>125.0</v>
      </c>
      <c r="G1211" s="21" t="n">
        <f>922768</f>
        <v>922768.0</v>
      </c>
      <c r="H1211" s="21"/>
      <c r="I1211" s="21" t="str">
        <f>"－"</f>
        <v>－</v>
      </c>
      <c r="J1211" s="21" t="n">
        <f>7382</f>
        <v>7382.0</v>
      </c>
      <c r="K1211" s="21" t="str">
        <f>"－"</f>
        <v>－</v>
      </c>
      <c r="L1211" s="4" t="s">
        <v>281</v>
      </c>
      <c r="M1211" s="22" t="n">
        <f>17149</f>
        <v>17149.0</v>
      </c>
      <c r="N1211" s="5" t="s">
        <v>143</v>
      </c>
      <c r="O1211" s="23" t="n">
        <f>3419</f>
        <v>3419.0</v>
      </c>
      <c r="P1211" s="3" t="s">
        <v>2217</v>
      </c>
      <c r="Q1211" s="21"/>
      <c r="R1211" s="3" t="s">
        <v>247</v>
      </c>
      <c r="S1211" s="21" t="n">
        <f>2443921760</f>
        <v>2.44392176E9</v>
      </c>
      <c r="T1211" s="21" t="str">
        <f>"－"</f>
        <v>－</v>
      </c>
      <c r="U1211" s="5" t="s">
        <v>100</v>
      </c>
      <c r="V1211" s="23" t="n">
        <f>9827470000</f>
        <v>9.82747E9</v>
      </c>
      <c r="W1211" s="5" t="s">
        <v>461</v>
      </c>
      <c r="X1211" s="23" t="n">
        <f>932500000</f>
        <v>9.325E8</v>
      </c>
      <c r="Y1211" s="23" t="n">
        <f>59228</f>
        <v>59228.0</v>
      </c>
      <c r="Z1211" s="21" t="str">
        <f>"－"</f>
        <v>－</v>
      </c>
      <c r="AA1211" s="21" t="n">
        <f>72830</f>
        <v>72830.0</v>
      </c>
      <c r="AB1211" s="4" t="s">
        <v>563</v>
      </c>
      <c r="AC1211" s="22" t="n">
        <f>97457</f>
        <v>97457.0</v>
      </c>
      <c r="AD1211" s="5" t="s">
        <v>442</v>
      </c>
      <c r="AE1211" s="23" t="n">
        <f>28203</f>
        <v>28203.0</v>
      </c>
    </row>
    <row r="1212">
      <c r="A1212" s="24" t="s">
        <v>2164</v>
      </c>
      <c r="B1212" s="25" t="s">
        <v>2165</v>
      </c>
      <c r="C1212" s="26" t="s">
        <v>1744</v>
      </c>
      <c r="D1212" s="27" t="s">
        <v>1745</v>
      </c>
      <c r="E1212" s="28" t="s">
        <v>327</v>
      </c>
      <c r="F1212" s="20" t="n">
        <f>122</f>
        <v>122.0</v>
      </c>
      <c r="G1212" s="21" t="n">
        <f>531888</f>
        <v>531888.0</v>
      </c>
      <c r="H1212" s="21"/>
      <c r="I1212" s="21" t="str">
        <f>"－"</f>
        <v>－</v>
      </c>
      <c r="J1212" s="21" t="n">
        <f>4360</f>
        <v>4360.0</v>
      </c>
      <c r="K1212" s="21" t="str">
        <f>"－"</f>
        <v>－</v>
      </c>
      <c r="L1212" s="4" t="s">
        <v>2190</v>
      </c>
      <c r="M1212" s="22" t="n">
        <f>13490</f>
        <v>13490.0</v>
      </c>
      <c r="N1212" s="5" t="s">
        <v>1144</v>
      </c>
      <c r="O1212" s="23" t="n">
        <f>1002</f>
        <v>1002.0</v>
      </c>
      <c r="P1212" s="3" t="s">
        <v>2218</v>
      </c>
      <c r="Q1212" s="21"/>
      <c r="R1212" s="3" t="s">
        <v>247</v>
      </c>
      <c r="S1212" s="21" t="n">
        <f>2324387459</f>
        <v>2.324387459E9</v>
      </c>
      <c r="T1212" s="21" t="str">
        <f>"－"</f>
        <v>－</v>
      </c>
      <c r="U1212" s="5" t="s">
        <v>113</v>
      </c>
      <c r="V1212" s="23" t="n">
        <f>10602190000</f>
        <v>1.060219E10</v>
      </c>
      <c r="W1212" s="5" t="s">
        <v>1144</v>
      </c>
      <c r="X1212" s="23" t="n">
        <f>194600000</f>
        <v>1.946E8</v>
      </c>
      <c r="Y1212" s="23" t="n">
        <f>53894</f>
        <v>53894.0</v>
      </c>
      <c r="Z1212" s="21" t="str">
        <f>"－"</f>
        <v>－</v>
      </c>
      <c r="AA1212" s="21" t="n">
        <f>28299</f>
        <v>28299.0</v>
      </c>
      <c r="AB1212" s="4" t="s">
        <v>287</v>
      </c>
      <c r="AC1212" s="22" t="n">
        <f>62901</f>
        <v>62901.0</v>
      </c>
      <c r="AD1212" s="5" t="s">
        <v>787</v>
      </c>
      <c r="AE1212" s="23" t="n">
        <f>6253</f>
        <v>6253.0</v>
      </c>
    </row>
    <row r="1213">
      <c r="A1213" s="24" t="s">
        <v>2164</v>
      </c>
      <c r="B1213" s="25" t="s">
        <v>2165</v>
      </c>
      <c r="C1213" s="26" t="s">
        <v>1748</v>
      </c>
      <c r="D1213" s="27" t="s">
        <v>1749</v>
      </c>
      <c r="E1213" s="28" t="s">
        <v>327</v>
      </c>
      <c r="F1213" s="20" t="n">
        <f>122</f>
        <v>122.0</v>
      </c>
      <c r="G1213" s="21" t="n">
        <f>350611</f>
        <v>350611.0</v>
      </c>
      <c r="H1213" s="21"/>
      <c r="I1213" s="21" t="str">
        <f>"－"</f>
        <v>－</v>
      </c>
      <c r="J1213" s="21" t="n">
        <f>2874</f>
        <v>2874.0</v>
      </c>
      <c r="K1213" s="21" t="str">
        <f>"－"</f>
        <v>－</v>
      </c>
      <c r="L1213" s="4" t="s">
        <v>1140</v>
      </c>
      <c r="M1213" s="22" t="n">
        <f>8432</f>
        <v>8432.0</v>
      </c>
      <c r="N1213" s="5" t="s">
        <v>55</v>
      </c>
      <c r="O1213" s="23" t="n">
        <f>920</f>
        <v>920.0</v>
      </c>
      <c r="P1213" s="3" t="s">
        <v>2219</v>
      </c>
      <c r="Q1213" s="21"/>
      <c r="R1213" s="3" t="s">
        <v>247</v>
      </c>
      <c r="S1213" s="21" t="n">
        <f>1167979180</f>
        <v>1.16797918E9</v>
      </c>
      <c r="T1213" s="21" t="str">
        <f>"－"</f>
        <v>－</v>
      </c>
      <c r="U1213" s="5" t="s">
        <v>211</v>
      </c>
      <c r="V1213" s="23" t="n">
        <f>3228550000</f>
        <v>3.22855E9</v>
      </c>
      <c r="W1213" s="5" t="s">
        <v>568</v>
      </c>
      <c r="X1213" s="23" t="n">
        <f>285080000</f>
        <v>2.8508E8</v>
      </c>
      <c r="Y1213" s="23" t="n">
        <f>18400</f>
        <v>18400.0</v>
      </c>
      <c r="Z1213" s="21" t="str">
        <f>"－"</f>
        <v>－</v>
      </c>
      <c r="AA1213" s="21" t="n">
        <f>14265</f>
        <v>14265.0</v>
      </c>
      <c r="AB1213" s="4" t="s">
        <v>1495</v>
      </c>
      <c r="AC1213" s="22" t="n">
        <f>37230</f>
        <v>37230.0</v>
      </c>
      <c r="AD1213" s="5" t="s">
        <v>787</v>
      </c>
      <c r="AE1213" s="23" t="n">
        <f>3678</f>
        <v>3678.0</v>
      </c>
    </row>
    <row r="1214">
      <c r="A1214" s="24" t="s">
        <v>2164</v>
      </c>
      <c r="B1214" s="25" t="s">
        <v>2165</v>
      </c>
      <c r="C1214" s="26" t="s">
        <v>1752</v>
      </c>
      <c r="D1214" s="27" t="s">
        <v>1753</v>
      </c>
      <c r="E1214" s="28" t="s">
        <v>327</v>
      </c>
      <c r="F1214" s="20" t="n">
        <f>122</f>
        <v>122.0</v>
      </c>
      <c r="G1214" s="21" t="n">
        <f>882499</f>
        <v>882499.0</v>
      </c>
      <c r="H1214" s="21"/>
      <c r="I1214" s="21" t="str">
        <f>"－"</f>
        <v>－</v>
      </c>
      <c r="J1214" s="21" t="n">
        <f>7234</f>
        <v>7234.0</v>
      </c>
      <c r="K1214" s="21" t="str">
        <f>"－"</f>
        <v>－</v>
      </c>
      <c r="L1214" s="4" t="s">
        <v>2190</v>
      </c>
      <c r="M1214" s="22" t="n">
        <f>17265</f>
        <v>17265.0</v>
      </c>
      <c r="N1214" s="5" t="s">
        <v>1144</v>
      </c>
      <c r="O1214" s="23" t="n">
        <f>1928</f>
        <v>1928.0</v>
      </c>
      <c r="P1214" s="3" t="s">
        <v>2220</v>
      </c>
      <c r="Q1214" s="21"/>
      <c r="R1214" s="3" t="s">
        <v>247</v>
      </c>
      <c r="S1214" s="21" t="n">
        <f>3492366639</f>
        <v>3.492366639E9</v>
      </c>
      <c r="T1214" s="21" t="str">
        <f>"－"</f>
        <v>－</v>
      </c>
      <c r="U1214" s="5" t="s">
        <v>113</v>
      </c>
      <c r="V1214" s="23" t="n">
        <f>12446570000</f>
        <v>1.244657E10</v>
      </c>
      <c r="W1214" s="5" t="s">
        <v>568</v>
      </c>
      <c r="X1214" s="23" t="n">
        <f>611870000</f>
        <v>6.1187E8</v>
      </c>
      <c r="Y1214" s="23" t="n">
        <f>72294</f>
        <v>72294.0</v>
      </c>
      <c r="Z1214" s="21" t="str">
        <f>"－"</f>
        <v>－</v>
      </c>
      <c r="AA1214" s="21" t="n">
        <f>42564</f>
        <v>42564.0</v>
      </c>
      <c r="AB1214" s="4" t="s">
        <v>287</v>
      </c>
      <c r="AC1214" s="22" t="n">
        <f>99477</f>
        <v>99477.0</v>
      </c>
      <c r="AD1214" s="5" t="s">
        <v>787</v>
      </c>
      <c r="AE1214" s="23" t="n">
        <f>9931</f>
        <v>9931.0</v>
      </c>
    </row>
    <row r="1215">
      <c r="A1215" s="24" t="s">
        <v>2164</v>
      </c>
      <c r="B1215" s="25" t="s">
        <v>2165</v>
      </c>
      <c r="C1215" s="26" t="s">
        <v>1744</v>
      </c>
      <c r="D1215" s="27" t="s">
        <v>1745</v>
      </c>
      <c r="E1215" s="28" t="s">
        <v>331</v>
      </c>
      <c r="F1215" s="20" t="n">
        <f>124</f>
        <v>124.0</v>
      </c>
      <c r="G1215" s="21" t="n">
        <f>310764</f>
        <v>310764.0</v>
      </c>
      <c r="H1215" s="21"/>
      <c r="I1215" s="21" t="str">
        <f>"－"</f>
        <v>－</v>
      </c>
      <c r="J1215" s="21" t="n">
        <f>2506</f>
        <v>2506.0</v>
      </c>
      <c r="K1215" s="21" t="str">
        <f>"－"</f>
        <v>－</v>
      </c>
      <c r="L1215" s="4" t="s">
        <v>364</v>
      </c>
      <c r="M1215" s="22" t="n">
        <f>5450</f>
        <v>5450.0</v>
      </c>
      <c r="N1215" s="5" t="s">
        <v>754</v>
      </c>
      <c r="O1215" s="23" t="n">
        <f>100</f>
        <v>100.0</v>
      </c>
      <c r="P1215" s="3" t="s">
        <v>2221</v>
      </c>
      <c r="Q1215" s="21"/>
      <c r="R1215" s="3" t="s">
        <v>247</v>
      </c>
      <c r="S1215" s="21" t="n">
        <f>1140330000</f>
        <v>1.14033E9</v>
      </c>
      <c r="T1215" s="21" t="str">
        <f>"－"</f>
        <v>－</v>
      </c>
      <c r="U1215" s="5" t="s">
        <v>193</v>
      </c>
      <c r="V1215" s="23" t="n">
        <f>5690450000</f>
        <v>5.69045E9</v>
      </c>
      <c r="W1215" s="5" t="s">
        <v>754</v>
      </c>
      <c r="X1215" s="23" t="n">
        <f>90510000</f>
        <v>9.051E7</v>
      </c>
      <c r="Y1215" s="23" t="n">
        <f>18224</f>
        <v>18224.0</v>
      </c>
      <c r="Z1215" s="21" t="str">
        <f>"－"</f>
        <v>－</v>
      </c>
      <c r="AA1215" s="21" t="n">
        <f>6767</f>
        <v>6767.0</v>
      </c>
      <c r="AB1215" s="4" t="s">
        <v>262</v>
      </c>
      <c r="AC1215" s="22" t="n">
        <f>50220</f>
        <v>50220.0</v>
      </c>
      <c r="AD1215" s="5" t="s">
        <v>442</v>
      </c>
      <c r="AE1215" s="23" t="n">
        <f>1791</f>
        <v>1791.0</v>
      </c>
    </row>
    <row r="1216">
      <c r="A1216" s="24" t="s">
        <v>2164</v>
      </c>
      <c r="B1216" s="25" t="s">
        <v>2165</v>
      </c>
      <c r="C1216" s="26" t="s">
        <v>1748</v>
      </c>
      <c r="D1216" s="27" t="s">
        <v>1749</v>
      </c>
      <c r="E1216" s="28" t="s">
        <v>331</v>
      </c>
      <c r="F1216" s="20" t="n">
        <f>124</f>
        <v>124.0</v>
      </c>
      <c r="G1216" s="21" t="n">
        <f>232464</f>
        <v>232464.0</v>
      </c>
      <c r="H1216" s="21"/>
      <c r="I1216" s="21" t="str">
        <f>"－"</f>
        <v>－</v>
      </c>
      <c r="J1216" s="21" t="n">
        <f>1875</f>
        <v>1875.0</v>
      </c>
      <c r="K1216" s="21" t="str">
        <f>"－"</f>
        <v>－</v>
      </c>
      <c r="L1216" s="4" t="s">
        <v>886</v>
      </c>
      <c r="M1216" s="22" t="n">
        <f>6768</f>
        <v>6768.0</v>
      </c>
      <c r="N1216" s="5" t="s">
        <v>754</v>
      </c>
      <c r="O1216" s="23" t="n">
        <f>150</f>
        <v>150.0</v>
      </c>
      <c r="P1216" s="3" t="s">
        <v>2222</v>
      </c>
      <c r="Q1216" s="21"/>
      <c r="R1216" s="3" t="s">
        <v>247</v>
      </c>
      <c r="S1216" s="21" t="n">
        <f>846963468</f>
        <v>8.46963468E8</v>
      </c>
      <c r="T1216" s="21" t="str">
        <f>"－"</f>
        <v>－</v>
      </c>
      <c r="U1216" s="5" t="s">
        <v>886</v>
      </c>
      <c r="V1216" s="23" t="n">
        <f>3555200000</f>
        <v>3.5552E9</v>
      </c>
      <c r="W1216" s="5" t="s">
        <v>1446</v>
      </c>
      <c r="X1216" s="23" t="n">
        <f>168830000</f>
        <v>1.6883E8</v>
      </c>
      <c r="Y1216" s="23" t="n">
        <f>14082</f>
        <v>14082.0</v>
      </c>
      <c r="Z1216" s="21" t="str">
        <f>"－"</f>
        <v>－</v>
      </c>
      <c r="AA1216" s="21" t="n">
        <f>5726</f>
        <v>5726.0</v>
      </c>
      <c r="AB1216" s="4" t="s">
        <v>364</v>
      </c>
      <c r="AC1216" s="22" t="n">
        <f>24204</f>
        <v>24204.0</v>
      </c>
      <c r="AD1216" s="5" t="s">
        <v>442</v>
      </c>
      <c r="AE1216" s="23" t="n">
        <f>2945</f>
        <v>2945.0</v>
      </c>
    </row>
    <row r="1217">
      <c r="A1217" s="24" t="s">
        <v>2164</v>
      </c>
      <c r="B1217" s="25" t="s">
        <v>2165</v>
      </c>
      <c r="C1217" s="26" t="s">
        <v>1752</v>
      </c>
      <c r="D1217" s="27" t="s">
        <v>1753</v>
      </c>
      <c r="E1217" s="28" t="s">
        <v>331</v>
      </c>
      <c r="F1217" s="20" t="n">
        <f>124</f>
        <v>124.0</v>
      </c>
      <c r="G1217" s="21" t="n">
        <f>543228</f>
        <v>543228.0</v>
      </c>
      <c r="H1217" s="21"/>
      <c r="I1217" s="21" t="str">
        <f>"－"</f>
        <v>－</v>
      </c>
      <c r="J1217" s="21" t="n">
        <f>4381</f>
        <v>4381.0</v>
      </c>
      <c r="K1217" s="21" t="str">
        <f>"－"</f>
        <v>－</v>
      </c>
      <c r="L1217" s="4" t="s">
        <v>886</v>
      </c>
      <c r="M1217" s="22" t="n">
        <f>12032</f>
        <v>12032.0</v>
      </c>
      <c r="N1217" s="5" t="s">
        <v>754</v>
      </c>
      <c r="O1217" s="23" t="n">
        <f>250</f>
        <v>250.0</v>
      </c>
      <c r="P1217" s="3" t="s">
        <v>2223</v>
      </c>
      <c r="Q1217" s="21"/>
      <c r="R1217" s="3" t="s">
        <v>247</v>
      </c>
      <c r="S1217" s="21" t="n">
        <f>1987293468</f>
        <v>1.987293468E9</v>
      </c>
      <c r="T1217" s="21" t="str">
        <f>"－"</f>
        <v>－</v>
      </c>
      <c r="U1217" s="5" t="s">
        <v>193</v>
      </c>
      <c r="V1217" s="23" t="n">
        <f>6924800000</f>
        <v>6.9248E9</v>
      </c>
      <c r="W1217" s="5" t="s">
        <v>754</v>
      </c>
      <c r="X1217" s="23" t="n">
        <f>351170000</f>
        <v>3.5117E8</v>
      </c>
      <c r="Y1217" s="23" t="n">
        <f>32306</f>
        <v>32306.0</v>
      </c>
      <c r="Z1217" s="21" t="str">
        <f>"－"</f>
        <v>－</v>
      </c>
      <c r="AA1217" s="21" t="n">
        <f>12493</f>
        <v>12493.0</v>
      </c>
      <c r="AB1217" s="4" t="s">
        <v>262</v>
      </c>
      <c r="AC1217" s="22" t="n">
        <f>73799</f>
        <v>73799.0</v>
      </c>
      <c r="AD1217" s="5" t="s">
        <v>442</v>
      </c>
      <c r="AE1217" s="23" t="n">
        <f>4736</f>
        <v>4736.0</v>
      </c>
    </row>
    <row r="1218">
      <c r="A1218" s="24" t="s">
        <v>2164</v>
      </c>
      <c r="B1218" s="25" t="s">
        <v>2165</v>
      </c>
      <c r="C1218" s="26" t="s">
        <v>1744</v>
      </c>
      <c r="D1218" s="27" t="s">
        <v>1745</v>
      </c>
      <c r="E1218" s="28" t="s">
        <v>336</v>
      </c>
      <c r="F1218" s="20" t="n">
        <f>122</f>
        <v>122.0</v>
      </c>
      <c r="G1218" s="21" t="n">
        <f>301558</f>
        <v>301558.0</v>
      </c>
      <c r="H1218" s="21"/>
      <c r="I1218" s="21" t="str">
        <f>"－"</f>
        <v>－</v>
      </c>
      <c r="J1218" s="21" t="n">
        <f>2472</f>
        <v>2472.0</v>
      </c>
      <c r="K1218" s="21" t="str">
        <f>"－"</f>
        <v>－</v>
      </c>
      <c r="L1218" s="4" t="s">
        <v>1015</v>
      </c>
      <c r="M1218" s="22" t="n">
        <f>9234</f>
        <v>9234.0</v>
      </c>
      <c r="N1218" s="5" t="s">
        <v>994</v>
      </c>
      <c r="O1218" s="23" t="n">
        <f>567</f>
        <v>567.0</v>
      </c>
      <c r="P1218" s="3" t="s">
        <v>2224</v>
      </c>
      <c r="Q1218" s="21"/>
      <c r="R1218" s="3" t="s">
        <v>247</v>
      </c>
      <c r="S1218" s="21" t="n">
        <f>904471311</f>
        <v>9.04471311E8</v>
      </c>
      <c r="T1218" s="21" t="str">
        <f>"－"</f>
        <v>－</v>
      </c>
      <c r="U1218" s="5" t="s">
        <v>1140</v>
      </c>
      <c r="V1218" s="23" t="n">
        <f>3621910000</f>
        <v>3.62191E9</v>
      </c>
      <c r="W1218" s="5" t="s">
        <v>134</v>
      </c>
      <c r="X1218" s="23" t="n">
        <f>164160000</f>
        <v>1.6416E8</v>
      </c>
      <c r="Y1218" s="23" t="n">
        <f>1645</f>
        <v>1645.0</v>
      </c>
      <c r="Z1218" s="21" t="str">
        <f>"－"</f>
        <v>－</v>
      </c>
      <c r="AA1218" s="21" t="n">
        <f>28383</f>
        <v>28383.0</v>
      </c>
      <c r="AB1218" s="4" t="s">
        <v>516</v>
      </c>
      <c r="AC1218" s="22" t="n">
        <f>38934</f>
        <v>38934.0</v>
      </c>
      <c r="AD1218" s="5" t="s">
        <v>279</v>
      </c>
      <c r="AE1218" s="23" t="n">
        <f>7758</f>
        <v>7758.0</v>
      </c>
    </row>
    <row r="1219">
      <c r="A1219" s="24" t="s">
        <v>2164</v>
      </c>
      <c r="B1219" s="25" t="s">
        <v>2165</v>
      </c>
      <c r="C1219" s="26" t="s">
        <v>1748</v>
      </c>
      <c r="D1219" s="27" t="s">
        <v>1749</v>
      </c>
      <c r="E1219" s="28" t="s">
        <v>336</v>
      </c>
      <c r="F1219" s="20" t="n">
        <f>122</f>
        <v>122.0</v>
      </c>
      <c r="G1219" s="21" t="n">
        <f>186706</f>
        <v>186706.0</v>
      </c>
      <c r="H1219" s="21"/>
      <c r="I1219" s="21" t="str">
        <f>"－"</f>
        <v>－</v>
      </c>
      <c r="J1219" s="21" t="n">
        <f>1530</f>
        <v>1530.0</v>
      </c>
      <c r="K1219" s="21" t="str">
        <f>"－"</f>
        <v>－</v>
      </c>
      <c r="L1219" s="4" t="s">
        <v>218</v>
      </c>
      <c r="M1219" s="22" t="n">
        <f>4595</f>
        <v>4595.0</v>
      </c>
      <c r="N1219" s="5" t="s">
        <v>994</v>
      </c>
      <c r="O1219" s="23" t="n">
        <f>323</f>
        <v>323.0</v>
      </c>
      <c r="P1219" s="3" t="s">
        <v>2225</v>
      </c>
      <c r="Q1219" s="21"/>
      <c r="R1219" s="3" t="s">
        <v>247</v>
      </c>
      <c r="S1219" s="21" t="n">
        <f>618076557</f>
        <v>6.18076557E8</v>
      </c>
      <c r="T1219" s="21" t="str">
        <f>"－"</f>
        <v>－</v>
      </c>
      <c r="U1219" s="5" t="s">
        <v>466</v>
      </c>
      <c r="V1219" s="23" t="n">
        <f>3097520000</f>
        <v>3.09752E9</v>
      </c>
      <c r="W1219" s="5" t="s">
        <v>234</v>
      </c>
      <c r="X1219" s="23" t="n">
        <f>80990000</f>
        <v>8.099E7</v>
      </c>
      <c r="Y1219" s="23" t="n">
        <f>9198</f>
        <v>9198.0</v>
      </c>
      <c r="Z1219" s="21" t="str">
        <f>"－"</f>
        <v>－</v>
      </c>
      <c r="AA1219" s="21" t="n">
        <f>14008</f>
        <v>14008.0</v>
      </c>
      <c r="AB1219" s="4" t="s">
        <v>404</v>
      </c>
      <c r="AC1219" s="22" t="n">
        <f>19741</f>
        <v>19741.0</v>
      </c>
      <c r="AD1219" s="5" t="s">
        <v>279</v>
      </c>
      <c r="AE1219" s="23" t="n">
        <f>6386</f>
        <v>6386.0</v>
      </c>
    </row>
    <row r="1220">
      <c r="A1220" s="24" t="s">
        <v>2164</v>
      </c>
      <c r="B1220" s="25" t="s">
        <v>2165</v>
      </c>
      <c r="C1220" s="26" t="s">
        <v>1752</v>
      </c>
      <c r="D1220" s="27" t="s">
        <v>1753</v>
      </c>
      <c r="E1220" s="28" t="s">
        <v>336</v>
      </c>
      <c r="F1220" s="20" t="n">
        <f>122</f>
        <v>122.0</v>
      </c>
      <c r="G1220" s="21" t="n">
        <f>488264</f>
        <v>488264.0</v>
      </c>
      <c r="H1220" s="21"/>
      <c r="I1220" s="21" t="str">
        <f>"－"</f>
        <v>－</v>
      </c>
      <c r="J1220" s="21" t="n">
        <f>4002</f>
        <v>4002.0</v>
      </c>
      <c r="K1220" s="21" t="str">
        <f>"－"</f>
        <v>－</v>
      </c>
      <c r="L1220" s="4" t="s">
        <v>1015</v>
      </c>
      <c r="M1220" s="22" t="n">
        <f>11922</f>
        <v>11922.0</v>
      </c>
      <c r="N1220" s="5" t="s">
        <v>994</v>
      </c>
      <c r="O1220" s="23" t="n">
        <f>890</f>
        <v>890.0</v>
      </c>
      <c r="P1220" s="3" t="s">
        <v>2226</v>
      </c>
      <c r="Q1220" s="21"/>
      <c r="R1220" s="3" t="s">
        <v>247</v>
      </c>
      <c r="S1220" s="21" t="n">
        <f>1522547869</f>
        <v>1.522547869E9</v>
      </c>
      <c r="T1220" s="21" t="str">
        <f>"－"</f>
        <v>－</v>
      </c>
      <c r="U1220" s="5" t="s">
        <v>466</v>
      </c>
      <c r="V1220" s="23" t="n">
        <f>5582930000</f>
        <v>5.58293E9</v>
      </c>
      <c r="W1220" s="5" t="s">
        <v>234</v>
      </c>
      <c r="X1220" s="23" t="n">
        <f>367410000</f>
        <v>3.6741E8</v>
      </c>
      <c r="Y1220" s="23" t="n">
        <f>10843</f>
        <v>10843.0</v>
      </c>
      <c r="Z1220" s="21" t="str">
        <f>"－"</f>
        <v>－</v>
      </c>
      <c r="AA1220" s="21" t="n">
        <f>42391</f>
        <v>42391.0</v>
      </c>
      <c r="AB1220" s="4" t="s">
        <v>516</v>
      </c>
      <c r="AC1220" s="22" t="n">
        <f>58615</f>
        <v>58615.0</v>
      </c>
      <c r="AD1220" s="5" t="s">
        <v>279</v>
      </c>
      <c r="AE1220" s="23" t="n">
        <f>14144</f>
        <v>14144.0</v>
      </c>
    </row>
    <row r="1221">
      <c r="A1221" s="24" t="s">
        <v>2164</v>
      </c>
      <c r="B1221" s="25" t="s">
        <v>2165</v>
      </c>
      <c r="C1221" s="26" t="s">
        <v>1744</v>
      </c>
      <c r="D1221" s="27" t="s">
        <v>1745</v>
      </c>
      <c r="E1221" s="28" t="s">
        <v>340</v>
      </c>
      <c r="F1221" s="20" t="n">
        <f>125</f>
        <v>125.0</v>
      </c>
      <c r="G1221" s="21" t="n">
        <f>453776</f>
        <v>453776.0</v>
      </c>
      <c r="H1221" s="21"/>
      <c r="I1221" s="21" t="str">
        <f>"－"</f>
        <v>－</v>
      </c>
      <c r="J1221" s="21" t="n">
        <f>3630</f>
        <v>3630.0</v>
      </c>
      <c r="K1221" s="21" t="str">
        <f>"－"</f>
        <v>－</v>
      </c>
      <c r="L1221" s="4" t="s">
        <v>1003</v>
      </c>
      <c r="M1221" s="22" t="n">
        <f>11367</f>
        <v>11367.0</v>
      </c>
      <c r="N1221" s="5" t="s">
        <v>302</v>
      </c>
      <c r="O1221" s="23" t="n">
        <f>670</f>
        <v>670.0</v>
      </c>
      <c r="P1221" s="3" t="s">
        <v>2227</v>
      </c>
      <c r="Q1221" s="21"/>
      <c r="R1221" s="3" t="s">
        <v>247</v>
      </c>
      <c r="S1221" s="21" t="n">
        <f>723122960</f>
        <v>7.2312296E8</v>
      </c>
      <c r="T1221" s="21" t="str">
        <f>"－"</f>
        <v>－</v>
      </c>
      <c r="U1221" s="5" t="s">
        <v>666</v>
      </c>
      <c r="V1221" s="23" t="n">
        <f>2197920000</f>
        <v>2.19792E9</v>
      </c>
      <c r="W1221" s="5" t="s">
        <v>631</v>
      </c>
      <c r="X1221" s="23" t="n">
        <f>149420000</f>
        <v>1.4942E8</v>
      </c>
      <c r="Y1221" s="23" t="n">
        <f>12482</f>
        <v>12482.0</v>
      </c>
      <c r="Z1221" s="21" t="str">
        <f>"－"</f>
        <v>－</v>
      </c>
      <c r="AA1221" s="21" t="n">
        <f>17728</f>
        <v>17728.0</v>
      </c>
      <c r="AB1221" s="4" t="s">
        <v>1265</v>
      </c>
      <c r="AC1221" s="22" t="n">
        <f>63672</f>
        <v>63672.0</v>
      </c>
      <c r="AD1221" s="5" t="s">
        <v>442</v>
      </c>
      <c r="AE1221" s="23" t="n">
        <f>8481</f>
        <v>8481.0</v>
      </c>
    </row>
    <row r="1222">
      <c r="A1222" s="24" t="s">
        <v>2164</v>
      </c>
      <c r="B1222" s="25" t="s">
        <v>2165</v>
      </c>
      <c r="C1222" s="26" t="s">
        <v>1748</v>
      </c>
      <c r="D1222" s="27" t="s">
        <v>1749</v>
      </c>
      <c r="E1222" s="28" t="s">
        <v>340</v>
      </c>
      <c r="F1222" s="20" t="n">
        <f>125</f>
        <v>125.0</v>
      </c>
      <c r="G1222" s="21" t="n">
        <f>245683</f>
        <v>245683.0</v>
      </c>
      <c r="H1222" s="21"/>
      <c r="I1222" s="21" t="str">
        <f>"－"</f>
        <v>－</v>
      </c>
      <c r="J1222" s="21" t="n">
        <f>1965</f>
        <v>1965.0</v>
      </c>
      <c r="K1222" s="21" t="str">
        <f>"－"</f>
        <v>－</v>
      </c>
      <c r="L1222" s="4" t="s">
        <v>717</v>
      </c>
      <c r="M1222" s="22" t="n">
        <f>4184</f>
        <v>4184.0</v>
      </c>
      <c r="N1222" s="5" t="s">
        <v>2228</v>
      </c>
      <c r="O1222" s="23" t="n">
        <f>432</f>
        <v>432.0</v>
      </c>
      <c r="P1222" s="3" t="s">
        <v>2229</v>
      </c>
      <c r="Q1222" s="21"/>
      <c r="R1222" s="3" t="s">
        <v>247</v>
      </c>
      <c r="S1222" s="21" t="n">
        <f>547450480</f>
        <v>5.4745048E8</v>
      </c>
      <c r="T1222" s="21" t="str">
        <f>"－"</f>
        <v>－</v>
      </c>
      <c r="U1222" s="5" t="s">
        <v>537</v>
      </c>
      <c r="V1222" s="23" t="n">
        <f>2111410000</f>
        <v>2.11141E9</v>
      </c>
      <c r="W1222" s="5" t="s">
        <v>2228</v>
      </c>
      <c r="X1222" s="23" t="n">
        <f>63210000</f>
        <v>6.321E7</v>
      </c>
      <c r="Y1222" s="23" t="n">
        <f>18020</f>
        <v>18020.0</v>
      </c>
      <c r="Z1222" s="21" t="str">
        <f>"－"</f>
        <v>－</v>
      </c>
      <c r="AA1222" s="21" t="n">
        <f>9899</f>
        <v>9899.0</v>
      </c>
      <c r="AB1222" s="4" t="s">
        <v>289</v>
      </c>
      <c r="AC1222" s="22" t="n">
        <f>27584</f>
        <v>27584.0</v>
      </c>
      <c r="AD1222" s="5" t="s">
        <v>442</v>
      </c>
      <c r="AE1222" s="23" t="n">
        <f>4526</f>
        <v>4526.0</v>
      </c>
    </row>
    <row r="1223">
      <c r="A1223" s="24" t="s">
        <v>2164</v>
      </c>
      <c r="B1223" s="25" t="s">
        <v>2165</v>
      </c>
      <c r="C1223" s="26" t="s">
        <v>1752</v>
      </c>
      <c r="D1223" s="27" t="s">
        <v>1753</v>
      </c>
      <c r="E1223" s="28" t="s">
        <v>340</v>
      </c>
      <c r="F1223" s="20" t="n">
        <f>125</f>
        <v>125.0</v>
      </c>
      <c r="G1223" s="21" t="n">
        <f>699459</f>
        <v>699459.0</v>
      </c>
      <c r="H1223" s="21"/>
      <c r="I1223" s="21" t="str">
        <f>"－"</f>
        <v>－</v>
      </c>
      <c r="J1223" s="21" t="n">
        <f>5596</f>
        <v>5596.0</v>
      </c>
      <c r="K1223" s="21" t="str">
        <f>"－"</f>
        <v>－</v>
      </c>
      <c r="L1223" s="4" t="s">
        <v>717</v>
      </c>
      <c r="M1223" s="22" t="n">
        <f>14152</f>
        <v>14152.0</v>
      </c>
      <c r="N1223" s="5" t="s">
        <v>302</v>
      </c>
      <c r="O1223" s="23" t="n">
        <f>1360</f>
        <v>1360.0</v>
      </c>
      <c r="P1223" s="3" t="s">
        <v>2230</v>
      </c>
      <c r="Q1223" s="21"/>
      <c r="R1223" s="3" t="s">
        <v>247</v>
      </c>
      <c r="S1223" s="21" t="n">
        <f>1270573440</f>
        <v>1.27057344E9</v>
      </c>
      <c r="T1223" s="21" t="str">
        <f>"－"</f>
        <v>－</v>
      </c>
      <c r="U1223" s="5" t="s">
        <v>123</v>
      </c>
      <c r="V1223" s="23" t="n">
        <f>2873130000</f>
        <v>2.87313E9</v>
      </c>
      <c r="W1223" s="5" t="s">
        <v>2228</v>
      </c>
      <c r="X1223" s="23" t="n">
        <f>249530000</f>
        <v>2.4953E8</v>
      </c>
      <c r="Y1223" s="23" t="n">
        <f>30502</f>
        <v>30502.0</v>
      </c>
      <c r="Z1223" s="21" t="str">
        <f>"－"</f>
        <v>－</v>
      </c>
      <c r="AA1223" s="21" t="n">
        <f>27627</f>
        <v>27627.0</v>
      </c>
      <c r="AB1223" s="4" t="s">
        <v>972</v>
      </c>
      <c r="AC1223" s="22" t="n">
        <f>85472</f>
        <v>85472.0</v>
      </c>
      <c r="AD1223" s="5" t="s">
        <v>442</v>
      </c>
      <c r="AE1223" s="23" t="n">
        <f>13007</f>
        <v>13007.0</v>
      </c>
    </row>
    <row r="1224">
      <c r="A1224" s="24" t="s">
        <v>2164</v>
      </c>
      <c r="B1224" s="25" t="s">
        <v>2165</v>
      </c>
      <c r="C1224" s="26" t="s">
        <v>1744</v>
      </c>
      <c r="D1224" s="27" t="s">
        <v>1745</v>
      </c>
      <c r="E1224" s="28" t="s">
        <v>344</v>
      </c>
      <c r="F1224" s="20" t="n">
        <f>121</f>
        <v>121.0</v>
      </c>
      <c r="G1224" s="21" t="n">
        <f>283574</f>
        <v>283574.0</v>
      </c>
      <c r="H1224" s="21"/>
      <c r="I1224" s="21" t="str">
        <f>"－"</f>
        <v>－</v>
      </c>
      <c r="J1224" s="21" t="n">
        <f>2344</f>
        <v>2344.0</v>
      </c>
      <c r="K1224" s="21" t="str">
        <f>"－"</f>
        <v>－</v>
      </c>
      <c r="L1224" s="4" t="s">
        <v>138</v>
      </c>
      <c r="M1224" s="22" t="n">
        <f>5381</f>
        <v>5381.0</v>
      </c>
      <c r="N1224" s="5" t="s">
        <v>285</v>
      </c>
      <c r="O1224" s="23" t="n">
        <f>790</f>
        <v>790.0</v>
      </c>
      <c r="P1224" s="3" t="s">
        <v>2231</v>
      </c>
      <c r="Q1224" s="21"/>
      <c r="R1224" s="3" t="s">
        <v>247</v>
      </c>
      <c r="S1224" s="21" t="n">
        <f>514721736</f>
        <v>5.14721736E8</v>
      </c>
      <c r="T1224" s="21" t="str">
        <f>"－"</f>
        <v>－</v>
      </c>
      <c r="U1224" s="5" t="s">
        <v>138</v>
      </c>
      <c r="V1224" s="23" t="n">
        <f>1374630000</f>
        <v>1.37463E9</v>
      </c>
      <c r="W1224" s="5" t="s">
        <v>1316</v>
      </c>
      <c r="X1224" s="23" t="n">
        <f>106020000</f>
        <v>1.0602E8</v>
      </c>
      <c r="Y1224" s="23" t="n">
        <f>2852</f>
        <v>2852.0</v>
      </c>
      <c r="Z1224" s="21" t="str">
        <f>"－"</f>
        <v>－</v>
      </c>
      <c r="AA1224" s="21" t="n">
        <f>17073</f>
        <v>17073.0</v>
      </c>
      <c r="AB1224" s="4" t="s">
        <v>306</v>
      </c>
      <c r="AC1224" s="22" t="n">
        <f>27293</f>
        <v>27293.0</v>
      </c>
      <c r="AD1224" s="5" t="s">
        <v>872</v>
      </c>
      <c r="AE1224" s="23" t="n">
        <f>5670</f>
        <v>5670.0</v>
      </c>
    </row>
    <row r="1225">
      <c r="A1225" s="24" t="s">
        <v>2164</v>
      </c>
      <c r="B1225" s="25" t="s">
        <v>2165</v>
      </c>
      <c r="C1225" s="26" t="s">
        <v>1748</v>
      </c>
      <c r="D1225" s="27" t="s">
        <v>1749</v>
      </c>
      <c r="E1225" s="28" t="s">
        <v>344</v>
      </c>
      <c r="F1225" s="20" t="n">
        <f>121</f>
        <v>121.0</v>
      </c>
      <c r="G1225" s="21" t="n">
        <f>258428</f>
        <v>258428.0</v>
      </c>
      <c r="H1225" s="21"/>
      <c r="I1225" s="21" t="str">
        <f>"－"</f>
        <v>－</v>
      </c>
      <c r="J1225" s="21" t="n">
        <f>2136</f>
        <v>2136.0</v>
      </c>
      <c r="K1225" s="21" t="str">
        <f>"－"</f>
        <v>－</v>
      </c>
      <c r="L1225" s="4" t="s">
        <v>2061</v>
      </c>
      <c r="M1225" s="22" t="n">
        <f>5408</f>
        <v>5408.0</v>
      </c>
      <c r="N1225" s="5" t="s">
        <v>285</v>
      </c>
      <c r="O1225" s="23" t="n">
        <f>280</f>
        <v>280.0</v>
      </c>
      <c r="P1225" s="3" t="s">
        <v>2232</v>
      </c>
      <c r="Q1225" s="21"/>
      <c r="R1225" s="3" t="s">
        <v>247</v>
      </c>
      <c r="S1225" s="21" t="n">
        <f>701198926</f>
        <v>7.01198926E8</v>
      </c>
      <c r="T1225" s="21" t="str">
        <f>"－"</f>
        <v>－</v>
      </c>
      <c r="U1225" s="5" t="s">
        <v>787</v>
      </c>
      <c r="V1225" s="23" t="n">
        <f>2893740000</f>
        <v>2.89374E9</v>
      </c>
      <c r="W1225" s="5" t="s">
        <v>285</v>
      </c>
      <c r="X1225" s="23" t="n">
        <f>76170000</f>
        <v>7.617E7</v>
      </c>
      <c r="Y1225" s="23" t="n">
        <f>29398</f>
        <v>29398.0</v>
      </c>
      <c r="Z1225" s="21" t="str">
        <f>"－"</f>
        <v>－</v>
      </c>
      <c r="AA1225" s="21" t="n">
        <f>11550</f>
        <v>11550.0</v>
      </c>
      <c r="AB1225" s="4" t="s">
        <v>809</v>
      </c>
      <c r="AC1225" s="22" t="n">
        <f>16880</f>
        <v>16880.0</v>
      </c>
      <c r="AD1225" s="5" t="s">
        <v>306</v>
      </c>
      <c r="AE1225" s="23" t="n">
        <f>4139</f>
        <v>4139.0</v>
      </c>
    </row>
    <row r="1226">
      <c r="A1226" s="24" t="s">
        <v>2164</v>
      </c>
      <c r="B1226" s="25" t="s">
        <v>2165</v>
      </c>
      <c r="C1226" s="26" t="s">
        <v>1752</v>
      </c>
      <c r="D1226" s="27" t="s">
        <v>1753</v>
      </c>
      <c r="E1226" s="28" t="s">
        <v>344</v>
      </c>
      <c r="F1226" s="20" t="n">
        <f>121</f>
        <v>121.0</v>
      </c>
      <c r="G1226" s="21" t="n">
        <f>542002</f>
        <v>542002.0</v>
      </c>
      <c r="H1226" s="21"/>
      <c r="I1226" s="21" t="str">
        <f>"－"</f>
        <v>－</v>
      </c>
      <c r="J1226" s="21" t="n">
        <f>4479</f>
        <v>4479.0</v>
      </c>
      <c r="K1226" s="21" t="str">
        <f>"－"</f>
        <v>－</v>
      </c>
      <c r="L1226" s="4" t="s">
        <v>843</v>
      </c>
      <c r="M1226" s="22" t="n">
        <f>8934</f>
        <v>8934.0</v>
      </c>
      <c r="N1226" s="5" t="s">
        <v>285</v>
      </c>
      <c r="O1226" s="23" t="n">
        <f>1070</f>
        <v>1070.0</v>
      </c>
      <c r="P1226" s="3" t="s">
        <v>2233</v>
      </c>
      <c r="Q1226" s="21"/>
      <c r="R1226" s="3" t="s">
        <v>247</v>
      </c>
      <c r="S1226" s="21" t="n">
        <f>1215920661</f>
        <v>1.215920661E9</v>
      </c>
      <c r="T1226" s="21" t="str">
        <f>"－"</f>
        <v>－</v>
      </c>
      <c r="U1226" s="5" t="s">
        <v>787</v>
      </c>
      <c r="V1226" s="23" t="n">
        <f>4227870000</f>
        <v>4.22787E9</v>
      </c>
      <c r="W1226" s="5" t="s">
        <v>285</v>
      </c>
      <c r="X1226" s="23" t="n">
        <f>337650000</f>
        <v>3.3765E8</v>
      </c>
      <c r="Y1226" s="23" t="n">
        <f>32250</f>
        <v>32250.0</v>
      </c>
      <c r="Z1226" s="21" t="str">
        <f>"－"</f>
        <v>－</v>
      </c>
      <c r="AA1226" s="21" t="n">
        <f>28623</f>
        <v>28623.0</v>
      </c>
      <c r="AB1226" s="4" t="s">
        <v>1836</v>
      </c>
      <c r="AC1226" s="22" t="n">
        <f>42814</f>
        <v>42814.0</v>
      </c>
      <c r="AD1226" s="5" t="s">
        <v>872</v>
      </c>
      <c r="AE1226" s="23" t="n">
        <f>10656</f>
        <v>10656.0</v>
      </c>
    </row>
    <row r="1227">
      <c r="A1227" s="24" t="s">
        <v>2164</v>
      </c>
      <c r="B1227" s="25" t="s">
        <v>2165</v>
      </c>
      <c r="C1227" s="26" t="s">
        <v>1744</v>
      </c>
      <c r="D1227" s="27" t="s">
        <v>1745</v>
      </c>
      <c r="E1227" s="28" t="s">
        <v>347</v>
      </c>
      <c r="F1227" s="20" t="n">
        <f>125</f>
        <v>125.0</v>
      </c>
      <c r="G1227" s="21" t="n">
        <f>337348</f>
        <v>337348.0</v>
      </c>
      <c r="H1227" s="21"/>
      <c r="I1227" s="21" t="str">
        <f>"－"</f>
        <v>－</v>
      </c>
      <c r="J1227" s="21" t="n">
        <f>2699</f>
        <v>2699.0</v>
      </c>
      <c r="K1227" s="21" t="str">
        <f>"－"</f>
        <v>－</v>
      </c>
      <c r="L1227" s="4" t="s">
        <v>2129</v>
      </c>
      <c r="M1227" s="22" t="n">
        <f>5383</f>
        <v>5383.0</v>
      </c>
      <c r="N1227" s="5" t="s">
        <v>281</v>
      </c>
      <c r="O1227" s="23" t="n">
        <f>168</f>
        <v>168.0</v>
      </c>
      <c r="P1227" s="3" t="s">
        <v>2234</v>
      </c>
      <c r="Q1227" s="21"/>
      <c r="R1227" s="3" t="s">
        <v>247</v>
      </c>
      <c r="S1227" s="21" t="n">
        <f>617715840</f>
        <v>6.1771584E8</v>
      </c>
      <c r="T1227" s="21" t="str">
        <f>"－"</f>
        <v>－</v>
      </c>
      <c r="U1227" s="5" t="s">
        <v>717</v>
      </c>
      <c r="V1227" s="23" t="n">
        <f>1987610000</f>
        <v>1.98761E9</v>
      </c>
      <c r="W1227" s="5" t="s">
        <v>281</v>
      </c>
      <c r="X1227" s="23" t="n">
        <f>58890000</f>
        <v>5.889E7</v>
      </c>
      <c r="Y1227" s="23" t="n">
        <f>5019</f>
        <v>5019.0</v>
      </c>
      <c r="Z1227" s="21" t="str">
        <f>"－"</f>
        <v>－</v>
      </c>
      <c r="AA1227" s="21" t="n">
        <f>14836</f>
        <v>14836.0</v>
      </c>
      <c r="AB1227" s="4" t="s">
        <v>1148</v>
      </c>
      <c r="AC1227" s="22" t="n">
        <f>32024</f>
        <v>32024.0</v>
      </c>
      <c r="AD1227" s="5" t="s">
        <v>245</v>
      </c>
      <c r="AE1227" s="23" t="n">
        <f>4956</f>
        <v>4956.0</v>
      </c>
    </row>
    <row r="1228">
      <c r="A1228" s="24" t="s">
        <v>2164</v>
      </c>
      <c r="B1228" s="25" t="s">
        <v>2165</v>
      </c>
      <c r="C1228" s="26" t="s">
        <v>1748</v>
      </c>
      <c r="D1228" s="27" t="s">
        <v>1749</v>
      </c>
      <c r="E1228" s="28" t="s">
        <v>347</v>
      </c>
      <c r="F1228" s="20" t="n">
        <f>125</f>
        <v>125.0</v>
      </c>
      <c r="G1228" s="21" t="n">
        <f>227130</f>
        <v>227130.0</v>
      </c>
      <c r="H1228" s="21"/>
      <c r="I1228" s="21" t="str">
        <f>"－"</f>
        <v>－</v>
      </c>
      <c r="J1228" s="21" t="n">
        <f>1817</f>
        <v>1817.0</v>
      </c>
      <c r="K1228" s="21" t="str">
        <f>"－"</f>
        <v>－</v>
      </c>
      <c r="L1228" s="4" t="s">
        <v>737</v>
      </c>
      <c r="M1228" s="22" t="n">
        <f>4304</f>
        <v>4304.0</v>
      </c>
      <c r="N1228" s="5" t="s">
        <v>281</v>
      </c>
      <c r="O1228" s="23" t="n">
        <f>73</f>
        <v>73.0</v>
      </c>
      <c r="P1228" s="3" t="s">
        <v>2235</v>
      </c>
      <c r="Q1228" s="21"/>
      <c r="R1228" s="3" t="s">
        <v>247</v>
      </c>
      <c r="S1228" s="21" t="n">
        <f>456312320</f>
        <v>4.5631232E8</v>
      </c>
      <c r="T1228" s="21" t="str">
        <f>"－"</f>
        <v>－</v>
      </c>
      <c r="U1228" s="5" t="s">
        <v>675</v>
      </c>
      <c r="V1228" s="23" t="n">
        <f>1373080000</f>
        <v>1.37308E9</v>
      </c>
      <c r="W1228" s="5" t="s">
        <v>281</v>
      </c>
      <c r="X1228" s="23" t="n">
        <f>32370000</f>
        <v>3.237E7</v>
      </c>
      <c r="Y1228" s="23" t="n">
        <f>14857</f>
        <v>14857.0</v>
      </c>
      <c r="Z1228" s="21" t="str">
        <f>"－"</f>
        <v>－</v>
      </c>
      <c r="AA1228" s="21" t="n">
        <f>9598</f>
        <v>9598.0</v>
      </c>
      <c r="AB1228" s="4" t="s">
        <v>1080</v>
      </c>
      <c r="AC1228" s="22" t="n">
        <f>16571</f>
        <v>16571.0</v>
      </c>
      <c r="AD1228" s="5" t="s">
        <v>230</v>
      </c>
      <c r="AE1228" s="23" t="n">
        <f>2277</f>
        <v>2277.0</v>
      </c>
    </row>
    <row r="1229">
      <c r="A1229" s="24" t="s">
        <v>2164</v>
      </c>
      <c r="B1229" s="25" t="s">
        <v>2165</v>
      </c>
      <c r="C1229" s="26" t="s">
        <v>1752</v>
      </c>
      <c r="D1229" s="27" t="s">
        <v>1753</v>
      </c>
      <c r="E1229" s="28" t="s">
        <v>347</v>
      </c>
      <c r="F1229" s="20" t="n">
        <f>125</f>
        <v>125.0</v>
      </c>
      <c r="G1229" s="21" t="n">
        <f>564478</f>
        <v>564478.0</v>
      </c>
      <c r="H1229" s="21"/>
      <c r="I1229" s="21" t="str">
        <f>"－"</f>
        <v>－</v>
      </c>
      <c r="J1229" s="21" t="n">
        <f>4516</f>
        <v>4516.0</v>
      </c>
      <c r="K1229" s="21" t="str">
        <f>"－"</f>
        <v>－</v>
      </c>
      <c r="L1229" s="4" t="s">
        <v>1123</v>
      </c>
      <c r="M1229" s="22" t="n">
        <f>8052</f>
        <v>8052.0</v>
      </c>
      <c r="N1229" s="5" t="s">
        <v>281</v>
      </c>
      <c r="O1229" s="23" t="n">
        <f>241</f>
        <v>241.0</v>
      </c>
      <c r="P1229" s="3" t="s">
        <v>2236</v>
      </c>
      <c r="Q1229" s="21"/>
      <c r="R1229" s="3" t="s">
        <v>247</v>
      </c>
      <c r="S1229" s="21" t="n">
        <f>1074028160</f>
        <v>1.07402816E9</v>
      </c>
      <c r="T1229" s="21" t="str">
        <f>"－"</f>
        <v>－</v>
      </c>
      <c r="U1229" s="5" t="s">
        <v>717</v>
      </c>
      <c r="V1229" s="23" t="n">
        <f>2745690000</f>
        <v>2.74569E9</v>
      </c>
      <c r="W1229" s="5" t="s">
        <v>281</v>
      </c>
      <c r="X1229" s="23" t="n">
        <f>91260000</f>
        <v>9.126E7</v>
      </c>
      <c r="Y1229" s="23" t="n">
        <f>19876</f>
        <v>19876.0</v>
      </c>
      <c r="Z1229" s="21" t="str">
        <f>"－"</f>
        <v>－</v>
      </c>
      <c r="AA1229" s="21" t="n">
        <f>24434</f>
        <v>24434.0</v>
      </c>
      <c r="AB1229" s="4" t="s">
        <v>238</v>
      </c>
      <c r="AC1229" s="22" t="n">
        <f>43531</f>
        <v>43531.0</v>
      </c>
      <c r="AD1229" s="5" t="s">
        <v>245</v>
      </c>
      <c r="AE1229" s="23" t="n">
        <f>9148</f>
        <v>9148.0</v>
      </c>
    </row>
    <row r="1230">
      <c r="A1230" s="24" t="s">
        <v>2164</v>
      </c>
      <c r="B1230" s="25" t="s">
        <v>2165</v>
      </c>
      <c r="C1230" s="26" t="s">
        <v>1744</v>
      </c>
      <c r="D1230" s="27" t="s">
        <v>1745</v>
      </c>
      <c r="E1230" s="28" t="s">
        <v>351</v>
      </c>
      <c r="F1230" s="20" t="n">
        <f>120</f>
        <v>120.0</v>
      </c>
      <c r="G1230" s="21" t="n">
        <f>307543</f>
        <v>307543.0</v>
      </c>
      <c r="H1230" s="21"/>
      <c r="I1230" s="21" t="str">
        <f>"－"</f>
        <v>－</v>
      </c>
      <c r="J1230" s="21" t="n">
        <f>2563</f>
        <v>2563.0</v>
      </c>
      <c r="K1230" s="21" t="str">
        <f>"－"</f>
        <v>－</v>
      </c>
      <c r="L1230" s="4" t="s">
        <v>167</v>
      </c>
      <c r="M1230" s="22" t="n">
        <f>7289</f>
        <v>7289.0</v>
      </c>
      <c r="N1230" s="5" t="s">
        <v>828</v>
      </c>
      <c r="O1230" s="23" t="n">
        <f>721</f>
        <v>721.0</v>
      </c>
      <c r="P1230" s="3" t="s">
        <v>2237</v>
      </c>
      <c r="Q1230" s="21"/>
      <c r="R1230" s="3" t="s">
        <v>247</v>
      </c>
      <c r="S1230" s="21" t="n">
        <f>541547583</f>
        <v>5.41547583E8</v>
      </c>
      <c r="T1230" s="21" t="str">
        <f>"－"</f>
        <v>－</v>
      </c>
      <c r="U1230" s="5" t="s">
        <v>293</v>
      </c>
      <c r="V1230" s="23" t="n">
        <f>2800090000</f>
        <v>2.80009E9</v>
      </c>
      <c r="W1230" s="5" t="s">
        <v>2238</v>
      </c>
      <c r="X1230" s="23" t="n">
        <f>99210000</f>
        <v>9.921E7</v>
      </c>
      <c r="Y1230" s="23" t="n">
        <f>14419</f>
        <v>14419.0</v>
      </c>
      <c r="Z1230" s="21" t="str">
        <f>"－"</f>
        <v>－</v>
      </c>
      <c r="AA1230" s="21" t="n">
        <f>21847</f>
        <v>21847.0</v>
      </c>
      <c r="AB1230" s="4" t="s">
        <v>1320</v>
      </c>
      <c r="AC1230" s="22" t="n">
        <f>30965</f>
        <v>30965.0</v>
      </c>
      <c r="AD1230" s="5" t="s">
        <v>279</v>
      </c>
      <c r="AE1230" s="23" t="n">
        <f>6239</f>
        <v>6239.0</v>
      </c>
    </row>
    <row r="1231">
      <c r="A1231" s="24" t="s">
        <v>2164</v>
      </c>
      <c r="B1231" s="25" t="s">
        <v>2165</v>
      </c>
      <c r="C1231" s="26" t="s">
        <v>1748</v>
      </c>
      <c r="D1231" s="27" t="s">
        <v>1749</v>
      </c>
      <c r="E1231" s="28" t="s">
        <v>351</v>
      </c>
      <c r="F1231" s="20" t="n">
        <f>120</f>
        <v>120.0</v>
      </c>
      <c r="G1231" s="21" t="n">
        <f>192601</f>
        <v>192601.0</v>
      </c>
      <c r="H1231" s="21"/>
      <c r="I1231" s="21" t="str">
        <f>"－"</f>
        <v>－</v>
      </c>
      <c r="J1231" s="21" t="n">
        <f>1605</f>
        <v>1605.0</v>
      </c>
      <c r="K1231" s="21" t="str">
        <f>"－"</f>
        <v>－</v>
      </c>
      <c r="L1231" s="4" t="s">
        <v>102</v>
      </c>
      <c r="M1231" s="22" t="n">
        <f>3880</f>
        <v>3880.0</v>
      </c>
      <c r="N1231" s="5" t="s">
        <v>113</v>
      </c>
      <c r="O1231" s="23" t="n">
        <f>466</f>
        <v>466.0</v>
      </c>
      <c r="P1231" s="3" t="s">
        <v>2239</v>
      </c>
      <c r="Q1231" s="21"/>
      <c r="R1231" s="3" t="s">
        <v>247</v>
      </c>
      <c r="S1231" s="21" t="n">
        <f>338463750</f>
        <v>3.3846375E8</v>
      </c>
      <c r="T1231" s="21" t="str">
        <f>"－"</f>
        <v>－</v>
      </c>
      <c r="U1231" s="5" t="s">
        <v>102</v>
      </c>
      <c r="V1231" s="23" t="n">
        <f>1006060000</f>
        <v>1.00606E9</v>
      </c>
      <c r="W1231" s="5" t="s">
        <v>828</v>
      </c>
      <c r="X1231" s="23" t="n">
        <f>69390000</f>
        <v>6.939E7</v>
      </c>
      <c r="Y1231" s="23" t="n">
        <f>11920</f>
        <v>11920.0</v>
      </c>
      <c r="Z1231" s="21" t="str">
        <f>"－"</f>
        <v>－</v>
      </c>
      <c r="AA1231" s="21" t="n">
        <f>4789</f>
        <v>4789.0</v>
      </c>
      <c r="AB1231" s="4" t="s">
        <v>293</v>
      </c>
      <c r="AC1231" s="22" t="n">
        <f>15414</f>
        <v>15414.0</v>
      </c>
      <c r="AD1231" s="5" t="s">
        <v>787</v>
      </c>
      <c r="AE1231" s="23" t="n">
        <f>3355</f>
        <v>3355.0</v>
      </c>
    </row>
    <row r="1232">
      <c r="A1232" s="24" t="s">
        <v>2164</v>
      </c>
      <c r="B1232" s="25" t="s">
        <v>2165</v>
      </c>
      <c r="C1232" s="26" t="s">
        <v>1752</v>
      </c>
      <c r="D1232" s="27" t="s">
        <v>1753</v>
      </c>
      <c r="E1232" s="28" t="s">
        <v>351</v>
      </c>
      <c r="F1232" s="20" t="n">
        <f>120</f>
        <v>120.0</v>
      </c>
      <c r="G1232" s="21" t="n">
        <f>500144</f>
        <v>500144.0</v>
      </c>
      <c r="H1232" s="21"/>
      <c r="I1232" s="21" t="str">
        <f>"－"</f>
        <v>－</v>
      </c>
      <c r="J1232" s="21" t="n">
        <f>4168</f>
        <v>4168.0</v>
      </c>
      <c r="K1232" s="21" t="str">
        <f>"－"</f>
        <v>－</v>
      </c>
      <c r="L1232" s="4" t="s">
        <v>167</v>
      </c>
      <c r="M1232" s="22" t="n">
        <f>9725</f>
        <v>9725.0</v>
      </c>
      <c r="N1232" s="5" t="s">
        <v>828</v>
      </c>
      <c r="O1232" s="23" t="n">
        <f>1369</f>
        <v>1369.0</v>
      </c>
      <c r="P1232" s="3" t="s">
        <v>2240</v>
      </c>
      <c r="Q1232" s="21"/>
      <c r="R1232" s="3" t="s">
        <v>247</v>
      </c>
      <c r="S1232" s="21" t="n">
        <f>880011333</f>
        <v>8.80011333E8</v>
      </c>
      <c r="T1232" s="21" t="str">
        <f>"－"</f>
        <v>－</v>
      </c>
      <c r="U1232" s="5" t="s">
        <v>293</v>
      </c>
      <c r="V1232" s="23" t="n">
        <f>3225850000</f>
        <v>3.22585E9</v>
      </c>
      <c r="W1232" s="5" t="s">
        <v>828</v>
      </c>
      <c r="X1232" s="23" t="n">
        <f>187560000</f>
        <v>1.8756E8</v>
      </c>
      <c r="Y1232" s="23" t="n">
        <f>26339</f>
        <v>26339.0</v>
      </c>
      <c r="Z1232" s="21" t="str">
        <f>"－"</f>
        <v>－</v>
      </c>
      <c r="AA1232" s="21" t="n">
        <f>26636</f>
        <v>26636.0</v>
      </c>
      <c r="AB1232" s="4" t="s">
        <v>1068</v>
      </c>
      <c r="AC1232" s="22" t="n">
        <f>43892</f>
        <v>43892.0</v>
      </c>
      <c r="AD1232" s="5" t="s">
        <v>787</v>
      </c>
      <c r="AE1232" s="23" t="n">
        <f>10433</f>
        <v>10433.0</v>
      </c>
    </row>
    <row r="1233">
      <c r="A1233" s="24" t="s">
        <v>2164</v>
      </c>
      <c r="B1233" s="25" t="s">
        <v>2165</v>
      </c>
      <c r="C1233" s="26" t="s">
        <v>1744</v>
      </c>
      <c r="D1233" s="27" t="s">
        <v>1745</v>
      </c>
      <c r="E1233" s="28" t="s">
        <v>355</v>
      </c>
      <c r="F1233" s="20" t="n">
        <f>126</f>
        <v>126.0</v>
      </c>
      <c r="G1233" s="21" t="n">
        <f>317499</f>
        <v>317499.0</v>
      </c>
      <c r="H1233" s="21"/>
      <c r="I1233" s="21" t="str">
        <f>"－"</f>
        <v>－</v>
      </c>
      <c r="J1233" s="21" t="n">
        <f>2520</f>
        <v>2520.0</v>
      </c>
      <c r="K1233" s="21" t="str">
        <f>"－"</f>
        <v>－</v>
      </c>
      <c r="L1233" s="4" t="s">
        <v>281</v>
      </c>
      <c r="M1233" s="22" t="n">
        <f>6431</f>
        <v>6431.0</v>
      </c>
      <c r="N1233" s="5" t="s">
        <v>563</v>
      </c>
      <c r="O1233" s="23" t="n">
        <f>867</f>
        <v>867.0</v>
      </c>
      <c r="P1233" s="3" t="s">
        <v>2241</v>
      </c>
      <c r="Q1233" s="21"/>
      <c r="R1233" s="3" t="s">
        <v>247</v>
      </c>
      <c r="S1233" s="21" t="n">
        <f>379706825</f>
        <v>3.79706825E8</v>
      </c>
      <c r="T1233" s="21" t="str">
        <f>"－"</f>
        <v>－</v>
      </c>
      <c r="U1233" s="5" t="s">
        <v>266</v>
      </c>
      <c r="V1233" s="23" t="n">
        <f>1732380000</f>
        <v>1.73238E9</v>
      </c>
      <c r="W1233" s="5" t="s">
        <v>434</v>
      </c>
      <c r="X1233" s="23" t="n">
        <f>82290000</f>
        <v>8.229E7</v>
      </c>
      <c r="Y1233" s="23" t="n">
        <f>6708</f>
        <v>6708.0</v>
      </c>
      <c r="Z1233" s="21" t="str">
        <f>"－"</f>
        <v>－</v>
      </c>
      <c r="AA1233" s="21" t="n">
        <f>13951</f>
        <v>13951.0</v>
      </c>
      <c r="AB1233" s="4" t="s">
        <v>1148</v>
      </c>
      <c r="AC1233" s="22" t="n">
        <f>36775</f>
        <v>36775.0</v>
      </c>
      <c r="AD1233" s="5" t="s">
        <v>709</v>
      </c>
      <c r="AE1233" s="23" t="n">
        <f>5530</f>
        <v>5530.0</v>
      </c>
    </row>
    <row r="1234">
      <c r="A1234" s="24" t="s">
        <v>2164</v>
      </c>
      <c r="B1234" s="25" t="s">
        <v>2165</v>
      </c>
      <c r="C1234" s="26" t="s">
        <v>1748</v>
      </c>
      <c r="D1234" s="27" t="s">
        <v>1749</v>
      </c>
      <c r="E1234" s="28" t="s">
        <v>355</v>
      </c>
      <c r="F1234" s="20" t="n">
        <f>126</f>
        <v>126.0</v>
      </c>
      <c r="G1234" s="21" t="n">
        <f>232399</f>
        <v>232399.0</v>
      </c>
      <c r="H1234" s="21"/>
      <c r="I1234" s="21" t="str">
        <f>"－"</f>
        <v>－</v>
      </c>
      <c r="J1234" s="21" t="n">
        <f>1844</f>
        <v>1844.0</v>
      </c>
      <c r="K1234" s="21" t="str">
        <f>"－"</f>
        <v>－</v>
      </c>
      <c r="L1234" s="4" t="s">
        <v>72</v>
      </c>
      <c r="M1234" s="22" t="n">
        <f>6775</f>
        <v>6775.0</v>
      </c>
      <c r="N1234" s="5" t="s">
        <v>848</v>
      </c>
      <c r="O1234" s="23" t="n">
        <f>478</f>
        <v>478.0</v>
      </c>
      <c r="P1234" s="3" t="s">
        <v>2242</v>
      </c>
      <c r="Q1234" s="21"/>
      <c r="R1234" s="3" t="s">
        <v>247</v>
      </c>
      <c r="S1234" s="21" t="n">
        <f>405568016</f>
        <v>4.05568016E8</v>
      </c>
      <c r="T1234" s="21" t="str">
        <f>"－"</f>
        <v>－</v>
      </c>
      <c r="U1234" s="5" t="s">
        <v>72</v>
      </c>
      <c r="V1234" s="23" t="n">
        <f>7193380000</f>
        <v>7.19338E9</v>
      </c>
      <c r="W1234" s="5" t="s">
        <v>1008</v>
      </c>
      <c r="X1234" s="23" t="n">
        <f>82000000</f>
        <v>8.2E7</v>
      </c>
      <c r="Y1234" s="23" t="n">
        <f>27932</f>
        <v>27932.0</v>
      </c>
      <c r="Z1234" s="21" t="str">
        <f>"－"</f>
        <v>－</v>
      </c>
      <c r="AA1234" s="21" t="n">
        <f>10766</f>
        <v>10766.0</v>
      </c>
      <c r="AB1234" s="4" t="s">
        <v>675</v>
      </c>
      <c r="AC1234" s="22" t="n">
        <f>14505</f>
        <v>14505.0</v>
      </c>
      <c r="AD1234" s="5" t="s">
        <v>72</v>
      </c>
      <c r="AE1234" s="23" t="n">
        <f>3387</f>
        <v>3387.0</v>
      </c>
    </row>
    <row r="1235">
      <c r="A1235" s="24" t="s">
        <v>2164</v>
      </c>
      <c r="B1235" s="25" t="s">
        <v>2165</v>
      </c>
      <c r="C1235" s="26" t="s">
        <v>1752</v>
      </c>
      <c r="D1235" s="27" t="s">
        <v>1753</v>
      </c>
      <c r="E1235" s="28" t="s">
        <v>355</v>
      </c>
      <c r="F1235" s="20" t="n">
        <f>126</f>
        <v>126.0</v>
      </c>
      <c r="G1235" s="21" t="n">
        <f>549898</f>
        <v>549898.0</v>
      </c>
      <c r="H1235" s="21"/>
      <c r="I1235" s="21" t="str">
        <f>"－"</f>
        <v>－</v>
      </c>
      <c r="J1235" s="21" t="n">
        <f>4364</f>
        <v>4364.0</v>
      </c>
      <c r="K1235" s="21" t="str">
        <f>"－"</f>
        <v>－</v>
      </c>
      <c r="L1235" s="4" t="s">
        <v>72</v>
      </c>
      <c r="M1235" s="22" t="n">
        <f>10874</f>
        <v>10874.0</v>
      </c>
      <c r="N1235" s="5" t="s">
        <v>966</v>
      </c>
      <c r="O1235" s="23" t="n">
        <f>1729</f>
        <v>1729.0</v>
      </c>
      <c r="P1235" s="3" t="s">
        <v>2243</v>
      </c>
      <c r="Q1235" s="21"/>
      <c r="R1235" s="3" t="s">
        <v>247</v>
      </c>
      <c r="S1235" s="21" t="n">
        <f>785274841</f>
        <v>7.85274841E8</v>
      </c>
      <c r="T1235" s="21" t="str">
        <f>"－"</f>
        <v>－</v>
      </c>
      <c r="U1235" s="5" t="s">
        <v>72</v>
      </c>
      <c r="V1235" s="23" t="n">
        <f>7858100000</f>
        <v>7.8581E9</v>
      </c>
      <c r="W1235" s="5" t="s">
        <v>966</v>
      </c>
      <c r="X1235" s="23" t="n">
        <f>212580000</f>
        <v>2.1258E8</v>
      </c>
      <c r="Y1235" s="23" t="n">
        <f>34640</f>
        <v>34640.0</v>
      </c>
      <c r="Z1235" s="21" t="str">
        <f>"－"</f>
        <v>－</v>
      </c>
      <c r="AA1235" s="21" t="n">
        <f>24717</f>
        <v>24717.0</v>
      </c>
      <c r="AB1235" s="4" t="s">
        <v>675</v>
      </c>
      <c r="AC1235" s="22" t="n">
        <f>49612</f>
        <v>49612.0</v>
      </c>
      <c r="AD1235" s="5" t="s">
        <v>709</v>
      </c>
      <c r="AE1235" s="23" t="n">
        <f>8924</f>
        <v>8924.0</v>
      </c>
    </row>
    <row r="1236">
      <c r="A1236" s="24" t="s">
        <v>2164</v>
      </c>
      <c r="B1236" s="25" t="s">
        <v>2165</v>
      </c>
      <c r="C1236" s="26" t="s">
        <v>1744</v>
      </c>
      <c r="D1236" s="27" t="s">
        <v>1745</v>
      </c>
      <c r="E1236" s="28" t="s">
        <v>358</v>
      </c>
      <c r="F1236" s="20" t="n">
        <f>120</f>
        <v>120.0</v>
      </c>
      <c r="G1236" s="21" t="n">
        <f>265994</f>
        <v>265994.0</v>
      </c>
      <c r="H1236" s="21"/>
      <c r="I1236" s="21" t="str">
        <f>"－"</f>
        <v>－</v>
      </c>
      <c r="J1236" s="21" t="n">
        <f>2217</f>
        <v>2217.0</v>
      </c>
      <c r="K1236" s="21" t="str">
        <f>"－"</f>
        <v>－</v>
      </c>
      <c r="L1236" s="4" t="s">
        <v>809</v>
      </c>
      <c r="M1236" s="22" t="n">
        <f>5157</f>
        <v>5157.0</v>
      </c>
      <c r="N1236" s="5" t="s">
        <v>314</v>
      </c>
      <c r="O1236" s="23" t="n">
        <f>167</f>
        <v>167.0</v>
      </c>
      <c r="P1236" s="3" t="s">
        <v>2244</v>
      </c>
      <c r="Q1236" s="21"/>
      <c r="R1236" s="3" t="s">
        <v>247</v>
      </c>
      <c r="S1236" s="21" t="n">
        <f>314703833</f>
        <v>3.14703833E8</v>
      </c>
      <c r="T1236" s="21" t="str">
        <f>"－"</f>
        <v>－</v>
      </c>
      <c r="U1236" s="5" t="s">
        <v>279</v>
      </c>
      <c r="V1236" s="23" t="n">
        <f>1026680000</f>
        <v>1.02668E9</v>
      </c>
      <c r="W1236" s="5" t="s">
        <v>314</v>
      </c>
      <c r="X1236" s="23" t="n">
        <f>20300000</f>
        <v>2.03E7</v>
      </c>
      <c r="Y1236" s="23" t="n">
        <f>726</f>
        <v>726.0</v>
      </c>
      <c r="Z1236" s="21" t="str">
        <f>"－"</f>
        <v>－</v>
      </c>
      <c r="AA1236" s="21" t="n">
        <f>22771</f>
        <v>22771.0</v>
      </c>
      <c r="AB1236" s="4" t="s">
        <v>516</v>
      </c>
      <c r="AC1236" s="22" t="n">
        <f>33995</f>
        <v>33995.0</v>
      </c>
      <c r="AD1236" s="5" t="s">
        <v>300</v>
      </c>
      <c r="AE1236" s="23" t="n">
        <f>5541</f>
        <v>5541.0</v>
      </c>
    </row>
    <row r="1237">
      <c r="A1237" s="24" t="s">
        <v>2164</v>
      </c>
      <c r="B1237" s="25" t="s">
        <v>2165</v>
      </c>
      <c r="C1237" s="26" t="s">
        <v>1748</v>
      </c>
      <c r="D1237" s="27" t="s">
        <v>1749</v>
      </c>
      <c r="E1237" s="28" t="s">
        <v>358</v>
      </c>
      <c r="F1237" s="20" t="n">
        <f>120</f>
        <v>120.0</v>
      </c>
      <c r="G1237" s="21" t="n">
        <f>161708</f>
        <v>161708.0</v>
      </c>
      <c r="H1237" s="21"/>
      <c r="I1237" s="21" t="str">
        <f>"－"</f>
        <v>－</v>
      </c>
      <c r="J1237" s="21" t="n">
        <f>1348</f>
        <v>1348.0</v>
      </c>
      <c r="K1237" s="21" t="str">
        <f>"－"</f>
        <v>－</v>
      </c>
      <c r="L1237" s="4" t="s">
        <v>533</v>
      </c>
      <c r="M1237" s="22" t="n">
        <f>3955</f>
        <v>3955.0</v>
      </c>
      <c r="N1237" s="5" t="s">
        <v>396</v>
      </c>
      <c r="O1237" s="23" t="n">
        <f>225</f>
        <v>225.0</v>
      </c>
      <c r="P1237" s="3" t="s">
        <v>2245</v>
      </c>
      <c r="Q1237" s="21"/>
      <c r="R1237" s="3" t="s">
        <v>247</v>
      </c>
      <c r="S1237" s="21" t="n">
        <f>289184917</f>
        <v>2.89184917E8</v>
      </c>
      <c r="T1237" s="21" t="str">
        <f>"－"</f>
        <v>－</v>
      </c>
      <c r="U1237" s="5" t="s">
        <v>516</v>
      </c>
      <c r="V1237" s="23" t="n">
        <f>1692730000</f>
        <v>1.69273E9</v>
      </c>
      <c r="W1237" s="5" t="s">
        <v>396</v>
      </c>
      <c r="X1237" s="23" t="n">
        <f>46150000</f>
        <v>4.615E7</v>
      </c>
      <c r="Y1237" s="23" t="n">
        <f>20484</f>
        <v>20484.0</v>
      </c>
      <c r="Z1237" s="21" t="str">
        <f>"－"</f>
        <v>－</v>
      </c>
      <c r="AA1237" s="21" t="n">
        <f>7685</f>
        <v>7685.0</v>
      </c>
      <c r="AB1237" s="4" t="s">
        <v>1068</v>
      </c>
      <c r="AC1237" s="22" t="n">
        <f>11336</f>
        <v>11336.0</v>
      </c>
      <c r="AD1237" s="5" t="s">
        <v>300</v>
      </c>
      <c r="AE1237" s="23" t="n">
        <f>1737</f>
        <v>1737.0</v>
      </c>
    </row>
    <row r="1238">
      <c r="A1238" s="24" t="s">
        <v>2164</v>
      </c>
      <c r="B1238" s="25" t="s">
        <v>2165</v>
      </c>
      <c r="C1238" s="26" t="s">
        <v>1752</v>
      </c>
      <c r="D1238" s="27" t="s">
        <v>1753</v>
      </c>
      <c r="E1238" s="28" t="s">
        <v>358</v>
      </c>
      <c r="F1238" s="20" t="n">
        <f>120</f>
        <v>120.0</v>
      </c>
      <c r="G1238" s="21" t="n">
        <f>427702</f>
        <v>427702.0</v>
      </c>
      <c r="H1238" s="21"/>
      <c r="I1238" s="21" t="str">
        <f>"－"</f>
        <v>－</v>
      </c>
      <c r="J1238" s="21" t="n">
        <f>3564</f>
        <v>3564.0</v>
      </c>
      <c r="K1238" s="21" t="str">
        <f>"－"</f>
        <v>－</v>
      </c>
      <c r="L1238" s="4" t="s">
        <v>533</v>
      </c>
      <c r="M1238" s="22" t="n">
        <f>8144</f>
        <v>8144.0</v>
      </c>
      <c r="N1238" s="5" t="s">
        <v>314</v>
      </c>
      <c r="O1238" s="23" t="n">
        <f>660</f>
        <v>660.0</v>
      </c>
      <c r="P1238" s="3" t="s">
        <v>2246</v>
      </c>
      <c r="Q1238" s="21"/>
      <c r="R1238" s="3" t="s">
        <v>247</v>
      </c>
      <c r="S1238" s="21" t="n">
        <f>603888750</f>
        <v>6.0388875E8</v>
      </c>
      <c r="T1238" s="21" t="str">
        <f>"－"</f>
        <v>－</v>
      </c>
      <c r="U1238" s="5" t="s">
        <v>516</v>
      </c>
      <c r="V1238" s="23" t="n">
        <f>1933960000</f>
        <v>1.93396E9</v>
      </c>
      <c r="W1238" s="5" t="s">
        <v>314</v>
      </c>
      <c r="X1238" s="23" t="n">
        <f>134150000</f>
        <v>1.3415E8</v>
      </c>
      <c r="Y1238" s="23" t="n">
        <f>21210</f>
        <v>21210.0</v>
      </c>
      <c r="Z1238" s="21" t="str">
        <f>"－"</f>
        <v>－</v>
      </c>
      <c r="AA1238" s="21" t="n">
        <f>30456</f>
        <v>30456.0</v>
      </c>
      <c r="AB1238" s="4" t="s">
        <v>1320</v>
      </c>
      <c r="AC1238" s="22" t="n">
        <f>42798</f>
        <v>42798.0</v>
      </c>
      <c r="AD1238" s="5" t="s">
        <v>300</v>
      </c>
      <c r="AE1238" s="23" t="n">
        <f>7278</f>
        <v>7278.0</v>
      </c>
    </row>
    <row r="1239">
      <c r="A1239" s="24" t="s">
        <v>2164</v>
      </c>
      <c r="B1239" s="25" t="s">
        <v>2165</v>
      </c>
      <c r="C1239" s="26" t="s">
        <v>1744</v>
      </c>
      <c r="D1239" s="27" t="s">
        <v>1745</v>
      </c>
      <c r="E1239" s="28" t="s">
        <v>361</v>
      </c>
      <c r="F1239" s="20" t="n">
        <f>126</f>
        <v>126.0</v>
      </c>
      <c r="G1239" s="21" t="n">
        <f>335286</f>
        <v>335286.0</v>
      </c>
      <c r="H1239" s="21"/>
      <c r="I1239" s="21" t="str">
        <f>"－"</f>
        <v>－</v>
      </c>
      <c r="J1239" s="21" t="n">
        <f>2661</f>
        <v>2661.0</v>
      </c>
      <c r="K1239" s="21" t="str">
        <f>"－"</f>
        <v>－</v>
      </c>
      <c r="L1239" s="4" t="s">
        <v>675</v>
      </c>
      <c r="M1239" s="22" t="n">
        <f>11180</f>
        <v>11180.0</v>
      </c>
      <c r="N1239" s="5" t="s">
        <v>120</v>
      </c>
      <c r="O1239" s="23" t="n">
        <f>216</f>
        <v>216.0</v>
      </c>
      <c r="P1239" s="3" t="s">
        <v>2247</v>
      </c>
      <c r="Q1239" s="21"/>
      <c r="R1239" s="3" t="s">
        <v>247</v>
      </c>
      <c r="S1239" s="21" t="n">
        <f>1082678175</f>
        <v>1.082678175E9</v>
      </c>
      <c r="T1239" s="21" t="str">
        <f>"－"</f>
        <v>－</v>
      </c>
      <c r="U1239" s="5" t="s">
        <v>1614</v>
      </c>
      <c r="V1239" s="23" t="n">
        <f>17395170000</f>
        <v>1.739517E10</v>
      </c>
      <c r="W1239" s="5" t="s">
        <v>216</v>
      </c>
      <c r="X1239" s="23" t="n">
        <f>54870000</f>
        <v>5.487E7</v>
      </c>
      <c r="Y1239" s="23" t="n">
        <f>40769</f>
        <v>40769.0</v>
      </c>
      <c r="Z1239" s="21" t="str">
        <f>"－"</f>
        <v>－</v>
      </c>
      <c r="AA1239" s="21" t="n">
        <f>11313</f>
        <v>11313.0</v>
      </c>
      <c r="AB1239" s="4" t="s">
        <v>675</v>
      </c>
      <c r="AC1239" s="22" t="n">
        <f>45618</f>
        <v>45618.0</v>
      </c>
      <c r="AD1239" s="5" t="s">
        <v>709</v>
      </c>
      <c r="AE1239" s="23" t="n">
        <f>3546</f>
        <v>3546.0</v>
      </c>
    </row>
    <row r="1240">
      <c r="A1240" s="24" t="s">
        <v>2164</v>
      </c>
      <c r="B1240" s="25" t="s">
        <v>2165</v>
      </c>
      <c r="C1240" s="26" t="s">
        <v>1748</v>
      </c>
      <c r="D1240" s="27" t="s">
        <v>1749</v>
      </c>
      <c r="E1240" s="28" t="s">
        <v>361</v>
      </c>
      <c r="F1240" s="20" t="n">
        <f>126</f>
        <v>126.0</v>
      </c>
      <c r="G1240" s="21" t="n">
        <f>213541</f>
        <v>213541.0</v>
      </c>
      <c r="H1240" s="21"/>
      <c r="I1240" s="21" t="str">
        <f>"－"</f>
        <v>－</v>
      </c>
      <c r="J1240" s="21" t="n">
        <f>1695</f>
        <v>1695.0</v>
      </c>
      <c r="K1240" s="21" t="str">
        <f>"－"</f>
        <v>－</v>
      </c>
      <c r="L1240" s="4" t="s">
        <v>675</v>
      </c>
      <c r="M1240" s="22" t="n">
        <f>8683</f>
        <v>8683.0</v>
      </c>
      <c r="N1240" s="5" t="s">
        <v>442</v>
      </c>
      <c r="O1240" s="23" t="n">
        <f>112</f>
        <v>112.0</v>
      </c>
      <c r="P1240" s="3" t="s">
        <v>2248</v>
      </c>
      <c r="Q1240" s="21"/>
      <c r="R1240" s="3" t="s">
        <v>247</v>
      </c>
      <c r="S1240" s="21" t="n">
        <f>501220714</f>
        <v>5.01220714E8</v>
      </c>
      <c r="T1240" s="21" t="str">
        <f>"－"</f>
        <v>－</v>
      </c>
      <c r="U1240" s="5" t="s">
        <v>675</v>
      </c>
      <c r="V1240" s="23" t="n">
        <f>6456950000</f>
        <v>6.45695E9</v>
      </c>
      <c r="W1240" s="5" t="s">
        <v>442</v>
      </c>
      <c r="X1240" s="23" t="n">
        <f>24720000</f>
        <v>2.472E7</v>
      </c>
      <c r="Y1240" s="23" t="n">
        <f>20001</f>
        <v>20001.0</v>
      </c>
      <c r="Z1240" s="21" t="str">
        <f>"－"</f>
        <v>－</v>
      </c>
      <c r="AA1240" s="21" t="n">
        <f>9760</f>
        <v>9760.0</v>
      </c>
      <c r="AB1240" s="4" t="s">
        <v>972</v>
      </c>
      <c r="AC1240" s="22" t="n">
        <f>19912</f>
        <v>19912.0</v>
      </c>
      <c r="AD1240" s="5" t="s">
        <v>442</v>
      </c>
      <c r="AE1240" s="23" t="n">
        <f>1317</f>
        <v>1317.0</v>
      </c>
    </row>
    <row r="1241">
      <c r="A1241" s="24" t="s">
        <v>2164</v>
      </c>
      <c r="B1241" s="25" t="s">
        <v>2165</v>
      </c>
      <c r="C1241" s="26" t="s">
        <v>1752</v>
      </c>
      <c r="D1241" s="27" t="s">
        <v>1753</v>
      </c>
      <c r="E1241" s="28" t="s">
        <v>361</v>
      </c>
      <c r="F1241" s="20" t="n">
        <f>126</f>
        <v>126.0</v>
      </c>
      <c r="G1241" s="21" t="n">
        <f>548827</f>
        <v>548827.0</v>
      </c>
      <c r="H1241" s="21"/>
      <c r="I1241" s="21" t="str">
        <f>"－"</f>
        <v>－</v>
      </c>
      <c r="J1241" s="21" t="n">
        <f>4356</f>
        <v>4356.0</v>
      </c>
      <c r="K1241" s="21" t="str">
        <f>"－"</f>
        <v>－</v>
      </c>
      <c r="L1241" s="4" t="s">
        <v>675</v>
      </c>
      <c r="M1241" s="22" t="n">
        <f>19863</f>
        <v>19863.0</v>
      </c>
      <c r="N1241" s="5" t="s">
        <v>442</v>
      </c>
      <c r="O1241" s="23" t="n">
        <f>876</f>
        <v>876.0</v>
      </c>
      <c r="P1241" s="3" t="s">
        <v>2249</v>
      </c>
      <c r="Q1241" s="21"/>
      <c r="R1241" s="3" t="s">
        <v>247</v>
      </c>
      <c r="S1241" s="21" t="n">
        <f>1583898889</f>
        <v>1.583898889E9</v>
      </c>
      <c r="T1241" s="21" t="str">
        <f>"－"</f>
        <v>－</v>
      </c>
      <c r="U1241" s="5" t="s">
        <v>1614</v>
      </c>
      <c r="V1241" s="23" t="n">
        <f>17466200000</f>
        <v>1.74662E10</v>
      </c>
      <c r="W1241" s="5" t="s">
        <v>216</v>
      </c>
      <c r="X1241" s="23" t="n">
        <f>148450000</f>
        <v>1.4845E8</v>
      </c>
      <c r="Y1241" s="23" t="n">
        <f>60770</f>
        <v>60770.0</v>
      </c>
      <c r="Z1241" s="21" t="str">
        <f>"－"</f>
        <v>－</v>
      </c>
      <c r="AA1241" s="21" t="n">
        <f>21073</f>
        <v>21073.0</v>
      </c>
      <c r="AB1241" s="4" t="s">
        <v>238</v>
      </c>
      <c r="AC1241" s="22" t="n">
        <f>52159</f>
        <v>52159.0</v>
      </c>
      <c r="AD1241" s="5" t="s">
        <v>442</v>
      </c>
      <c r="AE1241" s="23" t="n">
        <f>4931</f>
        <v>4931.0</v>
      </c>
    </row>
    <row r="1242">
      <c r="A1242" s="24" t="s">
        <v>2164</v>
      </c>
      <c r="B1242" s="25" t="s">
        <v>2165</v>
      </c>
      <c r="C1242" s="26" t="s">
        <v>1744</v>
      </c>
      <c r="D1242" s="27" t="s">
        <v>1745</v>
      </c>
      <c r="E1242" s="28" t="s">
        <v>365</v>
      </c>
      <c r="F1242" s="20" t="n">
        <f>122</f>
        <v>122.0</v>
      </c>
      <c r="G1242" s="21" t="n">
        <f>301345</f>
        <v>301345.0</v>
      </c>
      <c r="H1242" s="21"/>
      <c r="I1242" s="21" t="str">
        <f>"－"</f>
        <v>－</v>
      </c>
      <c r="J1242" s="21" t="n">
        <f>2470</f>
        <v>2470.0</v>
      </c>
      <c r="K1242" s="21" t="str">
        <f>"－"</f>
        <v>－</v>
      </c>
      <c r="L1242" s="4" t="s">
        <v>698</v>
      </c>
      <c r="M1242" s="22" t="n">
        <f>6170</f>
        <v>6170.0</v>
      </c>
      <c r="N1242" s="5" t="s">
        <v>323</v>
      </c>
      <c r="O1242" s="23" t="n">
        <f>275</f>
        <v>275.0</v>
      </c>
      <c r="P1242" s="3" t="s">
        <v>2250</v>
      </c>
      <c r="Q1242" s="21"/>
      <c r="R1242" s="3" t="s">
        <v>247</v>
      </c>
      <c r="S1242" s="21" t="n">
        <f>641556721</f>
        <v>6.41556721E8</v>
      </c>
      <c r="T1242" s="21" t="str">
        <f>"－"</f>
        <v>－</v>
      </c>
      <c r="U1242" s="5" t="s">
        <v>698</v>
      </c>
      <c r="V1242" s="23" t="n">
        <f>4550800000</f>
        <v>4.5508E9</v>
      </c>
      <c r="W1242" s="5" t="s">
        <v>323</v>
      </c>
      <c r="X1242" s="23" t="n">
        <f>94140000</f>
        <v>9.414E7</v>
      </c>
      <c r="Y1242" s="23" t="n">
        <f>10626</f>
        <v>10626.0</v>
      </c>
      <c r="Z1242" s="21" t="str">
        <f>"－"</f>
        <v>－</v>
      </c>
      <c r="AA1242" s="21" t="n">
        <f>19752</f>
        <v>19752.0</v>
      </c>
      <c r="AB1242" s="4" t="s">
        <v>1320</v>
      </c>
      <c r="AC1242" s="22" t="n">
        <f>39109</f>
        <v>39109.0</v>
      </c>
      <c r="AD1242" s="5" t="s">
        <v>279</v>
      </c>
      <c r="AE1242" s="23" t="n">
        <f>3670</f>
        <v>3670.0</v>
      </c>
    </row>
    <row r="1243">
      <c r="A1243" s="24" t="s">
        <v>2164</v>
      </c>
      <c r="B1243" s="25" t="s">
        <v>2165</v>
      </c>
      <c r="C1243" s="26" t="s">
        <v>1748</v>
      </c>
      <c r="D1243" s="27" t="s">
        <v>1749</v>
      </c>
      <c r="E1243" s="28" t="s">
        <v>365</v>
      </c>
      <c r="F1243" s="20" t="n">
        <f>122</f>
        <v>122.0</v>
      </c>
      <c r="G1243" s="21" t="n">
        <f>207601</f>
        <v>207601.0</v>
      </c>
      <c r="H1243" s="21"/>
      <c r="I1243" s="21" t="str">
        <f>"－"</f>
        <v>－</v>
      </c>
      <c r="J1243" s="21" t="n">
        <f>1702</f>
        <v>1702.0</v>
      </c>
      <c r="K1243" s="21" t="str">
        <f>"－"</f>
        <v>－</v>
      </c>
      <c r="L1243" s="4" t="s">
        <v>300</v>
      </c>
      <c r="M1243" s="22" t="n">
        <f>5707</f>
        <v>5707.0</v>
      </c>
      <c r="N1243" s="5" t="s">
        <v>323</v>
      </c>
      <c r="O1243" s="23" t="n">
        <f>116</f>
        <v>116.0</v>
      </c>
      <c r="P1243" s="3" t="s">
        <v>2251</v>
      </c>
      <c r="Q1243" s="21"/>
      <c r="R1243" s="3" t="s">
        <v>247</v>
      </c>
      <c r="S1243" s="21" t="n">
        <f>476097131</f>
        <v>4.76097131E8</v>
      </c>
      <c r="T1243" s="21" t="str">
        <f>"－"</f>
        <v>－</v>
      </c>
      <c r="U1243" s="5" t="s">
        <v>1320</v>
      </c>
      <c r="V1243" s="23" t="n">
        <f>3240500000</f>
        <v>3.2405E9</v>
      </c>
      <c r="W1243" s="5" t="s">
        <v>323</v>
      </c>
      <c r="X1243" s="23" t="n">
        <f>24420000</f>
        <v>2.442E7</v>
      </c>
      <c r="Y1243" s="23" t="n">
        <f>19433</f>
        <v>19433.0</v>
      </c>
      <c r="Z1243" s="21" t="str">
        <f>"－"</f>
        <v>－</v>
      </c>
      <c r="AA1243" s="21" t="n">
        <f>19567</f>
        <v>19567.0</v>
      </c>
      <c r="AB1243" s="4" t="s">
        <v>330</v>
      </c>
      <c r="AC1243" s="22" t="n">
        <f>19567</f>
        <v>19567.0</v>
      </c>
      <c r="AD1243" s="5" t="s">
        <v>279</v>
      </c>
      <c r="AE1243" s="23" t="n">
        <f>1832</f>
        <v>1832.0</v>
      </c>
    </row>
    <row r="1244">
      <c r="A1244" s="24" t="s">
        <v>2164</v>
      </c>
      <c r="B1244" s="25" t="s">
        <v>2165</v>
      </c>
      <c r="C1244" s="26" t="s">
        <v>1752</v>
      </c>
      <c r="D1244" s="27" t="s">
        <v>1753</v>
      </c>
      <c r="E1244" s="28" t="s">
        <v>365</v>
      </c>
      <c r="F1244" s="20" t="n">
        <f>122</f>
        <v>122.0</v>
      </c>
      <c r="G1244" s="21" t="n">
        <f>508946</f>
        <v>508946.0</v>
      </c>
      <c r="H1244" s="21"/>
      <c r="I1244" s="21" t="str">
        <f>"－"</f>
        <v>－</v>
      </c>
      <c r="J1244" s="21" t="n">
        <f>4172</f>
        <v>4172.0</v>
      </c>
      <c r="K1244" s="21" t="str">
        <f>"－"</f>
        <v>－</v>
      </c>
      <c r="L1244" s="4" t="s">
        <v>300</v>
      </c>
      <c r="M1244" s="22" t="n">
        <f>9491</f>
        <v>9491.0</v>
      </c>
      <c r="N1244" s="5" t="s">
        <v>323</v>
      </c>
      <c r="O1244" s="23" t="n">
        <f>391</f>
        <v>391.0</v>
      </c>
      <c r="P1244" s="3" t="s">
        <v>2252</v>
      </c>
      <c r="Q1244" s="21"/>
      <c r="R1244" s="3" t="s">
        <v>247</v>
      </c>
      <c r="S1244" s="21" t="n">
        <f>1117653852</f>
        <v>1.117653852E9</v>
      </c>
      <c r="T1244" s="21" t="str">
        <f>"－"</f>
        <v>－</v>
      </c>
      <c r="U1244" s="5" t="s">
        <v>698</v>
      </c>
      <c r="V1244" s="23" t="n">
        <f>5328220000</f>
        <v>5.32822E9</v>
      </c>
      <c r="W1244" s="5" t="s">
        <v>323</v>
      </c>
      <c r="X1244" s="23" t="n">
        <f>118560000</f>
        <v>1.1856E8</v>
      </c>
      <c r="Y1244" s="23" t="n">
        <f>30059</f>
        <v>30059.0</v>
      </c>
      <c r="Z1244" s="21" t="str">
        <f>"－"</f>
        <v>－</v>
      </c>
      <c r="AA1244" s="21" t="n">
        <f>39319</f>
        <v>39319.0</v>
      </c>
      <c r="AB1244" s="4" t="s">
        <v>921</v>
      </c>
      <c r="AC1244" s="22" t="n">
        <f>55219</f>
        <v>55219.0</v>
      </c>
      <c r="AD1244" s="5" t="s">
        <v>279</v>
      </c>
      <c r="AE1244" s="23" t="n">
        <f>5502</f>
        <v>5502.0</v>
      </c>
    </row>
    <row r="1245">
      <c r="A1245" s="24" t="s">
        <v>2164</v>
      </c>
      <c r="B1245" s="25" t="s">
        <v>2165</v>
      </c>
      <c r="C1245" s="26" t="s">
        <v>1744</v>
      </c>
      <c r="D1245" s="27" t="s">
        <v>1745</v>
      </c>
      <c r="E1245" s="28" t="s">
        <v>368</v>
      </c>
      <c r="F1245" s="20" t="n">
        <f>124</f>
        <v>124.0</v>
      </c>
      <c r="G1245" s="21" t="n">
        <f>365797</f>
        <v>365797.0</v>
      </c>
      <c r="H1245" s="21"/>
      <c r="I1245" s="21" t="str">
        <f>"－"</f>
        <v>－</v>
      </c>
      <c r="J1245" s="21" t="n">
        <f>2950</f>
        <v>2950.0</v>
      </c>
      <c r="K1245" s="21" t="str">
        <f>"－"</f>
        <v>－</v>
      </c>
      <c r="L1245" s="4" t="s">
        <v>62</v>
      </c>
      <c r="M1245" s="22" t="n">
        <f>8317</f>
        <v>8317.0</v>
      </c>
      <c r="N1245" s="5" t="s">
        <v>859</v>
      </c>
      <c r="O1245" s="23" t="n">
        <f>739</f>
        <v>739.0</v>
      </c>
      <c r="P1245" s="3" t="s">
        <v>2253</v>
      </c>
      <c r="Q1245" s="21"/>
      <c r="R1245" s="3" t="s">
        <v>247</v>
      </c>
      <c r="S1245" s="21" t="n">
        <f>939449919</f>
        <v>9.39449919E8</v>
      </c>
      <c r="T1245" s="21" t="str">
        <f>"－"</f>
        <v>－</v>
      </c>
      <c r="U1245" s="5" t="s">
        <v>62</v>
      </c>
      <c r="V1245" s="23" t="n">
        <f>4799440000</f>
        <v>4.79944E9</v>
      </c>
      <c r="W1245" s="5" t="s">
        <v>163</v>
      </c>
      <c r="X1245" s="23" t="n">
        <f>141490000</f>
        <v>1.4149E8</v>
      </c>
      <c r="Y1245" s="23" t="n">
        <f>14812</f>
        <v>14812.0</v>
      </c>
      <c r="Z1245" s="21" t="str">
        <f>"－"</f>
        <v>－</v>
      </c>
      <c r="AA1245" s="21" t="n">
        <f>35933</f>
        <v>35933.0</v>
      </c>
      <c r="AB1245" s="4" t="s">
        <v>289</v>
      </c>
      <c r="AC1245" s="22" t="n">
        <f>41931</f>
        <v>41931.0</v>
      </c>
      <c r="AD1245" s="5" t="s">
        <v>230</v>
      </c>
      <c r="AE1245" s="23" t="n">
        <f>8805</f>
        <v>8805.0</v>
      </c>
    </row>
    <row r="1246">
      <c r="A1246" s="24" t="s">
        <v>2164</v>
      </c>
      <c r="B1246" s="25" t="s">
        <v>2165</v>
      </c>
      <c r="C1246" s="26" t="s">
        <v>1748</v>
      </c>
      <c r="D1246" s="27" t="s">
        <v>1749</v>
      </c>
      <c r="E1246" s="28" t="s">
        <v>368</v>
      </c>
      <c r="F1246" s="20" t="n">
        <f>124</f>
        <v>124.0</v>
      </c>
      <c r="G1246" s="21" t="n">
        <f>282545</f>
        <v>282545.0</v>
      </c>
      <c r="H1246" s="21"/>
      <c r="I1246" s="21" t="str">
        <f>"－"</f>
        <v>－</v>
      </c>
      <c r="J1246" s="21" t="n">
        <f>2279</f>
        <v>2279.0</v>
      </c>
      <c r="K1246" s="21" t="str">
        <f>"－"</f>
        <v>－</v>
      </c>
      <c r="L1246" s="4" t="s">
        <v>143</v>
      </c>
      <c r="M1246" s="22" t="n">
        <f>6102</f>
        <v>6102.0</v>
      </c>
      <c r="N1246" s="5" t="s">
        <v>659</v>
      </c>
      <c r="O1246" s="23" t="n">
        <f>508</f>
        <v>508.0</v>
      </c>
      <c r="P1246" s="3" t="s">
        <v>2254</v>
      </c>
      <c r="Q1246" s="21"/>
      <c r="R1246" s="3" t="s">
        <v>247</v>
      </c>
      <c r="S1246" s="21" t="n">
        <f>623001048</f>
        <v>6.23001048E8</v>
      </c>
      <c r="T1246" s="21" t="str">
        <f>"－"</f>
        <v>－</v>
      </c>
      <c r="U1246" s="5" t="s">
        <v>289</v>
      </c>
      <c r="V1246" s="23" t="n">
        <f>2120890000</f>
        <v>2.12089E9</v>
      </c>
      <c r="W1246" s="5" t="s">
        <v>1080</v>
      </c>
      <c r="X1246" s="23" t="n">
        <f>101640000</f>
        <v>1.0164E8</v>
      </c>
      <c r="Y1246" s="23" t="n">
        <f>25575</f>
        <v>25575.0</v>
      </c>
      <c r="Z1246" s="21" t="str">
        <f>"－"</f>
        <v>－</v>
      </c>
      <c r="AA1246" s="21" t="n">
        <f>10887</f>
        <v>10887.0</v>
      </c>
      <c r="AB1246" s="4" t="s">
        <v>343</v>
      </c>
      <c r="AC1246" s="22" t="n">
        <f>29712</f>
        <v>29712.0</v>
      </c>
      <c r="AD1246" s="5" t="s">
        <v>442</v>
      </c>
      <c r="AE1246" s="23" t="n">
        <f>4189</f>
        <v>4189.0</v>
      </c>
    </row>
    <row r="1247">
      <c r="A1247" s="24" t="s">
        <v>2164</v>
      </c>
      <c r="B1247" s="25" t="s">
        <v>2165</v>
      </c>
      <c r="C1247" s="26" t="s">
        <v>1752</v>
      </c>
      <c r="D1247" s="27" t="s">
        <v>1753</v>
      </c>
      <c r="E1247" s="28" t="s">
        <v>368</v>
      </c>
      <c r="F1247" s="20" t="n">
        <f>124</f>
        <v>124.0</v>
      </c>
      <c r="G1247" s="21" t="n">
        <f>648342</f>
        <v>648342.0</v>
      </c>
      <c r="H1247" s="21"/>
      <c r="I1247" s="21" t="str">
        <f>"－"</f>
        <v>－</v>
      </c>
      <c r="J1247" s="21" t="n">
        <f>5229</f>
        <v>5229.0</v>
      </c>
      <c r="K1247" s="21" t="str">
        <f>"－"</f>
        <v>－</v>
      </c>
      <c r="L1247" s="4" t="s">
        <v>62</v>
      </c>
      <c r="M1247" s="22" t="n">
        <f>12138</f>
        <v>12138.0</v>
      </c>
      <c r="N1247" s="5" t="s">
        <v>859</v>
      </c>
      <c r="O1247" s="23" t="n">
        <f>1660</f>
        <v>1660.0</v>
      </c>
      <c r="P1247" s="3" t="s">
        <v>2255</v>
      </c>
      <c r="Q1247" s="21"/>
      <c r="R1247" s="3" t="s">
        <v>247</v>
      </c>
      <c r="S1247" s="21" t="n">
        <f>1562450968</f>
        <v>1.562450968E9</v>
      </c>
      <c r="T1247" s="21" t="str">
        <f>"－"</f>
        <v>－</v>
      </c>
      <c r="U1247" s="5" t="s">
        <v>62</v>
      </c>
      <c r="V1247" s="23" t="n">
        <f>5874190000</f>
        <v>5.87419E9</v>
      </c>
      <c r="W1247" s="5" t="s">
        <v>1080</v>
      </c>
      <c r="X1247" s="23" t="n">
        <f>279290000</f>
        <v>2.7929E8</v>
      </c>
      <c r="Y1247" s="23" t="n">
        <f>40387</f>
        <v>40387.0</v>
      </c>
      <c r="Z1247" s="21" t="str">
        <f>"－"</f>
        <v>－</v>
      </c>
      <c r="AA1247" s="21" t="n">
        <f>46820</f>
        <v>46820.0</v>
      </c>
      <c r="AB1247" s="4" t="s">
        <v>343</v>
      </c>
      <c r="AC1247" s="22" t="n">
        <f>68705</f>
        <v>68705.0</v>
      </c>
      <c r="AD1247" s="5" t="s">
        <v>230</v>
      </c>
      <c r="AE1247" s="23" t="n">
        <f>15459</f>
        <v>15459.0</v>
      </c>
    </row>
    <row r="1248">
      <c r="A1248" s="24" t="s">
        <v>2164</v>
      </c>
      <c r="B1248" s="25" t="s">
        <v>2165</v>
      </c>
      <c r="C1248" s="26" t="s">
        <v>1744</v>
      </c>
      <c r="D1248" s="27" t="s">
        <v>1745</v>
      </c>
      <c r="E1248" s="28" t="s">
        <v>371</v>
      </c>
      <c r="F1248" s="20" t="n">
        <f>121</f>
        <v>121.0</v>
      </c>
      <c r="G1248" s="21" t="n">
        <f>434071</f>
        <v>434071.0</v>
      </c>
      <c r="H1248" s="21"/>
      <c r="I1248" s="21" t="str">
        <f>"－"</f>
        <v>－</v>
      </c>
      <c r="J1248" s="21" t="n">
        <f>3587</f>
        <v>3587.0</v>
      </c>
      <c r="K1248" s="21" t="str">
        <f>"－"</f>
        <v>－</v>
      </c>
      <c r="L1248" s="4" t="s">
        <v>379</v>
      </c>
      <c r="M1248" s="22" t="n">
        <f>18316</f>
        <v>18316.0</v>
      </c>
      <c r="N1248" s="5" t="s">
        <v>93</v>
      </c>
      <c r="O1248" s="23" t="n">
        <f>1049</f>
        <v>1049.0</v>
      </c>
      <c r="P1248" s="3" t="s">
        <v>2256</v>
      </c>
      <c r="Q1248" s="21"/>
      <c r="R1248" s="3" t="s">
        <v>247</v>
      </c>
      <c r="S1248" s="21" t="n">
        <f>664004132</f>
        <v>6.64004132E8</v>
      </c>
      <c r="T1248" s="21" t="str">
        <f>"－"</f>
        <v>－</v>
      </c>
      <c r="U1248" s="5" t="s">
        <v>511</v>
      </c>
      <c r="V1248" s="23" t="n">
        <f>2444230000</f>
        <v>2.44423E9</v>
      </c>
      <c r="W1248" s="5" t="s">
        <v>466</v>
      </c>
      <c r="X1248" s="23" t="n">
        <f>125330000</f>
        <v>1.2533E8</v>
      </c>
      <c r="Y1248" s="23" t="n">
        <f>10519</f>
        <v>10519.0</v>
      </c>
      <c r="Z1248" s="21" t="str">
        <f>"－"</f>
        <v>－</v>
      </c>
      <c r="AA1248" s="21" t="n">
        <f>78706</f>
        <v>78706.0</v>
      </c>
      <c r="AB1248" s="4" t="s">
        <v>330</v>
      </c>
      <c r="AC1248" s="22" t="n">
        <f>78706</f>
        <v>78706.0</v>
      </c>
      <c r="AD1248" s="5" t="s">
        <v>872</v>
      </c>
      <c r="AE1248" s="23" t="n">
        <f>7382</f>
        <v>7382.0</v>
      </c>
    </row>
    <row r="1249">
      <c r="A1249" s="24" t="s">
        <v>2164</v>
      </c>
      <c r="B1249" s="25" t="s">
        <v>2165</v>
      </c>
      <c r="C1249" s="26" t="s">
        <v>1748</v>
      </c>
      <c r="D1249" s="27" t="s">
        <v>1749</v>
      </c>
      <c r="E1249" s="28" t="s">
        <v>371</v>
      </c>
      <c r="F1249" s="20" t="n">
        <f>121</f>
        <v>121.0</v>
      </c>
      <c r="G1249" s="21" t="n">
        <f>278915</f>
        <v>278915.0</v>
      </c>
      <c r="H1249" s="21"/>
      <c r="I1249" s="21" t="str">
        <f>"－"</f>
        <v>－</v>
      </c>
      <c r="J1249" s="21" t="n">
        <f>2305</f>
        <v>2305.0</v>
      </c>
      <c r="K1249" s="21" t="str">
        <f>"－"</f>
        <v>－</v>
      </c>
      <c r="L1249" s="4" t="s">
        <v>330</v>
      </c>
      <c r="M1249" s="22" t="n">
        <f>6401</f>
        <v>6401.0</v>
      </c>
      <c r="N1249" s="5" t="s">
        <v>202</v>
      </c>
      <c r="O1249" s="23" t="n">
        <f>960</f>
        <v>960.0</v>
      </c>
      <c r="P1249" s="3" t="s">
        <v>2257</v>
      </c>
      <c r="Q1249" s="21"/>
      <c r="R1249" s="3" t="s">
        <v>247</v>
      </c>
      <c r="S1249" s="21" t="n">
        <f>518244876</f>
        <v>5.18244876E8</v>
      </c>
      <c r="T1249" s="21" t="str">
        <f>"－"</f>
        <v>－</v>
      </c>
      <c r="U1249" s="5" t="s">
        <v>330</v>
      </c>
      <c r="V1249" s="23" t="n">
        <f>2647830000</f>
        <v>2.64783E9</v>
      </c>
      <c r="W1249" s="5" t="s">
        <v>134</v>
      </c>
      <c r="X1249" s="23" t="n">
        <f>152460000</f>
        <v>1.5246E8</v>
      </c>
      <c r="Y1249" s="23" t="n">
        <f>28043</f>
        <v>28043.0</v>
      </c>
      <c r="Z1249" s="21" t="str">
        <f>"－"</f>
        <v>－</v>
      </c>
      <c r="AA1249" s="21" t="n">
        <f>15538</f>
        <v>15538.0</v>
      </c>
      <c r="AB1249" s="4" t="s">
        <v>698</v>
      </c>
      <c r="AC1249" s="22" t="n">
        <f>24240</f>
        <v>24240.0</v>
      </c>
      <c r="AD1249" s="5" t="s">
        <v>872</v>
      </c>
      <c r="AE1249" s="23" t="n">
        <f>3538</f>
        <v>3538.0</v>
      </c>
    </row>
    <row r="1250">
      <c r="A1250" s="24" t="s">
        <v>2164</v>
      </c>
      <c r="B1250" s="25" t="s">
        <v>2165</v>
      </c>
      <c r="C1250" s="26" t="s">
        <v>1752</v>
      </c>
      <c r="D1250" s="27" t="s">
        <v>1753</v>
      </c>
      <c r="E1250" s="28" t="s">
        <v>371</v>
      </c>
      <c r="F1250" s="20" t="n">
        <f>121</f>
        <v>121.0</v>
      </c>
      <c r="G1250" s="21" t="n">
        <f>712986</f>
        <v>712986.0</v>
      </c>
      <c r="H1250" s="21"/>
      <c r="I1250" s="21" t="str">
        <f>"－"</f>
        <v>－</v>
      </c>
      <c r="J1250" s="21" t="n">
        <f>5892</f>
        <v>5892.0</v>
      </c>
      <c r="K1250" s="21" t="str">
        <f>"－"</f>
        <v>－</v>
      </c>
      <c r="L1250" s="4" t="s">
        <v>379</v>
      </c>
      <c r="M1250" s="22" t="n">
        <f>22258</f>
        <v>22258.0</v>
      </c>
      <c r="N1250" s="5" t="s">
        <v>93</v>
      </c>
      <c r="O1250" s="23" t="n">
        <f>2168</f>
        <v>2168.0</v>
      </c>
      <c r="P1250" s="3" t="s">
        <v>2258</v>
      </c>
      <c r="Q1250" s="21"/>
      <c r="R1250" s="3" t="s">
        <v>247</v>
      </c>
      <c r="S1250" s="21" t="n">
        <f>1182249008</f>
        <v>1.182249008E9</v>
      </c>
      <c r="T1250" s="21" t="str">
        <f>"－"</f>
        <v>－</v>
      </c>
      <c r="U1250" s="5" t="s">
        <v>511</v>
      </c>
      <c r="V1250" s="23" t="n">
        <f>3954250000</f>
        <v>3.95425E9</v>
      </c>
      <c r="W1250" s="5" t="s">
        <v>93</v>
      </c>
      <c r="X1250" s="23" t="n">
        <f>354050000</f>
        <v>3.5405E8</v>
      </c>
      <c r="Y1250" s="23" t="n">
        <f>38562</f>
        <v>38562.0</v>
      </c>
      <c r="Z1250" s="21" t="str">
        <f>"－"</f>
        <v>－</v>
      </c>
      <c r="AA1250" s="21" t="n">
        <f>94244</f>
        <v>94244.0</v>
      </c>
      <c r="AB1250" s="4" t="s">
        <v>698</v>
      </c>
      <c r="AC1250" s="22" t="n">
        <f>97507</f>
        <v>97507.0</v>
      </c>
      <c r="AD1250" s="5" t="s">
        <v>872</v>
      </c>
      <c r="AE1250" s="23" t="n">
        <f>10920</f>
        <v>10920.0</v>
      </c>
    </row>
    <row r="1251">
      <c r="A1251" s="24" t="s">
        <v>2164</v>
      </c>
      <c r="B1251" s="25" t="s">
        <v>2165</v>
      </c>
      <c r="C1251" s="26" t="s">
        <v>1744</v>
      </c>
      <c r="D1251" s="27" t="s">
        <v>1745</v>
      </c>
      <c r="E1251" s="28" t="s">
        <v>375</v>
      </c>
      <c r="F1251" s="20" t="n">
        <f>124</f>
        <v>124.0</v>
      </c>
      <c r="G1251" s="21" t="n">
        <f>537413</f>
        <v>537413.0</v>
      </c>
      <c r="H1251" s="21"/>
      <c r="I1251" s="21" t="str">
        <f>"－"</f>
        <v>－</v>
      </c>
      <c r="J1251" s="21" t="n">
        <f>4334</f>
        <v>4334.0</v>
      </c>
      <c r="K1251" s="21" t="str">
        <f>"－"</f>
        <v>－</v>
      </c>
      <c r="L1251" s="4" t="s">
        <v>1013</v>
      </c>
      <c r="M1251" s="22" t="n">
        <f>10536</f>
        <v>10536.0</v>
      </c>
      <c r="N1251" s="5" t="s">
        <v>88</v>
      </c>
      <c r="O1251" s="23" t="n">
        <f>1101</f>
        <v>1101.0</v>
      </c>
      <c r="P1251" s="3" t="s">
        <v>2259</v>
      </c>
      <c r="Q1251" s="21"/>
      <c r="R1251" s="3" t="s">
        <v>247</v>
      </c>
      <c r="S1251" s="21" t="n">
        <f>861386210</f>
        <v>8.6138621E8</v>
      </c>
      <c r="T1251" s="21" t="str">
        <f>"－"</f>
        <v>－</v>
      </c>
      <c r="U1251" s="5" t="s">
        <v>1013</v>
      </c>
      <c r="V1251" s="23" t="n">
        <f>3475770000</f>
        <v>3.47577E9</v>
      </c>
      <c r="W1251" s="5" t="s">
        <v>88</v>
      </c>
      <c r="X1251" s="23" t="n">
        <f>143050000</f>
        <v>1.4305E8</v>
      </c>
      <c r="Y1251" s="23" t="n">
        <f>21234</f>
        <v>21234.0</v>
      </c>
      <c r="Z1251" s="21" t="str">
        <f>"－"</f>
        <v>－</v>
      </c>
      <c r="AA1251" s="21" t="n">
        <f>16339</f>
        <v>16339.0</v>
      </c>
      <c r="AB1251" s="4" t="s">
        <v>364</v>
      </c>
      <c r="AC1251" s="22" t="n">
        <f>86206</f>
        <v>86206.0</v>
      </c>
      <c r="AD1251" s="5" t="s">
        <v>442</v>
      </c>
      <c r="AE1251" s="23" t="n">
        <f>9864</f>
        <v>9864.0</v>
      </c>
    </row>
    <row r="1252">
      <c r="A1252" s="24" t="s">
        <v>2164</v>
      </c>
      <c r="B1252" s="25" t="s">
        <v>2165</v>
      </c>
      <c r="C1252" s="26" t="s">
        <v>1748</v>
      </c>
      <c r="D1252" s="27" t="s">
        <v>1749</v>
      </c>
      <c r="E1252" s="28" t="s">
        <v>375</v>
      </c>
      <c r="F1252" s="20" t="n">
        <f>124</f>
        <v>124.0</v>
      </c>
      <c r="G1252" s="21" t="n">
        <f>325898</f>
        <v>325898.0</v>
      </c>
      <c r="H1252" s="21"/>
      <c r="I1252" s="21" t="str">
        <f>"－"</f>
        <v>－</v>
      </c>
      <c r="J1252" s="21" t="n">
        <f>2628</f>
        <v>2628.0</v>
      </c>
      <c r="K1252" s="21" t="str">
        <f>"－"</f>
        <v>－</v>
      </c>
      <c r="L1252" s="4" t="s">
        <v>1614</v>
      </c>
      <c r="M1252" s="22" t="n">
        <f>7331</f>
        <v>7331.0</v>
      </c>
      <c r="N1252" s="5" t="s">
        <v>96</v>
      </c>
      <c r="O1252" s="23" t="n">
        <f>604</f>
        <v>604.0</v>
      </c>
      <c r="P1252" s="3" t="s">
        <v>2260</v>
      </c>
      <c r="Q1252" s="21"/>
      <c r="R1252" s="3" t="s">
        <v>247</v>
      </c>
      <c r="S1252" s="21" t="n">
        <f>554764274</f>
        <v>5.54764274E8</v>
      </c>
      <c r="T1252" s="21" t="str">
        <f>"－"</f>
        <v>－</v>
      </c>
      <c r="U1252" s="5" t="s">
        <v>1148</v>
      </c>
      <c r="V1252" s="23" t="n">
        <f>4433470000</f>
        <v>4.43347E9</v>
      </c>
      <c r="W1252" s="5" t="s">
        <v>750</v>
      </c>
      <c r="X1252" s="23" t="n">
        <f>101710000</f>
        <v>1.0171E8</v>
      </c>
      <c r="Y1252" s="23" t="n">
        <f>37164</f>
        <v>37164.0</v>
      </c>
      <c r="Z1252" s="21" t="str">
        <f>"－"</f>
        <v>－</v>
      </c>
      <c r="AA1252" s="21" t="n">
        <f>18066</f>
        <v>18066.0</v>
      </c>
      <c r="AB1252" s="4" t="s">
        <v>72</v>
      </c>
      <c r="AC1252" s="22" t="n">
        <f>30464</f>
        <v>30464.0</v>
      </c>
      <c r="AD1252" s="5" t="s">
        <v>442</v>
      </c>
      <c r="AE1252" s="23" t="n">
        <f>3974</f>
        <v>3974.0</v>
      </c>
    </row>
    <row r="1253">
      <c r="A1253" s="24" t="s">
        <v>2164</v>
      </c>
      <c r="B1253" s="25" t="s">
        <v>2165</v>
      </c>
      <c r="C1253" s="26" t="s">
        <v>1752</v>
      </c>
      <c r="D1253" s="27" t="s">
        <v>1753</v>
      </c>
      <c r="E1253" s="28" t="s">
        <v>375</v>
      </c>
      <c r="F1253" s="20" t="n">
        <f>124</f>
        <v>124.0</v>
      </c>
      <c r="G1253" s="21" t="n">
        <f>863311</f>
        <v>863311.0</v>
      </c>
      <c r="H1253" s="21"/>
      <c r="I1253" s="21" t="str">
        <f>"－"</f>
        <v>－</v>
      </c>
      <c r="J1253" s="21" t="n">
        <f>6962</f>
        <v>6962.0</v>
      </c>
      <c r="K1253" s="21" t="str">
        <f>"－"</f>
        <v>－</v>
      </c>
      <c r="L1253" s="4" t="s">
        <v>972</v>
      </c>
      <c r="M1253" s="22" t="n">
        <f>15057</f>
        <v>15057.0</v>
      </c>
      <c r="N1253" s="5" t="s">
        <v>88</v>
      </c>
      <c r="O1253" s="23" t="n">
        <f>1987</f>
        <v>1987.0</v>
      </c>
      <c r="P1253" s="3" t="s">
        <v>2261</v>
      </c>
      <c r="Q1253" s="21"/>
      <c r="R1253" s="3" t="s">
        <v>247</v>
      </c>
      <c r="S1253" s="21" t="n">
        <f>1416150484</f>
        <v>1.416150484E9</v>
      </c>
      <c r="T1253" s="21" t="str">
        <f>"－"</f>
        <v>－</v>
      </c>
      <c r="U1253" s="5" t="s">
        <v>1148</v>
      </c>
      <c r="V1253" s="23" t="n">
        <f>5216940000</f>
        <v>5.21694E9</v>
      </c>
      <c r="W1253" s="5" t="s">
        <v>88</v>
      </c>
      <c r="X1253" s="23" t="n">
        <f>307780000</f>
        <v>3.0778E8</v>
      </c>
      <c r="Y1253" s="23" t="n">
        <f>58398</f>
        <v>58398.0</v>
      </c>
      <c r="Z1253" s="21" t="str">
        <f>"－"</f>
        <v>－</v>
      </c>
      <c r="AA1253" s="21" t="n">
        <f>34405</f>
        <v>34405.0</v>
      </c>
      <c r="AB1253" s="4" t="s">
        <v>1913</v>
      </c>
      <c r="AC1253" s="22" t="n">
        <f>107310</f>
        <v>107310.0</v>
      </c>
      <c r="AD1253" s="5" t="s">
        <v>442</v>
      </c>
      <c r="AE1253" s="23" t="n">
        <f>13838</f>
        <v>13838.0</v>
      </c>
    </row>
    <row r="1254">
      <c r="A1254" s="24" t="s">
        <v>2164</v>
      </c>
      <c r="B1254" s="25" t="s">
        <v>2165</v>
      </c>
      <c r="C1254" s="26" t="s">
        <v>1744</v>
      </c>
      <c r="D1254" s="27" t="s">
        <v>1745</v>
      </c>
      <c r="E1254" s="28" t="s">
        <v>378</v>
      </c>
      <c r="F1254" s="20" t="n">
        <f>122</f>
        <v>122.0</v>
      </c>
      <c r="G1254" s="21" t="n">
        <f>585787</f>
        <v>585787.0</v>
      </c>
      <c r="H1254" s="21"/>
      <c r="I1254" s="21" t="str">
        <f>"－"</f>
        <v>－</v>
      </c>
      <c r="J1254" s="21" t="n">
        <f>4802</f>
        <v>4802.0</v>
      </c>
      <c r="K1254" s="21" t="str">
        <f>"－"</f>
        <v>－</v>
      </c>
      <c r="L1254" s="4" t="s">
        <v>2074</v>
      </c>
      <c r="M1254" s="22" t="n">
        <f>21716</f>
        <v>21716.0</v>
      </c>
      <c r="N1254" s="5" t="s">
        <v>1256</v>
      </c>
      <c r="O1254" s="23" t="n">
        <f>969</f>
        <v>969.0</v>
      </c>
      <c r="P1254" s="3" t="s">
        <v>2262</v>
      </c>
      <c r="Q1254" s="21"/>
      <c r="R1254" s="3" t="s">
        <v>247</v>
      </c>
      <c r="S1254" s="21" t="n">
        <f>1325407951</f>
        <v>1.325407951E9</v>
      </c>
      <c r="T1254" s="21" t="str">
        <f>"－"</f>
        <v>－</v>
      </c>
      <c r="U1254" s="5" t="s">
        <v>1320</v>
      </c>
      <c r="V1254" s="23" t="n">
        <f>6821230000</f>
        <v>6.82123E9</v>
      </c>
      <c r="W1254" s="5" t="s">
        <v>160</v>
      </c>
      <c r="X1254" s="23" t="n">
        <f>230740000</f>
        <v>2.3074E8</v>
      </c>
      <c r="Y1254" s="23" t="n">
        <f>31042</f>
        <v>31042.0</v>
      </c>
      <c r="Z1254" s="21" t="str">
        <f>"－"</f>
        <v>－</v>
      </c>
      <c r="AA1254" s="21" t="n">
        <f>37576</f>
        <v>37576.0</v>
      </c>
      <c r="AB1254" s="4" t="s">
        <v>1320</v>
      </c>
      <c r="AC1254" s="22" t="n">
        <f>55295</f>
        <v>55295.0</v>
      </c>
      <c r="AD1254" s="5" t="s">
        <v>872</v>
      </c>
      <c r="AE1254" s="23" t="n">
        <f>12591</f>
        <v>12591.0</v>
      </c>
    </row>
    <row r="1255">
      <c r="A1255" s="24" t="s">
        <v>2164</v>
      </c>
      <c r="B1255" s="25" t="s">
        <v>2165</v>
      </c>
      <c r="C1255" s="26" t="s">
        <v>1748</v>
      </c>
      <c r="D1255" s="27" t="s">
        <v>1749</v>
      </c>
      <c r="E1255" s="28" t="s">
        <v>378</v>
      </c>
      <c r="F1255" s="20" t="n">
        <f>122</f>
        <v>122.0</v>
      </c>
      <c r="G1255" s="21" t="n">
        <f>410357</f>
        <v>410357.0</v>
      </c>
      <c r="H1255" s="21"/>
      <c r="I1255" s="21" t="str">
        <f>"－"</f>
        <v>－</v>
      </c>
      <c r="J1255" s="21" t="n">
        <f>3364</f>
        <v>3364.0</v>
      </c>
      <c r="K1255" s="21" t="str">
        <f>"－"</f>
        <v>－</v>
      </c>
      <c r="L1255" s="4" t="s">
        <v>994</v>
      </c>
      <c r="M1255" s="22" t="n">
        <f>9609</f>
        <v>9609.0</v>
      </c>
      <c r="N1255" s="5" t="s">
        <v>160</v>
      </c>
      <c r="O1255" s="23" t="n">
        <f>691</f>
        <v>691.0</v>
      </c>
      <c r="P1255" s="3" t="s">
        <v>2263</v>
      </c>
      <c r="Q1255" s="21"/>
      <c r="R1255" s="3" t="s">
        <v>247</v>
      </c>
      <c r="S1255" s="21" t="n">
        <f>678131393</f>
        <v>6.78131393E8</v>
      </c>
      <c r="T1255" s="21" t="str">
        <f>"－"</f>
        <v>－</v>
      </c>
      <c r="U1255" s="5" t="s">
        <v>994</v>
      </c>
      <c r="V1255" s="23" t="n">
        <f>2922080000</f>
        <v>2.92208E9</v>
      </c>
      <c r="W1255" s="5" t="s">
        <v>160</v>
      </c>
      <c r="X1255" s="23" t="n">
        <f>139510000</f>
        <v>1.3951E8</v>
      </c>
      <c r="Y1255" s="23" t="n">
        <f>16383</f>
        <v>16383.0</v>
      </c>
      <c r="Z1255" s="21" t="str">
        <f>"－"</f>
        <v>－</v>
      </c>
      <c r="AA1255" s="21" t="n">
        <f>32221</f>
        <v>32221.0</v>
      </c>
      <c r="AB1255" s="4" t="s">
        <v>330</v>
      </c>
      <c r="AC1255" s="22" t="n">
        <f>32221</f>
        <v>32221.0</v>
      </c>
      <c r="AD1255" s="5" t="s">
        <v>872</v>
      </c>
      <c r="AE1255" s="23" t="n">
        <f>4072</f>
        <v>4072.0</v>
      </c>
    </row>
    <row r="1256">
      <c r="A1256" s="24" t="s">
        <v>2164</v>
      </c>
      <c r="B1256" s="25" t="s">
        <v>2165</v>
      </c>
      <c r="C1256" s="26" t="s">
        <v>1752</v>
      </c>
      <c r="D1256" s="27" t="s">
        <v>1753</v>
      </c>
      <c r="E1256" s="28" t="s">
        <v>378</v>
      </c>
      <c r="F1256" s="20" t="n">
        <f>122</f>
        <v>122.0</v>
      </c>
      <c r="G1256" s="21" t="n">
        <f>996144</f>
        <v>996144.0</v>
      </c>
      <c r="H1256" s="21"/>
      <c r="I1256" s="21" t="str">
        <f>"－"</f>
        <v>－</v>
      </c>
      <c r="J1256" s="21" t="n">
        <f>8165</f>
        <v>8165.0</v>
      </c>
      <c r="K1256" s="21" t="str">
        <f>"－"</f>
        <v>－</v>
      </c>
      <c r="L1256" s="4" t="s">
        <v>2074</v>
      </c>
      <c r="M1256" s="22" t="n">
        <f>25260</f>
        <v>25260.0</v>
      </c>
      <c r="N1256" s="5" t="s">
        <v>160</v>
      </c>
      <c r="O1256" s="23" t="n">
        <f>2201</f>
        <v>2201.0</v>
      </c>
      <c r="P1256" s="3" t="s">
        <v>2264</v>
      </c>
      <c r="Q1256" s="21"/>
      <c r="R1256" s="3" t="s">
        <v>247</v>
      </c>
      <c r="S1256" s="21" t="n">
        <f>2003539344</f>
        <v>2.003539344E9</v>
      </c>
      <c r="T1256" s="21" t="str">
        <f>"－"</f>
        <v>－</v>
      </c>
      <c r="U1256" s="5" t="s">
        <v>1320</v>
      </c>
      <c r="V1256" s="23" t="n">
        <f>7372200000</f>
        <v>7.3722E9</v>
      </c>
      <c r="W1256" s="5" t="s">
        <v>160</v>
      </c>
      <c r="X1256" s="23" t="n">
        <f>370250000</f>
        <v>3.7025E8</v>
      </c>
      <c r="Y1256" s="23" t="n">
        <f>47425</f>
        <v>47425.0</v>
      </c>
      <c r="Z1256" s="21" t="str">
        <f>"－"</f>
        <v>－</v>
      </c>
      <c r="AA1256" s="21" t="n">
        <f>69797</f>
        <v>69797.0</v>
      </c>
      <c r="AB1256" s="4" t="s">
        <v>1320</v>
      </c>
      <c r="AC1256" s="22" t="n">
        <f>78087</f>
        <v>78087.0</v>
      </c>
      <c r="AD1256" s="5" t="s">
        <v>872</v>
      </c>
      <c r="AE1256" s="23" t="n">
        <f>16663</f>
        <v>16663.0</v>
      </c>
    </row>
    <row r="1257">
      <c r="A1257" s="24" t="s">
        <v>2164</v>
      </c>
      <c r="B1257" s="25" t="s">
        <v>2165</v>
      </c>
      <c r="C1257" s="26" t="s">
        <v>1744</v>
      </c>
      <c r="D1257" s="27" t="s">
        <v>1745</v>
      </c>
      <c r="E1257" s="28" t="s">
        <v>383</v>
      </c>
      <c r="F1257" s="20" t="n">
        <f>125</f>
        <v>125.0</v>
      </c>
      <c r="G1257" s="21" t="n">
        <f>609458</f>
        <v>609458.0</v>
      </c>
      <c r="H1257" s="21"/>
      <c r="I1257" s="21" t="str">
        <f>"－"</f>
        <v>－</v>
      </c>
      <c r="J1257" s="21" t="n">
        <f>4876</f>
        <v>4876.0</v>
      </c>
      <c r="K1257" s="21" t="str">
        <f>"－"</f>
        <v>－</v>
      </c>
      <c r="L1257" s="4" t="s">
        <v>510</v>
      </c>
      <c r="M1257" s="22" t="n">
        <f>12203</f>
        <v>12203.0</v>
      </c>
      <c r="N1257" s="5" t="s">
        <v>1460</v>
      </c>
      <c r="O1257" s="23" t="n">
        <f>1495</f>
        <v>1495.0</v>
      </c>
      <c r="P1257" s="3" t="s">
        <v>2265</v>
      </c>
      <c r="Q1257" s="21"/>
      <c r="R1257" s="3" t="s">
        <v>247</v>
      </c>
      <c r="S1257" s="21" t="n">
        <f>1238714720</f>
        <v>1.23871472E9</v>
      </c>
      <c r="T1257" s="21" t="str">
        <f>"－"</f>
        <v>－</v>
      </c>
      <c r="U1257" s="5" t="s">
        <v>510</v>
      </c>
      <c r="V1257" s="23" t="n">
        <f>5046460000</f>
        <v>5.04646E9</v>
      </c>
      <c r="W1257" s="5" t="s">
        <v>993</v>
      </c>
      <c r="X1257" s="23" t="n">
        <f>296890000</f>
        <v>2.9689E8</v>
      </c>
      <c r="Y1257" s="23" t="n">
        <f>17921</f>
        <v>17921.0</v>
      </c>
      <c r="Z1257" s="21" t="str">
        <f>"－"</f>
        <v>－</v>
      </c>
      <c r="AA1257" s="21" t="n">
        <f>38639</f>
        <v>38639.0</v>
      </c>
      <c r="AB1257" s="4" t="s">
        <v>289</v>
      </c>
      <c r="AC1257" s="22" t="n">
        <f>59542</f>
        <v>59542.0</v>
      </c>
      <c r="AD1257" s="5" t="s">
        <v>230</v>
      </c>
      <c r="AE1257" s="23" t="n">
        <f>10399</f>
        <v>10399.0</v>
      </c>
    </row>
    <row r="1258">
      <c r="A1258" s="24" t="s">
        <v>2164</v>
      </c>
      <c r="B1258" s="25" t="s">
        <v>2165</v>
      </c>
      <c r="C1258" s="26" t="s">
        <v>1748</v>
      </c>
      <c r="D1258" s="27" t="s">
        <v>1749</v>
      </c>
      <c r="E1258" s="28" t="s">
        <v>383</v>
      </c>
      <c r="F1258" s="20" t="n">
        <f>125</f>
        <v>125.0</v>
      </c>
      <c r="G1258" s="21" t="n">
        <f>416708</f>
        <v>416708.0</v>
      </c>
      <c r="H1258" s="21"/>
      <c r="I1258" s="21" t="str">
        <f>"－"</f>
        <v>－</v>
      </c>
      <c r="J1258" s="21" t="n">
        <f>3334</f>
        <v>3334.0</v>
      </c>
      <c r="K1258" s="21" t="str">
        <f>"－"</f>
        <v>－</v>
      </c>
      <c r="L1258" s="4" t="s">
        <v>1021</v>
      </c>
      <c r="M1258" s="22" t="n">
        <f>9876</f>
        <v>9876.0</v>
      </c>
      <c r="N1258" s="5" t="s">
        <v>107</v>
      </c>
      <c r="O1258" s="23" t="n">
        <f>636</f>
        <v>636.0</v>
      </c>
      <c r="P1258" s="3" t="s">
        <v>2266</v>
      </c>
      <c r="Q1258" s="21"/>
      <c r="R1258" s="3" t="s">
        <v>247</v>
      </c>
      <c r="S1258" s="21" t="n">
        <f>854700000</f>
        <v>8.547E8</v>
      </c>
      <c r="T1258" s="21" t="str">
        <f>"－"</f>
        <v>－</v>
      </c>
      <c r="U1258" s="5" t="s">
        <v>289</v>
      </c>
      <c r="V1258" s="23" t="n">
        <f>11020550000</f>
        <v>1.102055E10</v>
      </c>
      <c r="W1258" s="5" t="s">
        <v>496</v>
      </c>
      <c r="X1258" s="23" t="n">
        <f>115910000</f>
        <v>1.1591E8</v>
      </c>
      <c r="Y1258" s="23" t="n">
        <f>35123</f>
        <v>35123.0</v>
      </c>
      <c r="Z1258" s="21" t="str">
        <f>"－"</f>
        <v>－</v>
      </c>
      <c r="AA1258" s="21" t="n">
        <f>12195</f>
        <v>12195.0</v>
      </c>
      <c r="AB1258" s="4" t="s">
        <v>238</v>
      </c>
      <c r="AC1258" s="22" t="n">
        <f>24375</f>
        <v>24375.0</v>
      </c>
      <c r="AD1258" s="5" t="s">
        <v>594</v>
      </c>
      <c r="AE1258" s="23" t="n">
        <f>4000</f>
        <v>4000.0</v>
      </c>
    </row>
    <row r="1259">
      <c r="A1259" s="24" t="s">
        <v>2164</v>
      </c>
      <c r="B1259" s="25" t="s">
        <v>2165</v>
      </c>
      <c r="C1259" s="26" t="s">
        <v>1752</v>
      </c>
      <c r="D1259" s="27" t="s">
        <v>1753</v>
      </c>
      <c r="E1259" s="28" t="s">
        <v>383</v>
      </c>
      <c r="F1259" s="20" t="n">
        <f>125</f>
        <v>125.0</v>
      </c>
      <c r="G1259" s="21" t="n">
        <f>1026166</f>
        <v>1026166.0</v>
      </c>
      <c r="H1259" s="21"/>
      <c r="I1259" s="21" t="str">
        <f>"－"</f>
        <v>－</v>
      </c>
      <c r="J1259" s="21" t="n">
        <f>8209</f>
        <v>8209.0</v>
      </c>
      <c r="K1259" s="21" t="str">
        <f>"－"</f>
        <v>－</v>
      </c>
      <c r="L1259" s="4" t="s">
        <v>1021</v>
      </c>
      <c r="M1259" s="22" t="n">
        <f>18685</f>
        <v>18685.0</v>
      </c>
      <c r="N1259" s="5" t="s">
        <v>1460</v>
      </c>
      <c r="O1259" s="23" t="n">
        <f>2553</f>
        <v>2553.0</v>
      </c>
      <c r="P1259" s="3" t="s">
        <v>2267</v>
      </c>
      <c r="Q1259" s="21"/>
      <c r="R1259" s="3" t="s">
        <v>247</v>
      </c>
      <c r="S1259" s="21" t="n">
        <f>2093414720</f>
        <v>2.09341472E9</v>
      </c>
      <c r="T1259" s="21" t="str">
        <f>"－"</f>
        <v>－</v>
      </c>
      <c r="U1259" s="5" t="s">
        <v>289</v>
      </c>
      <c r="V1259" s="23" t="n">
        <f>12448050000</f>
        <v>1.244805E10</v>
      </c>
      <c r="W1259" s="5" t="s">
        <v>993</v>
      </c>
      <c r="X1259" s="23" t="n">
        <f>547210000</f>
        <v>5.4721E8</v>
      </c>
      <c r="Y1259" s="23" t="n">
        <f>53044</f>
        <v>53044.0</v>
      </c>
      <c r="Z1259" s="21" t="str">
        <f>"－"</f>
        <v>－</v>
      </c>
      <c r="AA1259" s="21" t="n">
        <f>50834</f>
        <v>50834.0</v>
      </c>
      <c r="AB1259" s="4" t="s">
        <v>72</v>
      </c>
      <c r="AC1259" s="22" t="n">
        <f>76068</f>
        <v>76068.0</v>
      </c>
      <c r="AD1259" s="5" t="s">
        <v>230</v>
      </c>
      <c r="AE1259" s="23" t="n">
        <f>16642</f>
        <v>16642.0</v>
      </c>
    </row>
    <row r="1260">
      <c r="A1260" s="24" t="s">
        <v>2164</v>
      </c>
      <c r="B1260" s="25" t="s">
        <v>2165</v>
      </c>
      <c r="C1260" s="26" t="s">
        <v>1744</v>
      </c>
      <c r="D1260" s="27" t="s">
        <v>1745</v>
      </c>
      <c r="E1260" s="28" t="s">
        <v>386</v>
      </c>
      <c r="F1260" s="20" t="n">
        <f>121</f>
        <v>121.0</v>
      </c>
      <c r="G1260" s="21" t="n">
        <f>542319</f>
        <v>542319.0</v>
      </c>
      <c r="H1260" s="21"/>
      <c r="I1260" s="21" t="n">
        <f>5633</f>
        <v>5633.0</v>
      </c>
      <c r="J1260" s="21" t="n">
        <f>4482</f>
        <v>4482.0</v>
      </c>
      <c r="K1260" s="21" t="n">
        <f>47</f>
        <v>47.0</v>
      </c>
      <c r="L1260" s="4" t="s">
        <v>455</v>
      </c>
      <c r="M1260" s="22" t="n">
        <f>16667</f>
        <v>16667.0</v>
      </c>
      <c r="N1260" s="5" t="s">
        <v>55</v>
      </c>
      <c r="O1260" s="23" t="n">
        <f>1289</f>
        <v>1289.0</v>
      </c>
      <c r="P1260" s="3" t="s">
        <v>2268</v>
      </c>
      <c r="Q1260" s="21"/>
      <c r="R1260" s="3" t="s">
        <v>2269</v>
      </c>
      <c r="S1260" s="21" t="n">
        <f>854286694</f>
        <v>8.54286694E8</v>
      </c>
      <c r="T1260" s="21" t="n">
        <f>6296364</f>
        <v>6296364.0</v>
      </c>
      <c r="U1260" s="5" t="s">
        <v>455</v>
      </c>
      <c r="V1260" s="23" t="n">
        <f>3123160000</f>
        <v>3.12316E9</v>
      </c>
      <c r="W1260" s="5" t="s">
        <v>113</v>
      </c>
      <c r="X1260" s="23" t="n">
        <f>209600000</f>
        <v>2.096E8</v>
      </c>
      <c r="Y1260" s="23" t="n">
        <f>13410</f>
        <v>13410.0</v>
      </c>
      <c r="Z1260" s="21" t="str">
        <f>"－"</f>
        <v>－</v>
      </c>
      <c r="AA1260" s="21" t="n">
        <f>26393</f>
        <v>26393.0</v>
      </c>
      <c r="AB1260" s="4" t="s">
        <v>287</v>
      </c>
      <c r="AC1260" s="22" t="n">
        <f>36239</f>
        <v>36239.0</v>
      </c>
      <c r="AD1260" s="5" t="s">
        <v>787</v>
      </c>
      <c r="AE1260" s="23" t="n">
        <f>6930</f>
        <v>6930.0</v>
      </c>
    </row>
    <row r="1261">
      <c r="A1261" s="24" t="s">
        <v>2164</v>
      </c>
      <c r="B1261" s="25" t="s">
        <v>2165</v>
      </c>
      <c r="C1261" s="26" t="s">
        <v>1748</v>
      </c>
      <c r="D1261" s="27" t="s">
        <v>1749</v>
      </c>
      <c r="E1261" s="28" t="s">
        <v>386</v>
      </c>
      <c r="F1261" s="20" t="n">
        <f>121</f>
        <v>121.0</v>
      </c>
      <c r="G1261" s="21" t="n">
        <f>456413</f>
        <v>456413.0</v>
      </c>
      <c r="H1261" s="21"/>
      <c r="I1261" s="21" t="n">
        <f>1983</f>
        <v>1983.0</v>
      </c>
      <c r="J1261" s="21" t="n">
        <f>3772</f>
        <v>3772.0</v>
      </c>
      <c r="K1261" s="21" t="n">
        <f>16</f>
        <v>16.0</v>
      </c>
      <c r="L1261" s="4" t="s">
        <v>455</v>
      </c>
      <c r="M1261" s="22" t="n">
        <f>12143</f>
        <v>12143.0</v>
      </c>
      <c r="N1261" s="5" t="s">
        <v>78</v>
      </c>
      <c r="O1261" s="23" t="n">
        <f>663</f>
        <v>663.0</v>
      </c>
      <c r="P1261" s="3" t="s">
        <v>2270</v>
      </c>
      <c r="Q1261" s="21"/>
      <c r="R1261" s="3" t="s">
        <v>2271</v>
      </c>
      <c r="S1261" s="21" t="n">
        <f>751047273</f>
        <v>7.51047273E8</v>
      </c>
      <c r="T1261" s="21" t="n">
        <f>4183223</f>
        <v>4183223.0</v>
      </c>
      <c r="U1261" s="5" t="s">
        <v>455</v>
      </c>
      <c r="V1261" s="23" t="n">
        <f>2053540000</f>
        <v>2.05354E9</v>
      </c>
      <c r="W1261" s="5" t="s">
        <v>78</v>
      </c>
      <c r="X1261" s="23" t="n">
        <f>115480000</f>
        <v>1.1548E8</v>
      </c>
      <c r="Y1261" s="23" t="n">
        <f>27578</f>
        <v>27578.0</v>
      </c>
      <c r="Z1261" s="21" t="str">
        <f>"－"</f>
        <v>－</v>
      </c>
      <c r="AA1261" s="21" t="n">
        <f>18771</f>
        <v>18771.0</v>
      </c>
      <c r="AB1261" s="4" t="s">
        <v>134</v>
      </c>
      <c r="AC1261" s="22" t="n">
        <f>22705</f>
        <v>22705.0</v>
      </c>
      <c r="AD1261" s="5" t="s">
        <v>787</v>
      </c>
      <c r="AE1261" s="23" t="n">
        <f>4433</f>
        <v>4433.0</v>
      </c>
    </row>
    <row r="1262">
      <c r="A1262" s="24" t="s">
        <v>2164</v>
      </c>
      <c r="B1262" s="25" t="s">
        <v>2165</v>
      </c>
      <c r="C1262" s="26" t="s">
        <v>1752</v>
      </c>
      <c r="D1262" s="27" t="s">
        <v>1753</v>
      </c>
      <c r="E1262" s="28" t="s">
        <v>386</v>
      </c>
      <c r="F1262" s="20" t="n">
        <f>121</f>
        <v>121.0</v>
      </c>
      <c r="G1262" s="21" t="n">
        <f>998732</f>
        <v>998732.0</v>
      </c>
      <c r="H1262" s="21"/>
      <c r="I1262" s="21" t="n">
        <f>7616</f>
        <v>7616.0</v>
      </c>
      <c r="J1262" s="21" t="n">
        <f>8254</f>
        <v>8254.0</v>
      </c>
      <c r="K1262" s="21" t="n">
        <f>63</f>
        <v>63.0</v>
      </c>
      <c r="L1262" s="4" t="s">
        <v>455</v>
      </c>
      <c r="M1262" s="22" t="n">
        <f>28810</f>
        <v>28810.0</v>
      </c>
      <c r="N1262" s="5" t="s">
        <v>78</v>
      </c>
      <c r="O1262" s="23" t="n">
        <f>2271</f>
        <v>2271.0</v>
      </c>
      <c r="P1262" s="3" t="s">
        <v>2272</v>
      </c>
      <c r="Q1262" s="21"/>
      <c r="R1262" s="3" t="s">
        <v>2273</v>
      </c>
      <c r="S1262" s="21" t="n">
        <f>1605333967</f>
        <v>1.605333967E9</v>
      </c>
      <c r="T1262" s="21" t="n">
        <f>10479587</f>
        <v>1.0479587E7</v>
      </c>
      <c r="U1262" s="5" t="s">
        <v>455</v>
      </c>
      <c r="V1262" s="23" t="n">
        <f>5176700000</f>
        <v>5.1767E9</v>
      </c>
      <c r="W1262" s="5" t="s">
        <v>1144</v>
      </c>
      <c r="X1262" s="23" t="n">
        <f>475870000</f>
        <v>4.7587E8</v>
      </c>
      <c r="Y1262" s="23" t="n">
        <f>40988</f>
        <v>40988.0</v>
      </c>
      <c r="Z1262" s="21" t="str">
        <f>"－"</f>
        <v>－</v>
      </c>
      <c r="AA1262" s="21" t="n">
        <f>45164</f>
        <v>45164.0</v>
      </c>
      <c r="AB1262" s="4" t="s">
        <v>287</v>
      </c>
      <c r="AC1262" s="22" t="n">
        <f>55380</f>
        <v>55380.0</v>
      </c>
      <c r="AD1262" s="5" t="s">
        <v>787</v>
      </c>
      <c r="AE1262" s="23" t="n">
        <f>11363</f>
        <v>11363.0</v>
      </c>
    </row>
    <row r="1263">
      <c r="A1263" s="24" t="s">
        <v>2164</v>
      </c>
      <c r="B1263" s="25" t="s">
        <v>2165</v>
      </c>
      <c r="C1263" s="26" t="s">
        <v>1744</v>
      </c>
      <c r="D1263" s="27" t="s">
        <v>1745</v>
      </c>
      <c r="E1263" s="28" t="s">
        <v>389</v>
      </c>
      <c r="F1263" s="20" t="n">
        <f>124</f>
        <v>124.0</v>
      </c>
      <c r="G1263" s="21" t="n">
        <f>884798</f>
        <v>884798.0</v>
      </c>
      <c r="H1263" s="21"/>
      <c r="I1263" s="21" t="n">
        <f>122842</f>
        <v>122842.0</v>
      </c>
      <c r="J1263" s="21" t="n">
        <f>7135</f>
        <v>7135.0</v>
      </c>
      <c r="K1263" s="21" t="n">
        <f>991</f>
        <v>991.0</v>
      </c>
      <c r="L1263" s="4" t="s">
        <v>853</v>
      </c>
      <c r="M1263" s="22" t="n">
        <f>20704</f>
        <v>20704.0</v>
      </c>
      <c r="N1263" s="5" t="s">
        <v>672</v>
      </c>
      <c r="O1263" s="23" t="n">
        <f>1479</f>
        <v>1479.0</v>
      </c>
      <c r="P1263" s="3" t="s">
        <v>2274</v>
      </c>
      <c r="Q1263" s="21"/>
      <c r="R1263" s="3" t="s">
        <v>2275</v>
      </c>
      <c r="S1263" s="21" t="n">
        <f>1565057419</f>
        <v>1.565057419E9</v>
      </c>
      <c r="T1263" s="21" t="n">
        <f>238123468</f>
        <v>2.38123468E8</v>
      </c>
      <c r="U1263" s="5" t="s">
        <v>343</v>
      </c>
      <c r="V1263" s="23" t="n">
        <f>6537560000</f>
        <v>6.53756E9</v>
      </c>
      <c r="W1263" s="5" t="s">
        <v>100</v>
      </c>
      <c r="X1263" s="23" t="n">
        <f>261870000</f>
        <v>2.6187E8</v>
      </c>
      <c r="Y1263" s="23" t="n">
        <f>36353</f>
        <v>36353.0</v>
      </c>
      <c r="Z1263" s="21" t="str">
        <f>"－"</f>
        <v>－</v>
      </c>
      <c r="AA1263" s="21" t="n">
        <f>19687</f>
        <v>19687.0</v>
      </c>
      <c r="AB1263" s="4" t="s">
        <v>1265</v>
      </c>
      <c r="AC1263" s="22" t="n">
        <f>109124</f>
        <v>109124.0</v>
      </c>
      <c r="AD1263" s="5" t="s">
        <v>245</v>
      </c>
      <c r="AE1263" s="23" t="n">
        <f>7896</f>
        <v>7896.0</v>
      </c>
    </row>
    <row r="1264">
      <c r="A1264" s="24" t="s">
        <v>2164</v>
      </c>
      <c r="B1264" s="25" t="s">
        <v>2165</v>
      </c>
      <c r="C1264" s="26" t="s">
        <v>1748</v>
      </c>
      <c r="D1264" s="27" t="s">
        <v>1749</v>
      </c>
      <c r="E1264" s="28" t="s">
        <v>389</v>
      </c>
      <c r="F1264" s="20" t="n">
        <f>124</f>
        <v>124.0</v>
      </c>
      <c r="G1264" s="21" t="n">
        <f>787744</f>
        <v>787744.0</v>
      </c>
      <c r="H1264" s="21"/>
      <c r="I1264" s="21" t="n">
        <f>58880</f>
        <v>58880.0</v>
      </c>
      <c r="J1264" s="21" t="n">
        <f>6353</f>
        <v>6353.0</v>
      </c>
      <c r="K1264" s="21" t="n">
        <f>475</f>
        <v>475.0</v>
      </c>
      <c r="L1264" s="4" t="s">
        <v>188</v>
      </c>
      <c r="M1264" s="22" t="n">
        <f>14287</f>
        <v>14287.0</v>
      </c>
      <c r="N1264" s="5" t="s">
        <v>666</v>
      </c>
      <c r="O1264" s="23" t="n">
        <f>1683</f>
        <v>1683.0</v>
      </c>
      <c r="P1264" s="3" t="s">
        <v>2276</v>
      </c>
      <c r="Q1264" s="21"/>
      <c r="R1264" s="3" t="s">
        <v>2277</v>
      </c>
      <c r="S1264" s="21" t="n">
        <f>1619982581</f>
        <v>1.619982581E9</v>
      </c>
      <c r="T1264" s="21" t="n">
        <f>187775484</f>
        <v>1.87775484E8</v>
      </c>
      <c r="U1264" s="5" t="s">
        <v>289</v>
      </c>
      <c r="V1264" s="23" t="n">
        <f>20023710000</f>
        <v>2.002371E10</v>
      </c>
      <c r="W1264" s="5" t="s">
        <v>123</v>
      </c>
      <c r="X1264" s="23" t="n">
        <f>338170000</f>
        <v>3.3817E8</v>
      </c>
      <c r="Y1264" s="23" t="n">
        <f>78128</f>
        <v>78128.0</v>
      </c>
      <c r="Z1264" s="21" t="str">
        <f>"－"</f>
        <v>－</v>
      </c>
      <c r="AA1264" s="21" t="n">
        <f>19841</f>
        <v>19841.0</v>
      </c>
      <c r="AB1264" s="4" t="s">
        <v>904</v>
      </c>
      <c r="AC1264" s="22" t="n">
        <f>61749</f>
        <v>61749.0</v>
      </c>
      <c r="AD1264" s="5" t="s">
        <v>245</v>
      </c>
      <c r="AE1264" s="23" t="n">
        <f>6106</f>
        <v>6106.0</v>
      </c>
    </row>
    <row r="1265">
      <c r="A1265" s="24" t="s">
        <v>2164</v>
      </c>
      <c r="B1265" s="25" t="s">
        <v>2165</v>
      </c>
      <c r="C1265" s="26" t="s">
        <v>1752</v>
      </c>
      <c r="D1265" s="27" t="s">
        <v>1753</v>
      </c>
      <c r="E1265" s="28" t="s">
        <v>389</v>
      </c>
      <c r="F1265" s="20" t="n">
        <f>124</f>
        <v>124.0</v>
      </c>
      <c r="G1265" s="21" t="n">
        <f>1672542</f>
        <v>1672542.0</v>
      </c>
      <c r="H1265" s="21"/>
      <c r="I1265" s="21" t="n">
        <f>181722</f>
        <v>181722.0</v>
      </c>
      <c r="J1265" s="21" t="n">
        <f>13488</f>
        <v>13488.0</v>
      </c>
      <c r="K1265" s="21" t="n">
        <f>1466</f>
        <v>1466.0</v>
      </c>
      <c r="L1265" s="4" t="s">
        <v>853</v>
      </c>
      <c r="M1265" s="22" t="n">
        <f>33535</f>
        <v>33535.0</v>
      </c>
      <c r="N1265" s="5" t="s">
        <v>100</v>
      </c>
      <c r="O1265" s="23" t="n">
        <f>3553</f>
        <v>3553.0</v>
      </c>
      <c r="P1265" s="3" t="s">
        <v>2278</v>
      </c>
      <c r="Q1265" s="21"/>
      <c r="R1265" s="3" t="s">
        <v>2279</v>
      </c>
      <c r="S1265" s="21" t="n">
        <f>3185040000</f>
        <v>3.18504E9</v>
      </c>
      <c r="T1265" s="21" t="n">
        <f>425898952</f>
        <v>4.25898952E8</v>
      </c>
      <c r="U1265" s="5" t="s">
        <v>289</v>
      </c>
      <c r="V1265" s="23" t="n">
        <f>21224770000</f>
        <v>2.122477E10</v>
      </c>
      <c r="W1265" s="5" t="s">
        <v>672</v>
      </c>
      <c r="X1265" s="23" t="n">
        <f>717130000</f>
        <v>7.1713E8</v>
      </c>
      <c r="Y1265" s="23" t="n">
        <f>114481</f>
        <v>114481.0</v>
      </c>
      <c r="Z1265" s="21" t="str">
        <f>"－"</f>
        <v>－</v>
      </c>
      <c r="AA1265" s="21" t="n">
        <f>39528</f>
        <v>39528.0</v>
      </c>
      <c r="AB1265" s="4" t="s">
        <v>1446</v>
      </c>
      <c r="AC1265" s="22" t="n">
        <f>154544</f>
        <v>154544.0</v>
      </c>
      <c r="AD1265" s="5" t="s">
        <v>245</v>
      </c>
      <c r="AE1265" s="23" t="n">
        <f>14002</f>
        <v>14002.0</v>
      </c>
    </row>
    <row r="1266">
      <c r="A1266" s="24" t="s">
        <v>2164</v>
      </c>
      <c r="B1266" s="25" t="s">
        <v>2165</v>
      </c>
      <c r="C1266" s="26" t="s">
        <v>1744</v>
      </c>
      <c r="D1266" s="27" t="s">
        <v>1745</v>
      </c>
      <c r="E1266" s="28" t="s">
        <v>393</v>
      </c>
      <c r="F1266" s="20" t="n">
        <f>121</f>
        <v>121.0</v>
      </c>
      <c r="G1266" s="21" t="n">
        <f>674534</f>
        <v>674534.0</v>
      </c>
      <c r="H1266" s="21"/>
      <c r="I1266" s="21" t="n">
        <f>69581</f>
        <v>69581.0</v>
      </c>
      <c r="J1266" s="21" t="n">
        <f>5575</f>
        <v>5575.0</v>
      </c>
      <c r="K1266" s="21" t="n">
        <f>575</f>
        <v>575.0</v>
      </c>
      <c r="L1266" s="4" t="s">
        <v>396</v>
      </c>
      <c r="M1266" s="22" t="n">
        <f>14808</f>
        <v>14808.0</v>
      </c>
      <c r="N1266" s="5" t="s">
        <v>287</v>
      </c>
      <c r="O1266" s="23" t="n">
        <f>1609</f>
        <v>1609.0</v>
      </c>
      <c r="P1266" s="3" t="s">
        <v>2280</v>
      </c>
      <c r="Q1266" s="21"/>
      <c r="R1266" s="3" t="s">
        <v>2281</v>
      </c>
      <c r="S1266" s="21" t="n">
        <f>1247150165</f>
        <v>1.247150165E9</v>
      </c>
      <c r="T1266" s="21" t="n">
        <f>178809587</f>
        <v>1.78809587E8</v>
      </c>
      <c r="U1266" s="5" t="s">
        <v>292</v>
      </c>
      <c r="V1266" s="23" t="n">
        <f>3945530000</f>
        <v>3.94553E9</v>
      </c>
      <c r="W1266" s="5" t="s">
        <v>287</v>
      </c>
      <c r="X1266" s="23" t="n">
        <f>181270000</f>
        <v>1.8127E8</v>
      </c>
      <c r="Y1266" s="23" t="n">
        <f>18496</f>
        <v>18496.0</v>
      </c>
      <c r="Z1266" s="21" t="n">
        <f>26889</f>
        <v>26889.0</v>
      </c>
      <c r="AA1266" s="21" t="n">
        <f>43830</f>
        <v>43830.0</v>
      </c>
      <c r="AB1266" s="4" t="s">
        <v>585</v>
      </c>
      <c r="AC1266" s="22" t="n">
        <f>45359</f>
        <v>45359.0</v>
      </c>
      <c r="AD1266" s="5" t="s">
        <v>65</v>
      </c>
      <c r="AE1266" s="23" t="n">
        <f>9098</f>
        <v>9098.0</v>
      </c>
    </row>
    <row r="1267">
      <c r="A1267" s="24" t="s">
        <v>2164</v>
      </c>
      <c r="B1267" s="25" t="s">
        <v>2165</v>
      </c>
      <c r="C1267" s="26" t="s">
        <v>1748</v>
      </c>
      <c r="D1267" s="27" t="s">
        <v>1749</v>
      </c>
      <c r="E1267" s="28" t="s">
        <v>393</v>
      </c>
      <c r="F1267" s="20" t="n">
        <f>121</f>
        <v>121.0</v>
      </c>
      <c r="G1267" s="21" t="n">
        <f>683950</f>
        <v>683950.0</v>
      </c>
      <c r="H1267" s="21"/>
      <c r="I1267" s="21" t="n">
        <f>56023</f>
        <v>56023.0</v>
      </c>
      <c r="J1267" s="21" t="n">
        <f>5652</f>
        <v>5652.0</v>
      </c>
      <c r="K1267" s="21" t="n">
        <f>463</f>
        <v>463.0</v>
      </c>
      <c r="L1267" s="4" t="s">
        <v>865</v>
      </c>
      <c r="M1267" s="22" t="n">
        <f>17385</f>
        <v>17385.0</v>
      </c>
      <c r="N1267" s="5" t="s">
        <v>194</v>
      </c>
      <c r="O1267" s="23" t="n">
        <f>1837</f>
        <v>1837.0</v>
      </c>
      <c r="P1267" s="3" t="s">
        <v>2282</v>
      </c>
      <c r="Q1267" s="21"/>
      <c r="R1267" s="3" t="s">
        <v>2283</v>
      </c>
      <c r="S1267" s="21" t="n">
        <f>1438536446</f>
        <v>1.438536446E9</v>
      </c>
      <c r="T1267" s="21" t="n">
        <f>186195372</f>
        <v>1.86195372E8</v>
      </c>
      <c r="U1267" s="5" t="s">
        <v>396</v>
      </c>
      <c r="V1267" s="23" t="n">
        <f>6169180000</f>
        <v>6.16918E9</v>
      </c>
      <c r="W1267" s="5" t="s">
        <v>843</v>
      </c>
      <c r="X1267" s="23" t="n">
        <f>161280000</f>
        <v>1.6128E8</v>
      </c>
      <c r="Y1267" s="23" t="n">
        <f>50240</f>
        <v>50240.0</v>
      </c>
      <c r="Z1267" s="21" t="n">
        <f>19895</f>
        <v>19895.0</v>
      </c>
      <c r="AA1267" s="21" t="n">
        <f>14090</f>
        <v>14090.0</v>
      </c>
      <c r="AB1267" s="4" t="s">
        <v>516</v>
      </c>
      <c r="AC1267" s="22" t="n">
        <f>36191</f>
        <v>36191.0</v>
      </c>
      <c r="AD1267" s="5" t="s">
        <v>65</v>
      </c>
      <c r="AE1267" s="23" t="n">
        <f>6936</f>
        <v>6936.0</v>
      </c>
    </row>
    <row r="1268">
      <c r="A1268" s="24" t="s">
        <v>2164</v>
      </c>
      <c r="B1268" s="25" t="s">
        <v>2165</v>
      </c>
      <c r="C1268" s="26" t="s">
        <v>1752</v>
      </c>
      <c r="D1268" s="27" t="s">
        <v>1753</v>
      </c>
      <c r="E1268" s="28" t="s">
        <v>393</v>
      </c>
      <c r="F1268" s="20" t="n">
        <f>121</f>
        <v>121.0</v>
      </c>
      <c r="G1268" s="21" t="n">
        <f>1358484</f>
        <v>1358484.0</v>
      </c>
      <c r="H1268" s="21"/>
      <c r="I1268" s="21" t="n">
        <f>125604</f>
        <v>125604.0</v>
      </c>
      <c r="J1268" s="21" t="n">
        <f>11227</f>
        <v>11227.0</v>
      </c>
      <c r="K1268" s="21" t="n">
        <f>1038</f>
        <v>1038.0</v>
      </c>
      <c r="L1268" s="4" t="s">
        <v>293</v>
      </c>
      <c r="M1268" s="22" t="n">
        <f>25142</f>
        <v>25142.0</v>
      </c>
      <c r="N1268" s="5" t="s">
        <v>287</v>
      </c>
      <c r="O1268" s="23" t="n">
        <f>3493</f>
        <v>3493.0</v>
      </c>
      <c r="P1268" s="3" t="s">
        <v>2284</v>
      </c>
      <c r="Q1268" s="21"/>
      <c r="R1268" s="3" t="s">
        <v>2285</v>
      </c>
      <c r="S1268" s="21" t="n">
        <f>2685686612</f>
        <v>2.685686612E9</v>
      </c>
      <c r="T1268" s="21" t="n">
        <f>365004959</f>
        <v>3.65004959E8</v>
      </c>
      <c r="U1268" s="5" t="s">
        <v>396</v>
      </c>
      <c r="V1268" s="23" t="n">
        <f>9673470000</f>
        <v>9.67347E9</v>
      </c>
      <c r="W1268" s="5" t="s">
        <v>287</v>
      </c>
      <c r="X1268" s="23" t="n">
        <f>521550000</f>
        <v>5.2155E8</v>
      </c>
      <c r="Y1268" s="23" t="n">
        <f>68736</f>
        <v>68736.0</v>
      </c>
      <c r="Z1268" s="21" t="n">
        <f>46784</f>
        <v>46784.0</v>
      </c>
      <c r="AA1268" s="21" t="n">
        <f>57920</f>
        <v>57920.0</v>
      </c>
      <c r="AB1268" s="4" t="s">
        <v>585</v>
      </c>
      <c r="AC1268" s="22" t="n">
        <f>75119</f>
        <v>75119.0</v>
      </c>
      <c r="AD1268" s="5" t="s">
        <v>65</v>
      </c>
      <c r="AE1268" s="23" t="n">
        <f>16034</f>
        <v>16034.0</v>
      </c>
    </row>
    <row r="1269">
      <c r="A1269" s="24" t="s">
        <v>2164</v>
      </c>
      <c r="B1269" s="25" t="s">
        <v>2165</v>
      </c>
      <c r="C1269" s="26" t="s">
        <v>1744</v>
      </c>
      <c r="D1269" s="27" t="s">
        <v>1745</v>
      </c>
      <c r="E1269" s="28" t="s">
        <v>397</v>
      </c>
      <c r="F1269" s="20" t="n">
        <f>125</f>
        <v>125.0</v>
      </c>
      <c r="G1269" s="21" t="n">
        <f>677874</f>
        <v>677874.0</v>
      </c>
      <c r="H1269" s="21"/>
      <c r="I1269" s="21" t="n">
        <f>77796</f>
        <v>77796.0</v>
      </c>
      <c r="J1269" s="21" t="n">
        <f>5423</f>
        <v>5423.0</v>
      </c>
      <c r="K1269" s="21" t="n">
        <f>622</f>
        <v>622.0</v>
      </c>
      <c r="L1269" s="4" t="s">
        <v>675</v>
      </c>
      <c r="M1269" s="22" t="n">
        <f>11272</f>
        <v>11272.0</v>
      </c>
      <c r="N1269" s="5" t="s">
        <v>868</v>
      </c>
      <c r="O1269" s="23" t="n">
        <f>794</f>
        <v>794.0</v>
      </c>
      <c r="P1269" s="3" t="s">
        <v>2286</v>
      </c>
      <c r="Q1269" s="21"/>
      <c r="R1269" s="3" t="s">
        <v>2287</v>
      </c>
      <c r="S1269" s="21" t="n">
        <f>1937917760</f>
        <v>1.93791776E9</v>
      </c>
      <c r="T1269" s="21" t="n">
        <f>325441360</f>
        <v>3.2544136E8</v>
      </c>
      <c r="U1269" s="5" t="s">
        <v>1396</v>
      </c>
      <c r="V1269" s="23" t="n">
        <f>12501900000</f>
        <v>1.25019E10</v>
      </c>
      <c r="W1269" s="5" t="s">
        <v>1446</v>
      </c>
      <c r="X1269" s="23" t="n">
        <f>373280000</f>
        <v>3.7328E8</v>
      </c>
      <c r="Y1269" s="23" t="n">
        <f>44324</f>
        <v>44324.0</v>
      </c>
      <c r="Z1269" s="21" t="n">
        <f>45697</f>
        <v>45697.0</v>
      </c>
      <c r="AA1269" s="21" t="n">
        <f>18133</f>
        <v>18133.0</v>
      </c>
      <c r="AB1269" s="4" t="s">
        <v>1265</v>
      </c>
      <c r="AC1269" s="22" t="n">
        <f>39313</f>
        <v>39313.0</v>
      </c>
      <c r="AD1269" s="5" t="s">
        <v>868</v>
      </c>
      <c r="AE1269" s="23" t="n">
        <f>4079</f>
        <v>4079.0</v>
      </c>
    </row>
    <row r="1270">
      <c r="A1270" s="24" t="s">
        <v>2164</v>
      </c>
      <c r="B1270" s="25" t="s">
        <v>2165</v>
      </c>
      <c r="C1270" s="26" t="s">
        <v>1748</v>
      </c>
      <c r="D1270" s="27" t="s">
        <v>1749</v>
      </c>
      <c r="E1270" s="28" t="s">
        <v>397</v>
      </c>
      <c r="F1270" s="20" t="n">
        <f>125</f>
        <v>125.0</v>
      </c>
      <c r="G1270" s="21" t="n">
        <f>773640</f>
        <v>773640.0</v>
      </c>
      <c r="H1270" s="21"/>
      <c r="I1270" s="21" t="n">
        <f>90081</f>
        <v>90081.0</v>
      </c>
      <c r="J1270" s="21" t="n">
        <f>6189</f>
        <v>6189.0</v>
      </c>
      <c r="K1270" s="21" t="n">
        <f>721</f>
        <v>721.0</v>
      </c>
      <c r="L1270" s="4" t="s">
        <v>869</v>
      </c>
      <c r="M1270" s="22" t="n">
        <f>17937</f>
        <v>17937.0</v>
      </c>
      <c r="N1270" s="5" t="s">
        <v>868</v>
      </c>
      <c r="O1270" s="23" t="n">
        <f>1967</f>
        <v>1967.0</v>
      </c>
      <c r="P1270" s="3" t="s">
        <v>2288</v>
      </c>
      <c r="Q1270" s="21"/>
      <c r="R1270" s="3" t="s">
        <v>2289</v>
      </c>
      <c r="S1270" s="21" t="n">
        <f>1763337760</f>
        <v>1.76333776E9</v>
      </c>
      <c r="T1270" s="21" t="n">
        <f>266951520</f>
        <v>2.6695152E8</v>
      </c>
      <c r="U1270" s="5" t="s">
        <v>869</v>
      </c>
      <c r="V1270" s="23" t="n">
        <f>6791410000</f>
        <v>6.79141E9</v>
      </c>
      <c r="W1270" s="5" t="s">
        <v>927</v>
      </c>
      <c r="X1270" s="23" t="n">
        <f>235960000</f>
        <v>2.3596E8</v>
      </c>
      <c r="Y1270" s="23" t="n">
        <f>36884</f>
        <v>36884.0</v>
      </c>
      <c r="Z1270" s="21" t="n">
        <f>55338</f>
        <v>55338.0</v>
      </c>
      <c r="AA1270" s="21" t="n">
        <f>17978</f>
        <v>17978.0</v>
      </c>
      <c r="AB1270" s="4" t="s">
        <v>1396</v>
      </c>
      <c r="AC1270" s="22" t="n">
        <f>52459</f>
        <v>52459.0</v>
      </c>
      <c r="AD1270" s="5" t="s">
        <v>868</v>
      </c>
      <c r="AE1270" s="23" t="n">
        <f>4194</f>
        <v>4194.0</v>
      </c>
    </row>
    <row r="1271">
      <c r="A1271" s="24" t="s">
        <v>2164</v>
      </c>
      <c r="B1271" s="25" t="s">
        <v>2165</v>
      </c>
      <c r="C1271" s="26" t="s">
        <v>1752</v>
      </c>
      <c r="D1271" s="27" t="s">
        <v>1753</v>
      </c>
      <c r="E1271" s="28" t="s">
        <v>397</v>
      </c>
      <c r="F1271" s="20" t="n">
        <f>125</f>
        <v>125.0</v>
      </c>
      <c r="G1271" s="21" t="n">
        <f>1451514</f>
        <v>1451514.0</v>
      </c>
      <c r="H1271" s="21"/>
      <c r="I1271" s="21" t="n">
        <f>167877</f>
        <v>167877.0</v>
      </c>
      <c r="J1271" s="21" t="n">
        <f>11612</f>
        <v>11612.0</v>
      </c>
      <c r="K1271" s="21" t="n">
        <f>1343</f>
        <v>1343.0</v>
      </c>
      <c r="L1271" s="4" t="s">
        <v>869</v>
      </c>
      <c r="M1271" s="22" t="n">
        <f>23861</f>
        <v>23861.0</v>
      </c>
      <c r="N1271" s="5" t="s">
        <v>868</v>
      </c>
      <c r="O1271" s="23" t="n">
        <f>2761</f>
        <v>2761.0</v>
      </c>
      <c r="P1271" s="3" t="s">
        <v>2290</v>
      </c>
      <c r="Q1271" s="21"/>
      <c r="R1271" s="3" t="s">
        <v>2291</v>
      </c>
      <c r="S1271" s="21" t="n">
        <f>3701255520</f>
        <v>3.70125552E9</v>
      </c>
      <c r="T1271" s="21" t="n">
        <f>592392880</f>
        <v>5.9239288E8</v>
      </c>
      <c r="U1271" s="5" t="s">
        <v>1396</v>
      </c>
      <c r="V1271" s="23" t="n">
        <f>14008590000</f>
        <v>1.400859E10</v>
      </c>
      <c r="W1271" s="5" t="s">
        <v>631</v>
      </c>
      <c r="X1271" s="23" t="n">
        <f>834860000</f>
        <v>8.3486E8</v>
      </c>
      <c r="Y1271" s="23" t="n">
        <f>81208</f>
        <v>81208.0</v>
      </c>
      <c r="Z1271" s="21" t="n">
        <f>101035</f>
        <v>101035.0</v>
      </c>
      <c r="AA1271" s="21" t="n">
        <f>36111</f>
        <v>36111.0</v>
      </c>
      <c r="AB1271" s="4" t="s">
        <v>364</v>
      </c>
      <c r="AC1271" s="22" t="n">
        <f>83813</f>
        <v>83813.0</v>
      </c>
      <c r="AD1271" s="5" t="s">
        <v>868</v>
      </c>
      <c r="AE1271" s="23" t="n">
        <f>8273</f>
        <v>8273.0</v>
      </c>
    </row>
    <row r="1272">
      <c r="A1272" s="24" t="s">
        <v>2164</v>
      </c>
      <c r="B1272" s="25" t="s">
        <v>2165</v>
      </c>
      <c r="C1272" s="26" t="s">
        <v>1744</v>
      </c>
      <c r="D1272" s="27" t="s">
        <v>1745</v>
      </c>
      <c r="E1272" s="28" t="s">
        <v>401</v>
      </c>
      <c r="F1272" s="20" t="n">
        <f>120</f>
        <v>120.0</v>
      </c>
      <c r="G1272" s="21" t="n">
        <f>300494</f>
        <v>300494.0</v>
      </c>
      <c r="H1272" s="21"/>
      <c r="I1272" s="21" t="n">
        <f>28627</f>
        <v>28627.0</v>
      </c>
      <c r="J1272" s="21" t="n">
        <f>2504</f>
        <v>2504.0</v>
      </c>
      <c r="K1272" s="21" t="n">
        <f>239</f>
        <v>239.0</v>
      </c>
      <c r="L1272" s="4" t="s">
        <v>1068</v>
      </c>
      <c r="M1272" s="22" t="n">
        <f>7764</f>
        <v>7764.0</v>
      </c>
      <c r="N1272" s="5" t="s">
        <v>231</v>
      </c>
      <c r="O1272" s="23" t="n">
        <f>629</f>
        <v>629.0</v>
      </c>
      <c r="P1272" s="3" t="s">
        <v>2292</v>
      </c>
      <c r="Q1272" s="21"/>
      <c r="R1272" s="3" t="s">
        <v>2293</v>
      </c>
      <c r="S1272" s="21" t="n">
        <f>700891583</f>
        <v>7.00891583E8</v>
      </c>
      <c r="T1272" s="21" t="n">
        <f>91583750</f>
        <v>9.158375E7</v>
      </c>
      <c r="U1272" s="5" t="s">
        <v>828</v>
      </c>
      <c r="V1272" s="23" t="n">
        <f>2960160000</f>
        <v>2.96016E9</v>
      </c>
      <c r="W1272" s="5" t="s">
        <v>113</v>
      </c>
      <c r="X1272" s="23" t="n">
        <f>46930000</f>
        <v>4.693E7</v>
      </c>
      <c r="Y1272" s="23" t="n">
        <f>11224</f>
        <v>11224.0</v>
      </c>
      <c r="Z1272" s="21" t="n">
        <f>99099</f>
        <v>99099.0</v>
      </c>
      <c r="AA1272" s="21" t="n">
        <f>11384</f>
        <v>11384.0</v>
      </c>
      <c r="AB1272" s="4" t="s">
        <v>921</v>
      </c>
      <c r="AC1272" s="22" t="n">
        <f>18420</f>
        <v>18420.0</v>
      </c>
      <c r="AD1272" s="5" t="s">
        <v>872</v>
      </c>
      <c r="AE1272" s="23" t="n">
        <f>863</f>
        <v>863.0</v>
      </c>
    </row>
    <row r="1273">
      <c r="A1273" s="24" t="s">
        <v>2164</v>
      </c>
      <c r="B1273" s="25" t="s">
        <v>2165</v>
      </c>
      <c r="C1273" s="26" t="s">
        <v>1748</v>
      </c>
      <c r="D1273" s="27" t="s">
        <v>1749</v>
      </c>
      <c r="E1273" s="28" t="s">
        <v>401</v>
      </c>
      <c r="F1273" s="20" t="n">
        <f>120</f>
        <v>120.0</v>
      </c>
      <c r="G1273" s="21" t="n">
        <f>356242</f>
        <v>356242.0</v>
      </c>
      <c r="H1273" s="21"/>
      <c r="I1273" s="21" t="n">
        <f>29559</f>
        <v>29559.0</v>
      </c>
      <c r="J1273" s="21" t="n">
        <f>2969</f>
        <v>2969.0</v>
      </c>
      <c r="K1273" s="21" t="n">
        <f>246</f>
        <v>246.0</v>
      </c>
      <c r="L1273" s="4" t="s">
        <v>586</v>
      </c>
      <c r="M1273" s="22" t="n">
        <f>10111</f>
        <v>10111.0</v>
      </c>
      <c r="N1273" s="5" t="s">
        <v>323</v>
      </c>
      <c r="O1273" s="23" t="n">
        <f>223</f>
        <v>223.0</v>
      </c>
      <c r="P1273" s="3" t="s">
        <v>2294</v>
      </c>
      <c r="Q1273" s="21"/>
      <c r="R1273" s="3" t="s">
        <v>2295</v>
      </c>
      <c r="S1273" s="21" t="n">
        <f>890448583</f>
        <v>8.90448583E8</v>
      </c>
      <c r="T1273" s="21" t="n">
        <f>110539333</f>
        <v>1.10539333E8</v>
      </c>
      <c r="U1273" s="5" t="s">
        <v>54</v>
      </c>
      <c r="V1273" s="23" t="n">
        <f>2921510000</f>
        <v>2.92151E9</v>
      </c>
      <c r="W1273" s="5" t="s">
        <v>50</v>
      </c>
      <c r="X1273" s="23" t="n">
        <f>71580000</f>
        <v>7.158E7</v>
      </c>
      <c r="Y1273" s="23" t="n">
        <f>14585</f>
        <v>14585.0</v>
      </c>
      <c r="Z1273" s="21" t="n">
        <f>100018</f>
        <v>100018.0</v>
      </c>
      <c r="AA1273" s="21" t="n">
        <f>20111</f>
        <v>20111.0</v>
      </c>
      <c r="AB1273" s="4" t="s">
        <v>1068</v>
      </c>
      <c r="AC1273" s="22" t="n">
        <f>20594</f>
        <v>20594.0</v>
      </c>
      <c r="AD1273" s="5" t="s">
        <v>872</v>
      </c>
      <c r="AE1273" s="23" t="n">
        <f>844</f>
        <v>844.0</v>
      </c>
    </row>
    <row r="1274">
      <c r="A1274" s="24" t="s">
        <v>2164</v>
      </c>
      <c r="B1274" s="25" t="s">
        <v>2165</v>
      </c>
      <c r="C1274" s="26" t="s">
        <v>1752</v>
      </c>
      <c r="D1274" s="27" t="s">
        <v>1753</v>
      </c>
      <c r="E1274" s="28" t="s">
        <v>401</v>
      </c>
      <c r="F1274" s="20" t="n">
        <f>120</f>
        <v>120.0</v>
      </c>
      <c r="G1274" s="21" t="n">
        <f>656736</f>
        <v>656736.0</v>
      </c>
      <c r="H1274" s="21"/>
      <c r="I1274" s="21" t="n">
        <f>58186</f>
        <v>58186.0</v>
      </c>
      <c r="J1274" s="21" t="n">
        <f>5473</f>
        <v>5473.0</v>
      </c>
      <c r="K1274" s="21" t="n">
        <f>485</f>
        <v>485.0</v>
      </c>
      <c r="L1274" s="4" t="s">
        <v>586</v>
      </c>
      <c r="M1274" s="22" t="n">
        <f>16775</f>
        <v>16775.0</v>
      </c>
      <c r="N1274" s="5" t="s">
        <v>231</v>
      </c>
      <c r="O1274" s="23" t="n">
        <f>922</f>
        <v>922.0</v>
      </c>
      <c r="P1274" s="3" t="s">
        <v>2296</v>
      </c>
      <c r="Q1274" s="21"/>
      <c r="R1274" s="3" t="s">
        <v>2297</v>
      </c>
      <c r="S1274" s="21" t="n">
        <f>1591340167</f>
        <v>1.591340167E9</v>
      </c>
      <c r="T1274" s="21" t="n">
        <f>202123083</f>
        <v>2.02123083E8</v>
      </c>
      <c r="U1274" s="5" t="s">
        <v>54</v>
      </c>
      <c r="V1274" s="23" t="n">
        <f>4282090000</f>
        <v>4.28209E9</v>
      </c>
      <c r="W1274" s="5" t="s">
        <v>50</v>
      </c>
      <c r="X1274" s="23" t="n">
        <f>122710000</f>
        <v>1.2271E8</v>
      </c>
      <c r="Y1274" s="23" t="n">
        <f>25809</f>
        <v>25809.0</v>
      </c>
      <c r="Z1274" s="21" t="n">
        <f>199117</f>
        <v>199117.0</v>
      </c>
      <c r="AA1274" s="21" t="n">
        <f>31495</f>
        <v>31495.0</v>
      </c>
      <c r="AB1274" s="4" t="s">
        <v>921</v>
      </c>
      <c r="AC1274" s="22" t="n">
        <f>36390</f>
        <v>36390.0</v>
      </c>
      <c r="AD1274" s="5" t="s">
        <v>872</v>
      </c>
      <c r="AE1274" s="23" t="n">
        <f>1707</f>
        <v>1707.0</v>
      </c>
    </row>
    <row r="1275">
      <c r="A1275" s="24" t="s">
        <v>2164</v>
      </c>
      <c r="B1275" s="25" t="s">
        <v>2165</v>
      </c>
      <c r="C1275" s="26" t="s">
        <v>1744</v>
      </c>
      <c r="D1275" s="27" t="s">
        <v>1745</v>
      </c>
      <c r="E1275" s="28" t="s">
        <v>405</v>
      </c>
      <c r="F1275" s="20" t="n">
        <f>123</f>
        <v>123.0</v>
      </c>
      <c r="G1275" s="21" t="n">
        <f>706989</f>
        <v>706989.0</v>
      </c>
      <c r="H1275" s="21"/>
      <c r="I1275" s="21" t="n">
        <f>48729</f>
        <v>48729.0</v>
      </c>
      <c r="J1275" s="21" t="n">
        <f>5748</f>
        <v>5748.0</v>
      </c>
      <c r="K1275" s="21" t="n">
        <f>396</f>
        <v>396.0</v>
      </c>
      <c r="L1275" s="4" t="s">
        <v>1396</v>
      </c>
      <c r="M1275" s="22" t="n">
        <f>13873</f>
        <v>13873.0</v>
      </c>
      <c r="N1275" s="5" t="s">
        <v>764</v>
      </c>
      <c r="O1275" s="23" t="n">
        <f>1050</f>
        <v>1050.0</v>
      </c>
      <c r="P1275" s="3" t="s">
        <v>2298</v>
      </c>
      <c r="Q1275" s="21"/>
      <c r="R1275" s="3" t="s">
        <v>2299</v>
      </c>
      <c r="S1275" s="21" t="n">
        <f>1230954146</f>
        <v>1.230954146E9</v>
      </c>
      <c r="T1275" s="21" t="n">
        <f>89332602</f>
        <v>8.9332602E7</v>
      </c>
      <c r="U1275" s="5" t="s">
        <v>549</v>
      </c>
      <c r="V1275" s="23" t="n">
        <f>4120910000</f>
        <v>4.12091E9</v>
      </c>
      <c r="W1275" s="5" t="s">
        <v>764</v>
      </c>
      <c r="X1275" s="23" t="n">
        <f>182730000</f>
        <v>1.8273E8</v>
      </c>
      <c r="Y1275" s="23" t="n">
        <f>53942</f>
        <v>53942.0</v>
      </c>
      <c r="Z1275" s="21" t="n">
        <f>335343</f>
        <v>335343.0</v>
      </c>
      <c r="AA1275" s="21" t="n">
        <f>36812</f>
        <v>36812.0</v>
      </c>
      <c r="AB1275" s="4" t="s">
        <v>1667</v>
      </c>
      <c r="AC1275" s="22" t="n">
        <f>54526</f>
        <v>54526.0</v>
      </c>
      <c r="AD1275" s="5" t="s">
        <v>442</v>
      </c>
      <c r="AE1275" s="23" t="n">
        <f>4815</f>
        <v>4815.0</v>
      </c>
    </row>
    <row r="1276">
      <c r="A1276" s="24" t="s">
        <v>2164</v>
      </c>
      <c r="B1276" s="25" t="s">
        <v>2165</v>
      </c>
      <c r="C1276" s="26" t="s">
        <v>1748</v>
      </c>
      <c r="D1276" s="27" t="s">
        <v>1749</v>
      </c>
      <c r="E1276" s="28" t="s">
        <v>405</v>
      </c>
      <c r="F1276" s="20" t="n">
        <f>123</f>
        <v>123.0</v>
      </c>
      <c r="G1276" s="21" t="n">
        <f>706223</f>
        <v>706223.0</v>
      </c>
      <c r="H1276" s="21"/>
      <c r="I1276" s="21" t="n">
        <f>37646</f>
        <v>37646.0</v>
      </c>
      <c r="J1276" s="21" t="n">
        <f>5742</f>
        <v>5742.0</v>
      </c>
      <c r="K1276" s="21" t="n">
        <f>306</f>
        <v>306.0</v>
      </c>
      <c r="L1276" s="4" t="s">
        <v>1270</v>
      </c>
      <c r="M1276" s="22" t="n">
        <f>19922</f>
        <v>19922.0</v>
      </c>
      <c r="N1276" s="5" t="s">
        <v>192</v>
      </c>
      <c r="O1276" s="23" t="n">
        <f>1017</f>
        <v>1017.0</v>
      </c>
      <c r="P1276" s="3" t="s">
        <v>2300</v>
      </c>
      <c r="Q1276" s="21"/>
      <c r="R1276" s="3" t="s">
        <v>2301</v>
      </c>
      <c r="S1276" s="21" t="n">
        <f>1475019024</f>
        <v>1.475019024E9</v>
      </c>
      <c r="T1276" s="21" t="n">
        <f>118737154</f>
        <v>1.18737154E8</v>
      </c>
      <c r="U1276" s="5" t="s">
        <v>1667</v>
      </c>
      <c r="V1276" s="23" t="n">
        <f>9803730000</f>
        <v>9.80373E9</v>
      </c>
      <c r="W1276" s="5" t="s">
        <v>192</v>
      </c>
      <c r="X1276" s="23" t="n">
        <f>182790000</f>
        <v>1.8279E8</v>
      </c>
      <c r="Y1276" s="23" t="n">
        <f>85629</f>
        <v>85629.0</v>
      </c>
      <c r="Z1276" s="21" t="n">
        <f>323856</f>
        <v>323856.0</v>
      </c>
      <c r="AA1276" s="21" t="n">
        <f>17534</f>
        <v>17534.0</v>
      </c>
      <c r="AB1276" s="4" t="s">
        <v>262</v>
      </c>
      <c r="AC1276" s="22" t="n">
        <f>54579</f>
        <v>54579.0</v>
      </c>
      <c r="AD1276" s="5" t="s">
        <v>442</v>
      </c>
      <c r="AE1276" s="23" t="n">
        <f>4775</f>
        <v>4775.0</v>
      </c>
    </row>
    <row r="1277">
      <c r="A1277" s="24" t="s">
        <v>2164</v>
      </c>
      <c r="B1277" s="25" t="s">
        <v>2165</v>
      </c>
      <c r="C1277" s="26" t="s">
        <v>1752</v>
      </c>
      <c r="D1277" s="27" t="s">
        <v>1753</v>
      </c>
      <c r="E1277" s="28" t="s">
        <v>405</v>
      </c>
      <c r="F1277" s="20" t="n">
        <f>123</f>
        <v>123.0</v>
      </c>
      <c r="G1277" s="21" t="n">
        <f>1413212</f>
        <v>1413212.0</v>
      </c>
      <c r="H1277" s="21"/>
      <c r="I1277" s="21" t="n">
        <f>86375</f>
        <v>86375.0</v>
      </c>
      <c r="J1277" s="21" t="n">
        <f>11490</f>
        <v>11490.0</v>
      </c>
      <c r="K1277" s="21" t="n">
        <f>702</f>
        <v>702.0</v>
      </c>
      <c r="L1277" s="4" t="s">
        <v>1270</v>
      </c>
      <c r="M1277" s="22" t="n">
        <f>29788</f>
        <v>29788.0</v>
      </c>
      <c r="N1277" s="5" t="s">
        <v>764</v>
      </c>
      <c r="O1277" s="23" t="n">
        <f>3718</f>
        <v>3718.0</v>
      </c>
      <c r="P1277" s="3" t="s">
        <v>2302</v>
      </c>
      <c r="Q1277" s="21"/>
      <c r="R1277" s="3" t="s">
        <v>2303</v>
      </c>
      <c r="S1277" s="21" t="n">
        <f>2705973171</f>
        <v>2.705973171E9</v>
      </c>
      <c r="T1277" s="21" t="n">
        <f>208069756</f>
        <v>2.08069756E8</v>
      </c>
      <c r="U1277" s="5" t="s">
        <v>1667</v>
      </c>
      <c r="V1277" s="23" t="n">
        <f>10790550000</f>
        <v>1.079055E10</v>
      </c>
      <c r="W1277" s="5" t="s">
        <v>1446</v>
      </c>
      <c r="X1277" s="23" t="n">
        <f>469130000</f>
        <v>4.6913E8</v>
      </c>
      <c r="Y1277" s="23" t="n">
        <f>139571</f>
        <v>139571.0</v>
      </c>
      <c r="Z1277" s="21" t="n">
        <f>659199</f>
        <v>659199.0</v>
      </c>
      <c r="AA1277" s="21" t="n">
        <f>54346</f>
        <v>54346.0</v>
      </c>
      <c r="AB1277" s="4" t="s">
        <v>262</v>
      </c>
      <c r="AC1277" s="22" t="n">
        <f>97972</f>
        <v>97972.0</v>
      </c>
      <c r="AD1277" s="5" t="s">
        <v>442</v>
      </c>
      <c r="AE1277" s="23" t="n">
        <f>9590</f>
        <v>9590.0</v>
      </c>
    </row>
    <row r="1278">
      <c r="A1278" s="24" t="s">
        <v>2164</v>
      </c>
      <c r="B1278" s="25" t="s">
        <v>2165</v>
      </c>
      <c r="C1278" s="26" t="s">
        <v>1744</v>
      </c>
      <c r="D1278" s="27" t="s">
        <v>1745</v>
      </c>
      <c r="E1278" s="28" t="s">
        <v>409</v>
      </c>
      <c r="F1278" s="20" t="n">
        <f>121</f>
        <v>121.0</v>
      </c>
      <c r="G1278" s="21" t="n">
        <f>568280</f>
        <v>568280.0</v>
      </c>
      <c r="H1278" s="21"/>
      <c r="I1278" s="21" t="n">
        <f>50329</f>
        <v>50329.0</v>
      </c>
      <c r="J1278" s="21" t="n">
        <f>4697</f>
        <v>4697.0</v>
      </c>
      <c r="K1278" s="21" t="n">
        <f>416</f>
        <v>416.0</v>
      </c>
      <c r="L1278" s="4" t="s">
        <v>211</v>
      </c>
      <c r="M1278" s="22" t="n">
        <f>12076</f>
        <v>12076.0</v>
      </c>
      <c r="N1278" s="5" t="s">
        <v>976</v>
      </c>
      <c r="O1278" s="23" t="n">
        <f>1295</f>
        <v>1295.0</v>
      </c>
      <c r="P1278" s="3" t="s">
        <v>2304</v>
      </c>
      <c r="Q1278" s="21"/>
      <c r="R1278" s="3" t="s">
        <v>2305</v>
      </c>
      <c r="S1278" s="21" t="n">
        <f>884569917</f>
        <v>8.84569917E8</v>
      </c>
      <c r="T1278" s="21" t="n">
        <f>94225455</f>
        <v>9.4225455E7</v>
      </c>
      <c r="U1278" s="5" t="s">
        <v>767</v>
      </c>
      <c r="V1278" s="23" t="n">
        <f>3103910000</f>
        <v>3.10391E9</v>
      </c>
      <c r="W1278" s="5" t="s">
        <v>379</v>
      </c>
      <c r="X1278" s="23" t="n">
        <f>193460000</f>
        <v>1.9346E8</v>
      </c>
      <c r="Y1278" s="23" t="n">
        <f>45447</f>
        <v>45447.0</v>
      </c>
      <c r="Z1278" s="21" t="n">
        <f>331629</f>
        <v>331629.0</v>
      </c>
      <c r="AA1278" s="21" t="n">
        <f>15222</f>
        <v>15222.0</v>
      </c>
      <c r="AB1278" s="4" t="s">
        <v>504</v>
      </c>
      <c r="AC1278" s="22" t="n">
        <f>50624</f>
        <v>50624.0</v>
      </c>
      <c r="AD1278" s="5" t="s">
        <v>285</v>
      </c>
      <c r="AE1278" s="23" t="n">
        <f>4895</f>
        <v>4895.0</v>
      </c>
    </row>
    <row r="1279">
      <c r="A1279" s="24" t="s">
        <v>2164</v>
      </c>
      <c r="B1279" s="25" t="s">
        <v>2165</v>
      </c>
      <c r="C1279" s="26" t="s">
        <v>1748</v>
      </c>
      <c r="D1279" s="27" t="s">
        <v>1749</v>
      </c>
      <c r="E1279" s="28" t="s">
        <v>409</v>
      </c>
      <c r="F1279" s="20" t="n">
        <f>121</f>
        <v>121.0</v>
      </c>
      <c r="G1279" s="21" t="n">
        <f>505635</f>
        <v>505635.0</v>
      </c>
      <c r="H1279" s="21"/>
      <c r="I1279" s="21" t="n">
        <f>36982</f>
        <v>36982.0</v>
      </c>
      <c r="J1279" s="21" t="n">
        <f>4179</f>
        <v>4179.0</v>
      </c>
      <c r="K1279" s="21" t="n">
        <f>306</f>
        <v>306.0</v>
      </c>
      <c r="L1279" s="4" t="s">
        <v>250</v>
      </c>
      <c r="M1279" s="22" t="n">
        <f>14513</f>
        <v>14513.0</v>
      </c>
      <c r="N1279" s="5" t="s">
        <v>202</v>
      </c>
      <c r="O1279" s="23" t="n">
        <f>1319</f>
        <v>1319.0</v>
      </c>
      <c r="P1279" s="3" t="s">
        <v>2306</v>
      </c>
      <c r="Q1279" s="21"/>
      <c r="R1279" s="3" t="s">
        <v>2307</v>
      </c>
      <c r="S1279" s="21" t="n">
        <f>938159752</f>
        <v>9.38159752E8</v>
      </c>
      <c r="T1279" s="21" t="n">
        <f>148636033</f>
        <v>1.48636033E8</v>
      </c>
      <c r="U1279" s="5" t="s">
        <v>306</v>
      </c>
      <c r="V1279" s="23" t="n">
        <f>5735440000</f>
        <v>5.73544E9</v>
      </c>
      <c r="W1279" s="5" t="s">
        <v>314</v>
      </c>
      <c r="X1279" s="23" t="n">
        <f>143920000</f>
        <v>1.4392E8</v>
      </c>
      <c r="Y1279" s="23" t="n">
        <f>49625</f>
        <v>49625.0</v>
      </c>
      <c r="Z1279" s="21" t="n">
        <f>281573</f>
        <v>281573.0</v>
      </c>
      <c r="AA1279" s="21" t="n">
        <f>20531</f>
        <v>20531.0</v>
      </c>
      <c r="AB1279" s="4" t="s">
        <v>504</v>
      </c>
      <c r="AC1279" s="22" t="n">
        <f>48316</f>
        <v>48316.0</v>
      </c>
      <c r="AD1279" s="5" t="s">
        <v>285</v>
      </c>
      <c r="AE1279" s="23" t="n">
        <f>3096</f>
        <v>3096.0</v>
      </c>
    </row>
    <row r="1280">
      <c r="A1280" s="24" t="s">
        <v>2164</v>
      </c>
      <c r="B1280" s="25" t="s">
        <v>2165</v>
      </c>
      <c r="C1280" s="26" t="s">
        <v>1752</v>
      </c>
      <c r="D1280" s="27" t="s">
        <v>1753</v>
      </c>
      <c r="E1280" s="28" t="s">
        <v>409</v>
      </c>
      <c r="F1280" s="20" t="n">
        <f>121</f>
        <v>121.0</v>
      </c>
      <c r="G1280" s="21" t="n">
        <f>1073915</f>
        <v>1073915.0</v>
      </c>
      <c r="H1280" s="21"/>
      <c r="I1280" s="21" t="n">
        <f>87311</f>
        <v>87311.0</v>
      </c>
      <c r="J1280" s="21" t="n">
        <f>8875</f>
        <v>8875.0</v>
      </c>
      <c r="K1280" s="21" t="n">
        <f>722</f>
        <v>722.0</v>
      </c>
      <c r="L1280" s="4" t="s">
        <v>2061</v>
      </c>
      <c r="M1280" s="22" t="n">
        <f>24739</f>
        <v>24739.0</v>
      </c>
      <c r="N1280" s="5" t="s">
        <v>300</v>
      </c>
      <c r="O1280" s="23" t="n">
        <f>3335</f>
        <v>3335.0</v>
      </c>
      <c r="P1280" s="3" t="s">
        <v>2308</v>
      </c>
      <c r="Q1280" s="21"/>
      <c r="R1280" s="3" t="s">
        <v>2309</v>
      </c>
      <c r="S1280" s="21" t="n">
        <f>1822729669</f>
        <v>1.822729669E9</v>
      </c>
      <c r="T1280" s="21" t="n">
        <f>242861488</f>
        <v>2.42861488E8</v>
      </c>
      <c r="U1280" s="5" t="s">
        <v>250</v>
      </c>
      <c r="V1280" s="23" t="n">
        <f>6418420000</f>
        <v>6.41842E9</v>
      </c>
      <c r="W1280" s="5" t="s">
        <v>976</v>
      </c>
      <c r="X1280" s="23" t="n">
        <f>458160000</f>
        <v>4.5816E8</v>
      </c>
      <c r="Y1280" s="23" t="n">
        <f>95072</f>
        <v>95072.0</v>
      </c>
      <c r="Z1280" s="21" t="n">
        <f>613202</f>
        <v>613202.0</v>
      </c>
      <c r="AA1280" s="21" t="n">
        <f>35753</f>
        <v>35753.0</v>
      </c>
      <c r="AB1280" s="4" t="s">
        <v>504</v>
      </c>
      <c r="AC1280" s="22" t="n">
        <f>98940</f>
        <v>98940.0</v>
      </c>
      <c r="AD1280" s="5" t="s">
        <v>285</v>
      </c>
      <c r="AE1280" s="23" t="n">
        <f>7991</f>
        <v>7991.0</v>
      </c>
    </row>
    <row r="1281">
      <c r="A1281" s="24" t="s">
        <v>2164</v>
      </c>
      <c r="B1281" s="25" t="s">
        <v>2165</v>
      </c>
      <c r="C1281" s="26" t="s">
        <v>1744</v>
      </c>
      <c r="D1281" s="27" t="s">
        <v>1745</v>
      </c>
      <c r="E1281" s="28" t="s">
        <v>412</v>
      </c>
      <c r="F1281" s="20" t="n">
        <f>124</f>
        <v>124.0</v>
      </c>
      <c r="G1281" s="21" t="n">
        <f>542530</f>
        <v>542530.0</v>
      </c>
      <c r="H1281" s="21"/>
      <c r="I1281" s="21" t="n">
        <f>68933</f>
        <v>68933.0</v>
      </c>
      <c r="J1281" s="21" t="n">
        <f>4375</f>
        <v>4375.0</v>
      </c>
      <c r="K1281" s="21" t="n">
        <f>556</f>
        <v>556.0</v>
      </c>
      <c r="L1281" s="4" t="s">
        <v>930</v>
      </c>
      <c r="M1281" s="22" t="n">
        <f>11360</f>
        <v>11360.0</v>
      </c>
      <c r="N1281" s="5" t="s">
        <v>924</v>
      </c>
      <c r="O1281" s="23" t="n">
        <f>939</f>
        <v>939.0</v>
      </c>
      <c r="P1281" s="3" t="s">
        <v>2310</v>
      </c>
      <c r="Q1281" s="21"/>
      <c r="R1281" s="3" t="s">
        <v>2311</v>
      </c>
      <c r="S1281" s="21" t="n">
        <f>705974516</f>
        <v>7.05974516E8</v>
      </c>
      <c r="T1281" s="21" t="n">
        <f>94946129</f>
        <v>9.4946129E7</v>
      </c>
      <c r="U1281" s="5" t="s">
        <v>245</v>
      </c>
      <c r="V1281" s="23" t="n">
        <f>2453190000</f>
        <v>2.45319E9</v>
      </c>
      <c r="W1281" s="5" t="s">
        <v>924</v>
      </c>
      <c r="X1281" s="23" t="n">
        <f>151800000</f>
        <v>1.518E8</v>
      </c>
      <c r="Y1281" s="23" t="n">
        <f>4723</f>
        <v>4723.0</v>
      </c>
      <c r="Z1281" s="21" t="n">
        <f>279499</f>
        <v>279499.0</v>
      </c>
      <c r="AA1281" s="21" t="n">
        <f>31752</f>
        <v>31752.0</v>
      </c>
      <c r="AB1281" s="4" t="s">
        <v>1667</v>
      </c>
      <c r="AC1281" s="22" t="n">
        <f>45086</f>
        <v>45086.0</v>
      </c>
      <c r="AD1281" s="5" t="s">
        <v>230</v>
      </c>
      <c r="AE1281" s="23" t="n">
        <f>8061</f>
        <v>8061.0</v>
      </c>
    </row>
    <row r="1282">
      <c r="A1282" s="24" t="s">
        <v>2164</v>
      </c>
      <c r="B1282" s="25" t="s">
        <v>2165</v>
      </c>
      <c r="C1282" s="26" t="s">
        <v>1748</v>
      </c>
      <c r="D1282" s="27" t="s">
        <v>1749</v>
      </c>
      <c r="E1282" s="28" t="s">
        <v>412</v>
      </c>
      <c r="F1282" s="20" t="n">
        <f>124</f>
        <v>124.0</v>
      </c>
      <c r="G1282" s="21" t="n">
        <f>442382</f>
        <v>442382.0</v>
      </c>
      <c r="H1282" s="21"/>
      <c r="I1282" s="21" t="n">
        <f>64647</f>
        <v>64647.0</v>
      </c>
      <c r="J1282" s="21" t="n">
        <f>3568</f>
        <v>3568.0</v>
      </c>
      <c r="K1282" s="21" t="n">
        <f>521</f>
        <v>521.0</v>
      </c>
      <c r="L1282" s="4" t="s">
        <v>930</v>
      </c>
      <c r="M1282" s="22" t="n">
        <f>9119</f>
        <v>9119.0</v>
      </c>
      <c r="N1282" s="5" t="s">
        <v>834</v>
      </c>
      <c r="O1282" s="23" t="n">
        <f>766</f>
        <v>766.0</v>
      </c>
      <c r="P1282" s="3" t="s">
        <v>2312</v>
      </c>
      <c r="Q1282" s="21"/>
      <c r="R1282" s="3" t="s">
        <v>2313</v>
      </c>
      <c r="S1282" s="21" t="n">
        <f>849119435</f>
        <v>8.49119435E8</v>
      </c>
      <c r="T1282" s="21" t="n">
        <f>191263145</f>
        <v>1.91263145E8</v>
      </c>
      <c r="U1282" s="5" t="s">
        <v>1667</v>
      </c>
      <c r="V1282" s="23" t="n">
        <f>3573310000</f>
        <v>3.57331E9</v>
      </c>
      <c r="W1282" s="5" t="s">
        <v>1123</v>
      </c>
      <c r="X1282" s="23" t="n">
        <f>175700000</f>
        <v>1.757E8</v>
      </c>
      <c r="Y1282" s="23" t="n">
        <f>47242</f>
        <v>47242.0</v>
      </c>
      <c r="Z1282" s="21" t="n">
        <f>189899</f>
        <v>189899.0</v>
      </c>
      <c r="AA1282" s="21" t="n">
        <f>6333</f>
        <v>6333.0</v>
      </c>
      <c r="AB1282" s="4" t="s">
        <v>892</v>
      </c>
      <c r="AC1282" s="22" t="n">
        <f>22164</f>
        <v>22164.0</v>
      </c>
      <c r="AD1282" s="5" t="s">
        <v>230</v>
      </c>
      <c r="AE1282" s="23" t="n">
        <f>2855</f>
        <v>2855.0</v>
      </c>
    </row>
    <row r="1283">
      <c r="A1283" s="24" t="s">
        <v>2164</v>
      </c>
      <c r="B1283" s="25" t="s">
        <v>2165</v>
      </c>
      <c r="C1283" s="26" t="s">
        <v>1752</v>
      </c>
      <c r="D1283" s="27" t="s">
        <v>1753</v>
      </c>
      <c r="E1283" s="28" t="s">
        <v>412</v>
      </c>
      <c r="F1283" s="20" t="n">
        <f>124</f>
        <v>124.0</v>
      </c>
      <c r="G1283" s="21" t="n">
        <f>984912</f>
        <v>984912.0</v>
      </c>
      <c r="H1283" s="21"/>
      <c r="I1283" s="21" t="n">
        <f>133580</f>
        <v>133580.0</v>
      </c>
      <c r="J1283" s="21" t="n">
        <f>7943</f>
        <v>7943.0</v>
      </c>
      <c r="K1283" s="21" t="n">
        <f>1077</f>
        <v>1077.0</v>
      </c>
      <c r="L1283" s="4" t="s">
        <v>930</v>
      </c>
      <c r="M1283" s="22" t="n">
        <f>20479</f>
        <v>20479.0</v>
      </c>
      <c r="N1283" s="5" t="s">
        <v>924</v>
      </c>
      <c r="O1283" s="23" t="n">
        <f>1947</f>
        <v>1947.0</v>
      </c>
      <c r="P1283" s="3" t="s">
        <v>2314</v>
      </c>
      <c r="Q1283" s="21"/>
      <c r="R1283" s="3" t="s">
        <v>2315</v>
      </c>
      <c r="S1283" s="21" t="n">
        <f>1555093952</f>
        <v>1.555093952E9</v>
      </c>
      <c r="T1283" s="21" t="n">
        <f>286209274</f>
        <v>2.86209274E8</v>
      </c>
      <c r="U1283" s="5" t="s">
        <v>1667</v>
      </c>
      <c r="V1283" s="23" t="n">
        <f>4867490000</f>
        <v>4.86749E9</v>
      </c>
      <c r="W1283" s="5" t="s">
        <v>924</v>
      </c>
      <c r="X1283" s="23" t="n">
        <f>391250000</f>
        <v>3.9125E8</v>
      </c>
      <c r="Y1283" s="23" t="n">
        <f>51965</f>
        <v>51965.0</v>
      </c>
      <c r="Z1283" s="21" t="n">
        <f>469398</f>
        <v>469398.0</v>
      </c>
      <c r="AA1283" s="21" t="n">
        <f>38085</f>
        <v>38085.0</v>
      </c>
      <c r="AB1283" s="4" t="s">
        <v>343</v>
      </c>
      <c r="AC1283" s="22" t="n">
        <f>58070</f>
        <v>58070.0</v>
      </c>
      <c r="AD1283" s="5" t="s">
        <v>230</v>
      </c>
      <c r="AE1283" s="23" t="n">
        <f>10916</f>
        <v>10916.0</v>
      </c>
    </row>
    <row r="1284">
      <c r="A1284" s="24" t="s">
        <v>2164</v>
      </c>
      <c r="B1284" s="25" t="s">
        <v>2165</v>
      </c>
      <c r="C1284" s="26" t="s">
        <v>1744</v>
      </c>
      <c r="D1284" s="27" t="s">
        <v>1745</v>
      </c>
      <c r="E1284" s="28" t="s">
        <v>415</v>
      </c>
      <c r="F1284" s="20" t="n">
        <f>121</f>
        <v>121.0</v>
      </c>
      <c r="G1284" s="21" t="n">
        <f>547693</f>
        <v>547693.0</v>
      </c>
      <c r="H1284" s="21"/>
      <c r="I1284" s="21" t="n">
        <f>53401</f>
        <v>53401.0</v>
      </c>
      <c r="J1284" s="21" t="n">
        <f>4526</f>
        <v>4526.0</v>
      </c>
      <c r="K1284" s="21" t="n">
        <f>441</f>
        <v>441.0</v>
      </c>
      <c r="L1284" s="4" t="s">
        <v>1140</v>
      </c>
      <c r="M1284" s="22" t="n">
        <f>11574</f>
        <v>11574.0</v>
      </c>
      <c r="N1284" s="5" t="s">
        <v>440</v>
      </c>
      <c r="O1284" s="23" t="n">
        <f>1156</f>
        <v>1156.0</v>
      </c>
      <c r="P1284" s="3" t="s">
        <v>2316</v>
      </c>
      <c r="Q1284" s="21"/>
      <c r="R1284" s="3" t="s">
        <v>2317</v>
      </c>
      <c r="S1284" s="21" t="n">
        <f>974991901</f>
        <v>9.74991901E8</v>
      </c>
      <c r="T1284" s="21" t="n">
        <f>119288099</f>
        <v>1.19288099E8</v>
      </c>
      <c r="U1284" s="5" t="s">
        <v>306</v>
      </c>
      <c r="V1284" s="23" t="n">
        <f>5400650000</f>
        <v>5.40065E9</v>
      </c>
      <c r="W1284" s="5" t="s">
        <v>379</v>
      </c>
      <c r="X1284" s="23" t="n">
        <f>135510000</f>
        <v>1.3551E8</v>
      </c>
      <c r="Y1284" s="23" t="n">
        <f>21385</f>
        <v>21385.0</v>
      </c>
      <c r="Z1284" s="21" t="n">
        <f>215779</f>
        <v>215779.0</v>
      </c>
      <c r="AA1284" s="21" t="n">
        <f>17054</f>
        <v>17054.0</v>
      </c>
      <c r="AB1284" s="4" t="s">
        <v>250</v>
      </c>
      <c r="AC1284" s="22" t="n">
        <f>25676</f>
        <v>25676.0</v>
      </c>
      <c r="AD1284" s="5" t="s">
        <v>285</v>
      </c>
      <c r="AE1284" s="23" t="n">
        <f>3250</f>
        <v>3250.0</v>
      </c>
    </row>
    <row r="1285">
      <c r="A1285" s="24" t="s">
        <v>2164</v>
      </c>
      <c r="B1285" s="25" t="s">
        <v>2165</v>
      </c>
      <c r="C1285" s="26" t="s">
        <v>1748</v>
      </c>
      <c r="D1285" s="27" t="s">
        <v>1749</v>
      </c>
      <c r="E1285" s="28" t="s">
        <v>415</v>
      </c>
      <c r="F1285" s="20" t="n">
        <f>121</f>
        <v>121.0</v>
      </c>
      <c r="G1285" s="21" t="n">
        <f>456413</f>
        <v>456413.0</v>
      </c>
      <c r="H1285" s="21"/>
      <c r="I1285" s="21" t="n">
        <f>26853</f>
        <v>26853.0</v>
      </c>
      <c r="J1285" s="21" t="n">
        <f>3772</f>
        <v>3772.0</v>
      </c>
      <c r="K1285" s="21" t="n">
        <f>222</f>
        <v>222.0</v>
      </c>
      <c r="L1285" s="4" t="s">
        <v>968</v>
      </c>
      <c r="M1285" s="22" t="n">
        <f>9400</f>
        <v>9400.0</v>
      </c>
      <c r="N1285" s="5" t="s">
        <v>440</v>
      </c>
      <c r="O1285" s="23" t="n">
        <f>970</f>
        <v>970.0</v>
      </c>
      <c r="P1285" s="3" t="s">
        <v>2318</v>
      </c>
      <c r="Q1285" s="21"/>
      <c r="R1285" s="3" t="s">
        <v>2319</v>
      </c>
      <c r="S1285" s="21" t="n">
        <f>791062810</f>
        <v>7.9106281E8</v>
      </c>
      <c r="T1285" s="21" t="n">
        <f>66015041</f>
        <v>6.6015041E7</v>
      </c>
      <c r="U1285" s="5" t="s">
        <v>105</v>
      </c>
      <c r="V1285" s="23" t="n">
        <f>2431910000</f>
        <v>2.43191E9</v>
      </c>
      <c r="W1285" s="5" t="s">
        <v>511</v>
      </c>
      <c r="X1285" s="23" t="n">
        <f>183910000</f>
        <v>1.8391E8</v>
      </c>
      <c r="Y1285" s="23" t="n">
        <f>21255</f>
        <v>21255.0</v>
      </c>
      <c r="Z1285" s="21" t="n">
        <f>128701</f>
        <v>128701.0</v>
      </c>
      <c r="AA1285" s="21" t="n">
        <f>6370</f>
        <v>6370.0</v>
      </c>
      <c r="AB1285" s="4" t="s">
        <v>306</v>
      </c>
      <c r="AC1285" s="22" t="n">
        <f>29175</f>
        <v>29175.0</v>
      </c>
      <c r="AD1285" s="5" t="s">
        <v>285</v>
      </c>
      <c r="AE1285" s="23" t="n">
        <f>2921</f>
        <v>2921.0</v>
      </c>
    </row>
    <row r="1286">
      <c r="A1286" s="24" t="s">
        <v>2164</v>
      </c>
      <c r="B1286" s="25" t="s">
        <v>2165</v>
      </c>
      <c r="C1286" s="26" t="s">
        <v>1752</v>
      </c>
      <c r="D1286" s="27" t="s">
        <v>1753</v>
      </c>
      <c r="E1286" s="28" t="s">
        <v>415</v>
      </c>
      <c r="F1286" s="20" t="n">
        <f>121</f>
        <v>121.0</v>
      </c>
      <c r="G1286" s="21" t="n">
        <f>1004106</f>
        <v>1004106.0</v>
      </c>
      <c r="H1286" s="21"/>
      <c r="I1286" s="21" t="n">
        <f>80254</f>
        <v>80254.0</v>
      </c>
      <c r="J1286" s="21" t="n">
        <f>8298</f>
        <v>8298.0</v>
      </c>
      <c r="K1286" s="21" t="n">
        <f>663</f>
        <v>663.0</v>
      </c>
      <c r="L1286" s="4" t="s">
        <v>968</v>
      </c>
      <c r="M1286" s="22" t="n">
        <f>19631</f>
        <v>19631.0</v>
      </c>
      <c r="N1286" s="5" t="s">
        <v>440</v>
      </c>
      <c r="O1286" s="23" t="n">
        <f>2126</f>
        <v>2126.0</v>
      </c>
      <c r="P1286" s="3" t="s">
        <v>2320</v>
      </c>
      <c r="Q1286" s="21"/>
      <c r="R1286" s="3" t="s">
        <v>2321</v>
      </c>
      <c r="S1286" s="21" t="n">
        <f>1766054711</f>
        <v>1.766054711E9</v>
      </c>
      <c r="T1286" s="21" t="n">
        <f>185303140</f>
        <v>1.8530314E8</v>
      </c>
      <c r="U1286" s="5" t="s">
        <v>306</v>
      </c>
      <c r="V1286" s="23" t="n">
        <f>6030470000</f>
        <v>6.03047E9</v>
      </c>
      <c r="W1286" s="5" t="s">
        <v>511</v>
      </c>
      <c r="X1286" s="23" t="n">
        <f>382020000</f>
        <v>3.8202E8</v>
      </c>
      <c r="Y1286" s="23" t="n">
        <f>42640</f>
        <v>42640.0</v>
      </c>
      <c r="Z1286" s="21" t="n">
        <f>344480</f>
        <v>344480.0</v>
      </c>
      <c r="AA1286" s="21" t="n">
        <f>23424</f>
        <v>23424.0</v>
      </c>
      <c r="AB1286" s="4" t="s">
        <v>1836</v>
      </c>
      <c r="AC1286" s="22" t="n">
        <f>50597</f>
        <v>50597.0</v>
      </c>
      <c r="AD1286" s="5" t="s">
        <v>285</v>
      </c>
      <c r="AE1286" s="23" t="n">
        <f>6171</f>
        <v>6171.0</v>
      </c>
    </row>
    <row r="1287">
      <c r="A1287" s="24" t="s">
        <v>2164</v>
      </c>
      <c r="B1287" s="25" t="s">
        <v>2165</v>
      </c>
      <c r="C1287" s="26" t="s">
        <v>1744</v>
      </c>
      <c r="D1287" s="27" t="s">
        <v>1745</v>
      </c>
      <c r="E1287" s="28" t="s">
        <v>418</v>
      </c>
      <c r="F1287" s="20" t="n">
        <f>124</f>
        <v>124.0</v>
      </c>
      <c r="G1287" s="21" t="n">
        <f>471528</f>
        <v>471528.0</v>
      </c>
      <c r="H1287" s="21"/>
      <c r="I1287" s="21" t="n">
        <f>55094</f>
        <v>55094.0</v>
      </c>
      <c r="J1287" s="21" t="n">
        <f>3803</f>
        <v>3803.0</v>
      </c>
      <c r="K1287" s="21" t="n">
        <f>444</f>
        <v>444.0</v>
      </c>
      <c r="L1287" s="4" t="s">
        <v>1148</v>
      </c>
      <c r="M1287" s="22" t="n">
        <f>8763</f>
        <v>8763.0</v>
      </c>
      <c r="N1287" s="5" t="s">
        <v>419</v>
      </c>
      <c r="O1287" s="23" t="n">
        <f>913</f>
        <v>913.0</v>
      </c>
      <c r="P1287" s="3" t="s">
        <v>2322</v>
      </c>
      <c r="Q1287" s="21"/>
      <c r="R1287" s="3" t="s">
        <v>2323</v>
      </c>
      <c r="S1287" s="21" t="n">
        <f>599531935</f>
        <v>5.99531935E8</v>
      </c>
      <c r="T1287" s="21" t="n">
        <f>98947177</f>
        <v>9.8947177E7</v>
      </c>
      <c r="U1287" s="5" t="s">
        <v>1148</v>
      </c>
      <c r="V1287" s="23" t="n">
        <f>2203590000</f>
        <v>2.20359E9</v>
      </c>
      <c r="W1287" s="5" t="s">
        <v>419</v>
      </c>
      <c r="X1287" s="23" t="n">
        <f>112540000</f>
        <v>1.1254E8</v>
      </c>
      <c r="Y1287" s="23" t="n">
        <f>8007</f>
        <v>8007.0</v>
      </c>
      <c r="Z1287" s="21" t="n">
        <f>232616</f>
        <v>232616.0</v>
      </c>
      <c r="AA1287" s="21" t="n">
        <f>21255</f>
        <v>21255.0</v>
      </c>
      <c r="AB1287" s="4" t="s">
        <v>1003</v>
      </c>
      <c r="AC1287" s="22" t="n">
        <f>31763</f>
        <v>31763.0</v>
      </c>
      <c r="AD1287" s="5" t="s">
        <v>442</v>
      </c>
      <c r="AE1287" s="23" t="n">
        <f>5354</f>
        <v>5354.0</v>
      </c>
    </row>
    <row r="1288">
      <c r="A1288" s="24" t="s">
        <v>2164</v>
      </c>
      <c r="B1288" s="25" t="s">
        <v>2165</v>
      </c>
      <c r="C1288" s="26" t="s">
        <v>1748</v>
      </c>
      <c r="D1288" s="27" t="s">
        <v>1749</v>
      </c>
      <c r="E1288" s="28" t="s">
        <v>418</v>
      </c>
      <c r="F1288" s="20" t="n">
        <f>124</f>
        <v>124.0</v>
      </c>
      <c r="G1288" s="21" t="n">
        <f>345655</f>
        <v>345655.0</v>
      </c>
      <c r="H1288" s="21"/>
      <c r="I1288" s="21" t="n">
        <f>36974</f>
        <v>36974.0</v>
      </c>
      <c r="J1288" s="21" t="n">
        <f>2788</f>
        <v>2788.0</v>
      </c>
      <c r="K1288" s="21" t="n">
        <f>298</f>
        <v>298.0</v>
      </c>
      <c r="L1288" s="4" t="s">
        <v>859</v>
      </c>
      <c r="M1288" s="22" t="n">
        <f>9610</f>
        <v>9610.0</v>
      </c>
      <c r="N1288" s="5" t="s">
        <v>332</v>
      </c>
      <c r="O1288" s="23" t="n">
        <f>745</f>
        <v>745.0</v>
      </c>
      <c r="P1288" s="3" t="s">
        <v>2324</v>
      </c>
      <c r="Q1288" s="21"/>
      <c r="R1288" s="3" t="s">
        <v>2325</v>
      </c>
      <c r="S1288" s="21" t="n">
        <f>589892419</f>
        <v>5.89892419E8</v>
      </c>
      <c r="T1288" s="21" t="n">
        <f>101229435</f>
        <v>1.01229435E8</v>
      </c>
      <c r="U1288" s="5" t="s">
        <v>859</v>
      </c>
      <c r="V1288" s="23" t="n">
        <f>1964020000</f>
        <v>1.96402E9</v>
      </c>
      <c r="W1288" s="5" t="s">
        <v>123</v>
      </c>
      <c r="X1288" s="23" t="n">
        <f>133880000</f>
        <v>1.3388E8</v>
      </c>
      <c r="Y1288" s="23" t="n">
        <f>27527</f>
        <v>27527.0</v>
      </c>
      <c r="Z1288" s="21" t="n">
        <f>118371</f>
        <v>118371.0</v>
      </c>
      <c r="AA1288" s="21" t="n">
        <f>15808</f>
        <v>15808.0</v>
      </c>
      <c r="AB1288" s="4" t="s">
        <v>129</v>
      </c>
      <c r="AC1288" s="22" t="n">
        <f>18362</f>
        <v>18362.0</v>
      </c>
      <c r="AD1288" s="5" t="s">
        <v>335</v>
      </c>
      <c r="AE1288" s="23" t="n">
        <f>3057</f>
        <v>3057.0</v>
      </c>
    </row>
    <row r="1289">
      <c r="A1289" s="24" t="s">
        <v>2164</v>
      </c>
      <c r="B1289" s="25" t="s">
        <v>2165</v>
      </c>
      <c r="C1289" s="26" t="s">
        <v>1752</v>
      </c>
      <c r="D1289" s="27" t="s">
        <v>1753</v>
      </c>
      <c r="E1289" s="28" t="s">
        <v>418</v>
      </c>
      <c r="F1289" s="20" t="n">
        <f>124</f>
        <v>124.0</v>
      </c>
      <c r="G1289" s="21" t="n">
        <f>817183</f>
        <v>817183.0</v>
      </c>
      <c r="H1289" s="21"/>
      <c r="I1289" s="21" t="n">
        <f>92068</f>
        <v>92068.0</v>
      </c>
      <c r="J1289" s="21" t="n">
        <f>6590</f>
        <v>6590.0</v>
      </c>
      <c r="K1289" s="21" t="n">
        <f>742</f>
        <v>742.0</v>
      </c>
      <c r="L1289" s="4" t="s">
        <v>859</v>
      </c>
      <c r="M1289" s="22" t="n">
        <f>15388</f>
        <v>15388.0</v>
      </c>
      <c r="N1289" s="5" t="s">
        <v>419</v>
      </c>
      <c r="O1289" s="23" t="n">
        <f>2016</f>
        <v>2016.0</v>
      </c>
      <c r="P1289" s="3" t="s">
        <v>2326</v>
      </c>
      <c r="Q1289" s="21"/>
      <c r="R1289" s="3" t="s">
        <v>2327</v>
      </c>
      <c r="S1289" s="21" t="n">
        <f>1189424355</f>
        <v>1.189424355E9</v>
      </c>
      <c r="T1289" s="21" t="n">
        <f>200176613</f>
        <v>2.00176613E8</v>
      </c>
      <c r="U1289" s="5" t="s">
        <v>1148</v>
      </c>
      <c r="V1289" s="23" t="n">
        <f>3489750000</f>
        <v>3.48975E9</v>
      </c>
      <c r="W1289" s="5" t="s">
        <v>419</v>
      </c>
      <c r="X1289" s="23" t="n">
        <f>282260000</f>
        <v>2.8226E8</v>
      </c>
      <c r="Y1289" s="23" t="n">
        <f>35534</f>
        <v>35534.0</v>
      </c>
      <c r="Z1289" s="21" t="n">
        <f>350987</f>
        <v>350987.0</v>
      </c>
      <c r="AA1289" s="21" t="n">
        <f>37063</f>
        <v>37063.0</v>
      </c>
      <c r="AB1289" s="4" t="s">
        <v>57</v>
      </c>
      <c r="AC1289" s="22" t="n">
        <f>49434</f>
        <v>49434.0</v>
      </c>
      <c r="AD1289" s="5" t="s">
        <v>442</v>
      </c>
      <c r="AE1289" s="23" t="n">
        <f>8846</f>
        <v>8846.0</v>
      </c>
    </row>
    <row r="1290">
      <c r="A1290" s="24" t="s">
        <v>2164</v>
      </c>
      <c r="B1290" s="25" t="s">
        <v>2165</v>
      </c>
      <c r="C1290" s="26" t="s">
        <v>1744</v>
      </c>
      <c r="D1290" s="27" t="s">
        <v>1745</v>
      </c>
      <c r="E1290" s="28" t="s">
        <v>422</v>
      </c>
      <c r="F1290" s="20" t="n">
        <f>122</f>
        <v>122.0</v>
      </c>
      <c r="G1290" s="21" t="n">
        <f>753295</f>
        <v>753295.0</v>
      </c>
      <c r="H1290" s="21"/>
      <c r="I1290" s="21" t="n">
        <f>85061</f>
        <v>85061.0</v>
      </c>
      <c r="J1290" s="21" t="n">
        <f>6175</f>
        <v>6175.0</v>
      </c>
      <c r="K1290" s="21" t="n">
        <f>697</f>
        <v>697.0</v>
      </c>
      <c r="L1290" s="4" t="s">
        <v>94</v>
      </c>
      <c r="M1290" s="22" t="n">
        <f>19384</f>
        <v>19384.0</v>
      </c>
      <c r="N1290" s="5" t="s">
        <v>82</v>
      </c>
      <c r="O1290" s="23" t="n">
        <f>2035</f>
        <v>2035.0</v>
      </c>
      <c r="P1290" s="3" t="s">
        <v>2328</v>
      </c>
      <c r="Q1290" s="21"/>
      <c r="R1290" s="3" t="s">
        <v>2329</v>
      </c>
      <c r="S1290" s="21" t="n">
        <f>907575574</f>
        <v>9.07575574E8</v>
      </c>
      <c r="T1290" s="21" t="n">
        <f>139567541</f>
        <v>1.39567541E8</v>
      </c>
      <c r="U1290" s="5" t="s">
        <v>94</v>
      </c>
      <c r="V1290" s="23" t="n">
        <f>5004410000</f>
        <v>5.00441E9</v>
      </c>
      <c r="W1290" s="5" t="s">
        <v>50</v>
      </c>
      <c r="X1290" s="23" t="n">
        <f>113000000</f>
        <v>1.13E8</v>
      </c>
      <c r="Y1290" s="23" t="n">
        <f>26064</f>
        <v>26064.0</v>
      </c>
      <c r="Z1290" s="21" t="n">
        <f>315715</f>
        <v>315715.0</v>
      </c>
      <c r="AA1290" s="21" t="n">
        <f>35628</f>
        <v>35628.0</v>
      </c>
      <c r="AB1290" s="4" t="s">
        <v>2144</v>
      </c>
      <c r="AC1290" s="22" t="n">
        <f>55343</f>
        <v>55343.0</v>
      </c>
      <c r="AD1290" s="5" t="s">
        <v>82</v>
      </c>
      <c r="AE1290" s="23" t="n">
        <f>9017</f>
        <v>9017.0</v>
      </c>
    </row>
    <row r="1291">
      <c r="A1291" s="24" t="s">
        <v>2164</v>
      </c>
      <c r="B1291" s="25" t="s">
        <v>2165</v>
      </c>
      <c r="C1291" s="26" t="s">
        <v>1748</v>
      </c>
      <c r="D1291" s="27" t="s">
        <v>1749</v>
      </c>
      <c r="E1291" s="28" t="s">
        <v>422</v>
      </c>
      <c r="F1291" s="20" t="n">
        <f>122</f>
        <v>122.0</v>
      </c>
      <c r="G1291" s="21" t="n">
        <f>456409</f>
        <v>456409.0</v>
      </c>
      <c r="H1291" s="21"/>
      <c r="I1291" s="21" t="n">
        <f>50840</f>
        <v>50840.0</v>
      </c>
      <c r="J1291" s="21" t="n">
        <f>3741</f>
        <v>3741.0</v>
      </c>
      <c r="K1291" s="21" t="n">
        <f>417</f>
        <v>417.0</v>
      </c>
      <c r="L1291" s="4" t="s">
        <v>1000</v>
      </c>
      <c r="M1291" s="22" t="n">
        <f>11116</f>
        <v>11116.0</v>
      </c>
      <c r="N1291" s="5" t="s">
        <v>259</v>
      </c>
      <c r="O1291" s="23" t="n">
        <f>1204</f>
        <v>1204.0</v>
      </c>
      <c r="P1291" s="3" t="s">
        <v>2330</v>
      </c>
      <c r="Q1291" s="21"/>
      <c r="R1291" s="3" t="s">
        <v>2331</v>
      </c>
      <c r="S1291" s="21" t="n">
        <f>688366311</f>
        <v>6.88366311E8</v>
      </c>
      <c r="T1291" s="21" t="n">
        <f>110167869</f>
        <v>1.10167869E8</v>
      </c>
      <c r="U1291" s="5" t="s">
        <v>1000</v>
      </c>
      <c r="V1291" s="23" t="n">
        <f>2452920000</f>
        <v>2.45292E9</v>
      </c>
      <c r="W1291" s="5" t="s">
        <v>455</v>
      </c>
      <c r="X1291" s="23" t="n">
        <f>168020000</f>
        <v>1.6802E8</v>
      </c>
      <c r="Y1291" s="23" t="n">
        <f>26987</f>
        <v>26987.0</v>
      </c>
      <c r="Z1291" s="21" t="n">
        <f>169219</f>
        <v>169219.0</v>
      </c>
      <c r="AA1291" s="21" t="n">
        <f>16049</f>
        <v>16049.0</v>
      </c>
      <c r="AB1291" s="4" t="s">
        <v>306</v>
      </c>
      <c r="AC1291" s="22" t="n">
        <f>32083</f>
        <v>32083.0</v>
      </c>
      <c r="AD1291" s="5" t="s">
        <v>285</v>
      </c>
      <c r="AE1291" s="23" t="n">
        <f>5159</f>
        <v>5159.0</v>
      </c>
    </row>
    <row r="1292">
      <c r="A1292" s="24" t="s">
        <v>2164</v>
      </c>
      <c r="B1292" s="25" t="s">
        <v>2165</v>
      </c>
      <c r="C1292" s="26" t="s">
        <v>1752</v>
      </c>
      <c r="D1292" s="27" t="s">
        <v>1753</v>
      </c>
      <c r="E1292" s="28" t="s">
        <v>422</v>
      </c>
      <c r="F1292" s="20" t="n">
        <f>122</f>
        <v>122.0</v>
      </c>
      <c r="G1292" s="21" t="n">
        <f>1209704</f>
        <v>1209704.0</v>
      </c>
      <c r="H1292" s="21"/>
      <c r="I1292" s="21" t="n">
        <f>135901</f>
        <v>135901.0</v>
      </c>
      <c r="J1292" s="21" t="n">
        <f>9916</f>
        <v>9916.0</v>
      </c>
      <c r="K1292" s="21" t="n">
        <f>1114</f>
        <v>1114.0</v>
      </c>
      <c r="L1292" s="4" t="s">
        <v>94</v>
      </c>
      <c r="M1292" s="22" t="n">
        <f>28139</f>
        <v>28139.0</v>
      </c>
      <c r="N1292" s="5" t="s">
        <v>323</v>
      </c>
      <c r="O1292" s="23" t="n">
        <f>4520</f>
        <v>4520.0</v>
      </c>
      <c r="P1292" s="3" t="s">
        <v>2332</v>
      </c>
      <c r="Q1292" s="21"/>
      <c r="R1292" s="3" t="s">
        <v>2333</v>
      </c>
      <c r="S1292" s="21" t="n">
        <f>1595941885</f>
        <v>1.595941885E9</v>
      </c>
      <c r="T1292" s="21" t="n">
        <f>249735410</f>
        <v>2.4973541E8</v>
      </c>
      <c r="U1292" s="5" t="s">
        <v>94</v>
      </c>
      <c r="V1292" s="23" t="n">
        <f>6559680000</f>
        <v>6.55968E9</v>
      </c>
      <c r="W1292" s="5" t="s">
        <v>582</v>
      </c>
      <c r="X1292" s="23" t="n">
        <f>522450000</f>
        <v>5.2245E8</v>
      </c>
      <c r="Y1292" s="23" t="n">
        <f>53051</f>
        <v>53051.0</v>
      </c>
      <c r="Z1292" s="21" t="n">
        <f>484934</f>
        <v>484934.0</v>
      </c>
      <c r="AA1292" s="21" t="n">
        <f>51677</f>
        <v>51677.0</v>
      </c>
      <c r="AB1292" s="4" t="s">
        <v>516</v>
      </c>
      <c r="AC1292" s="22" t="n">
        <f>72784</f>
        <v>72784.0</v>
      </c>
      <c r="AD1292" s="5" t="s">
        <v>82</v>
      </c>
      <c r="AE1292" s="23" t="n">
        <f>16927</f>
        <v>16927.0</v>
      </c>
    </row>
    <row r="1293">
      <c r="A1293" s="24" t="s">
        <v>2164</v>
      </c>
      <c r="B1293" s="25" t="s">
        <v>2165</v>
      </c>
      <c r="C1293" s="26" t="s">
        <v>1744</v>
      </c>
      <c r="D1293" s="27" t="s">
        <v>1745</v>
      </c>
      <c r="E1293" s="28" t="s">
        <v>425</v>
      </c>
      <c r="F1293" s="20" t="n">
        <f>125</f>
        <v>125.0</v>
      </c>
      <c r="G1293" s="21" t="n">
        <f>745347</f>
        <v>745347.0</v>
      </c>
      <c r="H1293" s="21"/>
      <c r="I1293" s="21" t="n">
        <f>89789</f>
        <v>89789.0</v>
      </c>
      <c r="J1293" s="21" t="n">
        <f>5963</f>
        <v>5963.0</v>
      </c>
      <c r="K1293" s="21" t="n">
        <f>718</f>
        <v>718.0</v>
      </c>
      <c r="L1293" s="4" t="s">
        <v>263</v>
      </c>
      <c r="M1293" s="22" t="n">
        <f>15365</f>
        <v>15365.0</v>
      </c>
      <c r="N1293" s="5" t="s">
        <v>450</v>
      </c>
      <c r="O1293" s="23" t="n">
        <f>1302</f>
        <v>1302.0</v>
      </c>
      <c r="P1293" s="3" t="s">
        <v>2334</v>
      </c>
      <c r="Q1293" s="21"/>
      <c r="R1293" s="3" t="s">
        <v>2335</v>
      </c>
      <c r="S1293" s="21" t="n">
        <f>684156000</f>
        <v>6.84156E8</v>
      </c>
      <c r="T1293" s="21" t="n">
        <f>93636400</f>
        <v>9.36364E7</v>
      </c>
      <c r="U1293" s="5" t="s">
        <v>263</v>
      </c>
      <c r="V1293" s="23" t="n">
        <f>2286910000</f>
        <v>2.28691E9</v>
      </c>
      <c r="W1293" s="5" t="s">
        <v>895</v>
      </c>
      <c r="X1293" s="23" t="n">
        <f>94560000</f>
        <v>9.456E7</v>
      </c>
      <c r="Y1293" s="23" t="n">
        <f>7088</f>
        <v>7088.0</v>
      </c>
      <c r="Z1293" s="21" t="n">
        <f>215657</f>
        <v>215657.0</v>
      </c>
      <c r="AA1293" s="21" t="n">
        <f>30698</f>
        <v>30698.0</v>
      </c>
      <c r="AB1293" s="4" t="s">
        <v>1913</v>
      </c>
      <c r="AC1293" s="22" t="n">
        <f>71392</f>
        <v>71392.0</v>
      </c>
      <c r="AD1293" s="5" t="s">
        <v>245</v>
      </c>
      <c r="AE1293" s="23" t="n">
        <f>9174</f>
        <v>9174.0</v>
      </c>
    </row>
    <row r="1294">
      <c r="A1294" s="24" t="s">
        <v>2164</v>
      </c>
      <c r="B1294" s="25" t="s">
        <v>2165</v>
      </c>
      <c r="C1294" s="26" t="s">
        <v>1748</v>
      </c>
      <c r="D1294" s="27" t="s">
        <v>1749</v>
      </c>
      <c r="E1294" s="28" t="s">
        <v>425</v>
      </c>
      <c r="F1294" s="20" t="n">
        <f>125</f>
        <v>125.0</v>
      </c>
      <c r="G1294" s="21" t="n">
        <f>420471</f>
        <v>420471.0</v>
      </c>
      <c r="H1294" s="21"/>
      <c r="I1294" s="21" t="n">
        <f>49798</f>
        <v>49798.0</v>
      </c>
      <c r="J1294" s="21" t="n">
        <f>3364</f>
        <v>3364.0</v>
      </c>
      <c r="K1294" s="21" t="n">
        <f>398</f>
        <v>398.0</v>
      </c>
      <c r="L1294" s="4" t="s">
        <v>784</v>
      </c>
      <c r="M1294" s="22" t="n">
        <f>11641</f>
        <v>11641.0</v>
      </c>
      <c r="N1294" s="5" t="s">
        <v>237</v>
      </c>
      <c r="O1294" s="23" t="n">
        <f>684</f>
        <v>684.0</v>
      </c>
      <c r="P1294" s="3" t="s">
        <v>2336</v>
      </c>
      <c r="Q1294" s="21"/>
      <c r="R1294" s="3" t="s">
        <v>2337</v>
      </c>
      <c r="S1294" s="21" t="n">
        <f>611806800</f>
        <v>6.118068E8</v>
      </c>
      <c r="T1294" s="21" t="n">
        <f>146565680</f>
        <v>1.4656568E8</v>
      </c>
      <c r="U1294" s="5" t="s">
        <v>1080</v>
      </c>
      <c r="V1294" s="23" t="n">
        <f>3979130000</f>
        <v>3.97913E9</v>
      </c>
      <c r="W1294" s="5" t="s">
        <v>895</v>
      </c>
      <c r="X1294" s="23" t="n">
        <f>93800000</f>
        <v>9.38E7</v>
      </c>
      <c r="Y1294" s="23" t="n">
        <f>46512</f>
        <v>46512.0</v>
      </c>
      <c r="Z1294" s="21" t="n">
        <f>94488</f>
        <v>94488.0</v>
      </c>
      <c r="AA1294" s="21" t="n">
        <f>5882</f>
        <v>5882.0</v>
      </c>
      <c r="AB1294" s="4" t="s">
        <v>1080</v>
      </c>
      <c r="AC1294" s="22" t="n">
        <f>27417</f>
        <v>27417.0</v>
      </c>
      <c r="AD1294" s="5" t="s">
        <v>245</v>
      </c>
      <c r="AE1294" s="23" t="n">
        <f>3317</f>
        <v>3317.0</v>
      </c>
    </row>
    <row r="1295">
      <c r="A1295" s="24" t="s">
        <v>2164</v>
      </c>
      <c r="B1295" s="25" t="s">
        <v>2165</v>
      </c>
      <c r="C1295" s="26" t="s">
        <v>1752</v>
      </c>
      <c r="D1295" s="27" t="s">
        <v>1753</v>
      </c>
      <c r="E1295" s="28" t="s">
        <v>425</v>
      </c>
      <c r="F1295" s="20" t="n">
        <f>125</f>
        <v>125.0</v>
      </c>
      <c r="G1295" s="21" t="n">
        <f>1165818</f>
        <v>1165818.0</v>
      </c>
      <c r="H1295" s="21"/>
      <c r="I1295" s="21" t="n">
        <f>139587</f>
        <v>139587.0</v>
      </c>
      <c r="J1295" s="21" t="n">
        <f>9327</f>
        <v>9327.0</v>
      </c>
      <c r="K1295" s="21" t="n">
        <f>1117</f>
        <v>1117.0</v>
      </c>
      <c r="L1295" s="4" t="s">
        <v>784</v>
      </c>
      <c r="M1295" s="22" t="n">
        <f>22706</f>
        <v>22706.0</v>
      </c>
      <c r="N1295" s="5" t="s">
        <v>450</v>
      </c>
      <c r="O1295" s="23" t="n">
        <f>3152</f>
        <v>3152.0</v>
      </c>
      <c r="P1295" s="3" t="s">
        <v>2338</v>
      </c>
      <c r="Q1295" s="21"/>
      <c r="R1295" s="3" t="s">
        <v>2339</v>
      </c>
      <c r="S1295" s="21" t="n">
        <f>1295962800</f>
        <v>1.2959628E9</v>
      </c>
      <c r="T1295" s="21" t="n">
        <f>240202080</f>
        <v>2.4020208E8</v>
      </c>
      <c r="U1295" s="5" t="s">
        <v>1080</v>
      </c>
      <c r="V1295" s="23" t="n">
        <f>4493540000</f>
        <v>4.49354E9</v>
      </c>
      <c r="W1295" s="5" t="s">
        <v>895</v>
      </c>
      <c r="X1295" s="23" t="n">
        <f>188360000</f>
        <v>1.8836E8</v>
      </c>
      <c r="Y1295" s="23" t="n">
        <f>53600</f>
        <v>53600.0</v>
      </c>
      <c r="Z1295" s="21" t="n">
        <f>310145</f>
        <v>310145.0</v>
      </c>
      <c r="AA1295" s="21" t="n">
        <f>36580</f>
        <v>36580.0</v>
      </c>
      <c r="AB1295" s="4" t="s">
        <v>1080</v>
      </c>
      <c r="AC1295" s="22" t="n">
        <f>97847</f>
        <v>97847.0</v>
      </c>
      <c r="AD1295" s="5" t="s">
        <v>245</v>
      </c>
      <c r="AE1295" s="23" t="n">
        <f>12491</f>
        <v>12491.0</v>
      </c>
    </row>
    <row r="1296">
      <c r="A1296" s="24" t="s">
        <v>2164</v>
      </c>
      <c r="B1296" s="25" t="s">
        <v>2165</v>
      </c>
      <c r="C1296" s="26" t="s">
        <v>1744</v>
      </c>
      <c r="D1296" s="27" t="s">
        <v>1745</v>
      </c>
      <c r="E1296" s="28" t="s">
        <v>428</v>
      </c>
      <c r="F1296" s="20" t="n">
        <f>120</f>
        <v>120.0</v>
      </c>
      <c r="G1296" s="21" t="n">
        <f>699039</f>
        <v>699039.0</v>
      </c>
      <c r="H1296" s="21"/>
      <c r="I1296" s="21" t="n">
        <f>65273</f>
        <v>65273.0</v>
      </c>
      <c r="J1296" s="21" t="n">
        <f>5825</f>
        <v>5825.0</v>
      </c>
      <c r="K1296" s="21" t="n">
        <f>544</f>
        <v>544.0</v>
      </c>
      <c r="L1296" s="4" t="s">
        <v>1282</v>
      </c>
      <c r="M1296" s="22" t="n">
        <f>15111</f>
        <v>15111.0</v>
      </c>
      <c r="N1296" s="5" t="s">
        <v>828</v>
      </c>
      <c r="O1296" s="23" t="n">
        <f>875</f>
        <v>875.0</v>
      </c>
      <c r="P1296" s="3" t="s">
        <v>2340</v>
      </c>
      <c r="Q1296" s="21"/>
      <c r="R1296" s="3" t="s">
        <v>2341</v>
      </c>
      <c r="S1296" s="21" t="n">
        <f>605744083</f>
        <v>6.05744083E8</v>
      </c>
      <c r="T1296" s="21" t="n">
        <f>73929667</f>
        <v>7.3929667E7</v>
      </c>
      <c r="U1296" s="5" t="s">
        <v>1022</v>
      </c>
      <c r="V1296" s="23" t="n">
        <f>1668120000</f>
        <v>1.66812E9</v>
      </c>
      <c r="W1296" s="5" t="s">
        <v>828</v>
      </c>
      <c r="X1296" s="23" t="n">
        <f>65630000</f>
        <v>6.563E7</v>
      </c>
      <c r="Y1296" s="23" t="n">
        <f>12810</f>
        <v>12810.0</v>
      </c>
      <c r="Z1296" s="21" t="n">
        <f>165674</f>
        <v>165674.0</v>
      </c>
      <c r="AA1296" s="21" t="n">
        <f>40985</f>
        <v>40985.0</v>
      </c>
      <c r="AB1296" s="4" t="s">
        <v>306</v>
      </c>
      <c r="AC1296" s="22" t="n">
        <f>45593</f>
        <v>45593.0</v>
      </c>
      <c r="AD1296" s="5" t="s">
        <v>787</v>
      </c>
      <c r="AE1296" s="23" t="n">
        <f>9001</f>
        <v>9001.0</v>
      </c>
    </row>
    <row r="1297">
      <c r="A1297" s="24" t="s">
        <v>2164</v>
      </c>
      <c r="B1297" s="25" t="s">
        <v>2165</v>
      </c>
      <c r="C1297" s="26" t="s">
        <v>1748</v>
      </c>
      <c r="D1297" s="27" t="s">
        <v>1749</v>
      </c>
      <c r="E1297" s="28" t="s">
        <v>428</v>
      </c>
      <c r="F1297" s="20" t="n">
        <f>120</f>
        <v>120.0</v>
      </c>
      <c r="G1297" s="21" t="n">
        <f>339624</f>
        <v>339624.0</v>
      </c>
      <c r="H1297" s="21"/>
      <c r="I1297" s="21" t="n">
        <f>22778</f>
        <v>22778.0</v>
      </c>
      <c r="J1297" s="21" t="n">
        <f>2830</f>
        <v>2830.0</v>
      </c>
      <c r="K1297" s="21" t="n">
        <f>190</f>
        <v>190.0</v>
      </c>
      <c r="L1297" s="4" t="s">
        <v>1086</v>
      </c>
      <c r="M1297" s="22" t="n">
        <f>7526</f>
        <v>7526.0</v>
      </c>
      <c r="N1297" s="5" t="s">
        <v>432</v>
      </c>
      <c r="O1297" s="23" t="n">
        <f>232</f>
        <v>232.0</v>
      </c>
      <c r="P1297" s="3" t="s">
        <v>2342</v>
      </c>
      <c r="Q1297" s="21"/>
      <c r="R1297" s="3" t="s">
        <v>2343</v>
      </c>
      <c r="S1297" s="21" t="n">
        <f>438145917</f>
        <v>4.38145917E8</v>
      </c>
      <c r="T1297" s="21" t="n">
        <f>50870583</f>
        <v>5.0870583E7</v>
      </c>
      <c r="U1297" s="5" t="s">
        <v>568</v>
      </c>
      <c r="V1297" s="23" t="n">
        <f>1872490000</f>
        <v>1.87249E9</v>
      </c>
      <c r="W1297" s="5" t="s">
        <v>432</v>
      </c>
      <c r="X1297" s="23" t="n">
        <f>35910000</f>
        <v>3.591E7</v>
      </c>
      <c r="Y1297" s="23" t="n">
        <f>29461</f>
        <v>29461.0</v>
      </c>
      <c r="Z1297" s="21" t="n">
        <f>54869</f>
        <v>54869.0</v>
      </c>
      <c r="AA1297" s="21" t="n">
        <f>7318</f>
        <v>7318.0</v>
      </c>
      <c r="AB1297" s="4" t="s">
        <v>2190</v>
      </c>
      <c r="AC1297" s="22" t="n">
        <f>15017</f>
        <v>15017.0</v>
      </c>
      <c r="AD1297" s="5" t="s">
        <v>292</v>
      </c>
      <c r="AE1297" s="23" t="n">
        <f>3286</f>
        <v>3286.0</v>
      </c>
    </row>
    <row r="1298">
      <c r="A1298" s="24" t="s">
        <v>2164</v>
      </c>
      <c r="B1298" s="25" t="s">
        <v>2165</v>
      </c>
      <c r="C1298" s="26" t="s">
        <v>1752</v>
      </c>
      <c r="D1298" s="27" t="s">
        <v>1753</v>
      </c>
      <c r="E1298" s="28" t="s">
        <v>428</v>
      </c>
      <c r="F1298" s="20" t="n">
        <f>120</f>
        <v>120.0</v>
      </c>
      <c r="G1298" s="21" t="n">
        <f>1038663</f>
        <v>1038663.0</v>
      </c>
      <c r="H1298" s="21"/>
      <c r="I1298" s="21" t="n">
        <f>88051</f>
        <v>88051.0</v>
      </c>
      <c r="J1298" s="21" t="n">
        <f>8656</f>
        <v>8656.0</v>
      </c>
      <c r="K1298" s="21" t="n">
        <f>734</f>
        <v>734.0</v>
      </c>
      <c r="L1298" s="4" t="s">
        <v>1282</v>
      </c>
      <c r="M1298" s="22" t="n">
        <f>20386</f>
        <v>20386.0</v>
      </c>
      <c r="N1298" s="5" t="s">
        <v>828</v>
      </c>
      <c r="O1298" s="23" t="n">
        <f>1862</f>
        <v>1862.0</v>
      </c>
      <c r="P1298" s="3" t="s">
        <v>2344</v>
      </c>
      <c r="Q1298" s="21"/>
      <c r="R1298" s="3" t="s">
        <v>2345</v>
      </c>
      <c r="S1298" s="21" t="n">
        <f>1043890000</f>
        <v>1.04389E9</v>
      </c>
      <c r="T1298" s="21" t="n">
        <f>124800250</f>
        <v>1.2480025E8</v>
      </c>
      <c r="U1298" s="5" t="s">
        <v>568</v>
      </c>
      <c r="V1298" s="23" t="n">
        <f>3525300000</f>
        <v>3.5253E9</v>
      </c>
      <c r="W1298" s="5" t="s">
        <v>828</v>
      </c>
      <c r="X1298" s="23" t="n">
        <f>146160000</f>
        <v>1.4616E8</v>
      </c>
      <c r="Y1298" s="23" t="n">
        <f>42271</f>
        <v>42271.0</v>
      </c>
      <c r="Z1298" s="21" t="n">
        <f>220543</f>
        <v>220543.0</v>
      </c>
      <c r="AA1298" s="21" t="n">
        <f>48303</f>
        <v>48303.0</v>
      </c>
      <c r="AB1298" s="4" t="s">
        <v>1836</v>
      </c>
      <c r="AC1298" s="22" t="n">
        <f>58737</f>
        <v>58737.0</v>
      </c>
      <c r="AD1298" s="5" t="s">
        <v>279</v>
      </c>
      <c r="AE1298" s="23" t="n">
        <f>13409</f>
        <v>13409.0</v>
      </c>
    </row>
    <row r="1299">
      <c r="A1299" s="24" t="s">
        <v>2164</v>
      </c>
      <c r="B1299" s="25" t="s">
        <v>2165</v>
      </c>
      <c r="C1299" s="26" t="s">
        <v>1744</v>
      </c>
      <c r="D1299" s="27" t="s">
        <v>1745</v>
      </c>
      <c r="E1299" s="28" t="s">
        <v>433</v>
      </c>
      <c r="F1299" s="20" t="n">
        <f>125</f>
        <v>125.0</v>
      </c>
      <c r="G1299" s="21" t="n">
        <f>517964</f>
        <v>517964.0</v>
      </c>
      <c r="H1299" s="21"/>
      <c r="I1299" s="21" t="n">
        <f>117816</f>
        <v>117816.0</v>
      </c>
      <c r="J1299" s="21" t="n">
        <f>4144</f>
        <v>4144.0</v>
      </c>
      <c r="K1299" s="21" t="n">
        <f>943</f>
        <v>943.0</v>
      </c>
      <c r="L1299" s="4" t="s">
        <v>672</v>
      </c>
      <c r="M1299" s="22" t="n">
        <f>17364</f>
        <v>17364.0</v>
      </c>
      <c r="N1299" s="5" t="s">
        <v>198</v>
      </c>
      <c r="O1299" s="23" t="n">
        <f>564</f>
        <v>564.0</v>
      </c>
      <c r="P1299" s="3" t="s">
        <v>2346</v>
      </c>
      <c r="Q1299" s="21"/>
      <c r="R1299" s="3" t="s">
        <v>2347</v>
      </c>
      <c r="S1299" s="21" t="n">
        <f>934535760</f>
        <v>9.3453576E8</v>
      </c>
      <c r="T1299" s="21" t="n">
        <f>286123920</f>
        <v>2.8612392E8</v>
      </c>
      <c r="U1299" s="5" t="s">
        <v>1148</v>
      </c>
      <c r="V1299" s="23" t="n">
        <f>4164730000</f>
        <v>4.16473E9</v>
      </c>
      <c r="W1299" s="5" t="s">
        <v>312</v>
      </c>
      <c r="X1299" s="23" t="n">
        <f>64670000</f>
        <v>6.467E7</v>
      </c>
      <c r="Y1299" s="23" t="n">
        <f>23202</f>
        <v>23202.0</v>
      </c>
      <c r="Z1299" s="21" t="n">
        <f>189363</f>
        <v>189363.0</v>
      </c>
      <c r="AA1299" s="21" t="n">
        <f>28888</f>
        <v>28888.0</v>
      </c>
      <c r="AB1299" s="4" t="s">
        <v>1080</v>
      </c>
      <c r="AC1299" s="22" t="n">
        <f>39952</f>
        <v>39952.0</v>
      </c>
      <c r="AD1299" s="5" t="s">
        <v>1077</v>
      </c>
      <c r="AE1299" s="23" t="n">
        <f>2727</f>
        <v>2727.0</v>
      </c>
    </row>
    <row r="1300">
      <c r="A1300" s="24" t="s">
        <v>2164</v>
      </c>
      <c r="B1300" s="25" t="s">
        <v>2165</v>
      </c>
      <c r="C1300" s="26" t="s">
        <v>1748</v>
      </c>
      <c r="D1300" s="27" t="s">
        <v>1749</v>
      </c>
      <c r="E1300" s="28" t="s">
        <v>433</v>
      </c>
      <c r="F1300" s="20" t="n">
        <f>125</f>
        <v>125.0</v>
      </c>
      <c r="G1300" s="21" t="n">
        <f>299193</f>
        <v>299193.0</v>
      </c>
      <c r="H1300" s="21"/>
      <c r="I1300" s="21" t="n">
        <f>39913</f>
        <v>39913.0</v>
      </c>
      <c r="J1300" s="21" t="n">
        <f>2394</f>
        <v>2394.0</v>
      </c>
      <c r="K1300" s="21" t="n">
        <f>319</f>
        <v>319.0</v>
      </c>
      <c r="L1300" s="4" t="s">
        <v>672</v>
      </c>
      <c r="M1300" s="22" t="n">
        <f>11628</f>
        <v>11628.0</v>
      </c>
      <c r="N1300" s="5" t="s">
        <v>198</v>
      </c>
      <c r="O1300" s="23" t="n">
        <f>191</f>
        <v>191.0</v>
      </c>
      <c r="P1300" s="3" t="s">
        <v>2348</v>
      </c>
      <c r="Q1300" s="21"/>
      <c r="R1300" s="3" t="s">
        <v>2349</v>
      </c>
      <c r="S1300" s="21" t="n">
        <f>555202640</f>
        <v>5.5520264E8</v>
      </c>
      <c r="T1300" s="21" t="n">
        <f>86963520</f>
        <v>8.696352E7</v>
      </c>
      <c r="U1300" s="5" t="s">
        <v>672</v>
      </c>
      <c r="V1300" s="23" t="n">
        <f>2462190000</f>
        <v>2.46219E9</v>
      </c>
      <c r="W1300" s="5" t="s">
        <v>198</v>
      </c>
      <c r="X1300" s="23" t="n">
        <f>33920000</f>
        <v>3.392E7</v>
      </c>
      <c r="Y1300" s="23" t="n">
        <f>20589</f>
        <v>20589.0</v>
      </c>
      <c r="Z1300" s="21" t="n">
        <f>68316</f>
        <v>68316.0</v>
      </c>
      <c r="AA1300" s="21" t="n">
        <f>4640</f>
        <v>4640.0</v>
      </c>
      <c r="AB1300" s="4" t="s">
        <v>1080</v>
      </c>
      <c r="AC1300" s="22" t="n">
        <f>19387</f>
        <v>19387.0</v>
      </c>
      <c r="AD1300" s="5" t="s">
        <v>1077</v>
      </c>
      <c r="AE1300" s="23" t="n">
        <f>1252</f>
        <v>1252.0</v>
      </c>
    </row>
    <row r="1301">
      <c r="A1301" s="24" t="s">
        <v>2164</v>
      </c>
      <c r="B1301" s="25" t="s">
        <v>2165</v>
      </c>
      <c r="C1301" s="26" t="s">
        <v>1752</v>
      </c>
      <c r="D1301" s="27" t="s">
        <v>1753</v>
      </c>
      <c r="E1301" s="28" t="s">
        <v>433</v>
      </c>
      <c r="F1301" s="20" t="n">
        <f>125</f>
        <v>125.0</v>
      </c>
      <c r="G1301" s="21" t="n">
        <f>817157</f>
        <v>817157.0</v>
      </c>
      <c r="H1301" s="21"/>
      <c r="I1301" s="21" t="n">
        <f>157729</f>
        <v>157729.0</v>
      </c>
      <c r="J1301" s="21" t="n">
        <f>6537</f>
        <v>6537.0</v>
      </c>
      <c r="K1301" s="21" t="n">
        <f>1262</f>
        <v>1262.0</v>
      </c>
      <c r="L1301" s="4" t="s">
        <v>672</v>
      </c>
      <c r="M1301" s="22" t="n">
        <f>28992</f>
        <v>28992.0</v>
      </c>
      <c r="N1301" s="5" t="s">
        <v>198</v>
      </c>
      <c r="O1301" s="23" t="n">
        <f>755</f>
        <v>755.0</v>
      </c>
      <c r="P1301" s="3" t="s">
        <v>2350</v>
      </c>
      <c r="Q1301" s="21"/>
      <c r="R1301" s="3" t="s">
        <v>2351</v>
      </c>
      <c r="S1301" s="21" t="n">
        <f>1489738400</f>
        <v>1.4897384E9</v>
      </c>
      <c r="T1301" s="21" t="n">
        <f>373087440</f>
        <v>3.7308744E8</v>
      </c>
      <c r="U1301" s="5" t="s">
        <v>672</v>
      </c>
      <c r="V1301" s="23" t="n">
        <f>6120520000</f>
        <v>6.12052E9</v>
      </c>
      <c r="W1301" s="5" t="s">
        <v>198</v>
      </c>
      <c r="X1301" s="23" t="n">
        <f>103600000</f>
        <v>1.036E8</v>
      </c>
      <c r="Y1301" s="23" t="n">
        <f>43791</f>
        <v>43791.0</v>
      </c>
      <c r="Z1301" s="21" t="n">
        <f>257679</f>
        <v>257679.0</v>
      </c>
      <c r="AA1301" s="21" t="n">
        <f>33528</f>
        <v>33528.0</v>
      </c>
      <c r="AB1301" s="4" t="s">
        <v>1080</v>
      </c>
      <c r="AC1301" s="22" t="n">
        <f>59339</f>
        <v>59339.0</v>
      </c>
      <c r="AD1301" s="5" t="s">
        <v>1077</v>
      </c>
      <c r="AE1301" s="23" t="n">
        <f>3979</f>
        <v>3979.0</v>
      </c>
    </row>
    <row r="1302">
      <c r="A1302" s="24" t="s">
        <v>2164</v>
      </c>
      <c r="B1302" s="25" t="s">
        <v>2165</v>
      </c>
      <c r="C1302" s="26" t="s">
        <v>1744</v>
      </c>
      <c r="D1302" s="27" t="s">
        <v>1745</v>
      </c>
      <c r="E1302" s="28" t="s">
        <v>437</v>
      </c>
      <c r="F1302" s="20" t="n">
        <f>120</f>
        <v>120.0</v>
      </c>
      <c r="G1302" s="21" t="n">
        <f>434880</f>
        <v>434880.0</v>
      </c>
      <c r="H1302" s="21"/>
      <c r="I1302" s="21" t="n">
        <f>100389</f>
        <v>100389.0</v>
      </c>
      <c r="J1302" s="21" t="n">
        <f>3624</f>
        <v>3624.0</v>
      </c>
      <c r="K1302" s="21" t="n">
        <f>837</f>
        <v>837.0</v>
      </c>
      <c r="L1302" s="4" t="s">
        <v>603</v>
      </c>
      <c r="M1302" s="22" t="n">
        <f>10347</f>
        <v>10347.0</v>
      </c>
      <c r="N1302" s="5" t="s">
        <v>447</v>
      </c>
      <c r="O1302" s="23" t="n">
        <f>975</f>
        <v>975.0</v>
      </c>
      <c r="P1302" s="3" t="s">
        <v>2352</v>
      </c>
      <c r="Q1302" s="21"/>
      <c r="R1302" s="3" t="s">
        <v>2353</v>
      </c>
      <c r="S1302" s="21" t="n">
        <f>410069750</f>
        <v>4.1006975E8</v>
      </c>
      <c r="T1302" s="21" t="n">
        <f>113147167</f>
        <v>1.13147167E8</v>
      </c>
      <c r="U1302" s="5" t="s">
        <v>78</v>
      </c>
      <c r="V1302" s="23" t="n">
        <f>1462660000</f>
        <v>1.46266E9</v>
      </c>
      <c r="W1302" s="5" t="s">
        <v>170</v>
      </c>
      <c r="X1302" s="23" t="n">
        <f>64270000</f>
        <v>6.427E7</v>
      </c>
      <c r="Y1302" s="23" t="n">
        <f>11161</f>
        <v>11161.0</v>
      </c>
      <c r="Z1302" s="21" t="n">
        <f>199986</f>
        <v>199986.0</v>
      </c>
      <c r="AA1302" s="21" t="n">
        <f>34674</f>
        <v>34674.0</v>
      </c>
      <c r="AB1302" s="4" t="s">
        <v>1836</v>
      </c>
      <c r="AC1302" s="22" t="n">
        <f>44511</f>
        <v>44511.0</v>
      </c>
      <c r="AD1302" s="5" t="s">
        <v>279</v>
      </c>
      <c r="AE1302" s="23" t="n">
        <f>9234</f>
        <v>9234.0</v>
      </c>
    </row>
    <row r="1303">
      <c r="A1303" s="24" t="s">
        <v>2164</v>
      </c>
      <c r="B1303" s="25" t="s">
        <v>2165</v>
      </c>
      <c r="C1303" s="26" t="s">
        <v>1748</v>
      </c>
      <c r="D1303" s="27" t="s">
        <v>1749</v>
      </c>
      <c r="E1303" s="28" t="s">
        <v>437</v>
      </c>
      <c r="F1303" s="20" t="n">
        <f>120</f>
        <v>120.0</v>
      </c>
      <c r="G1303" s="21" t="n">
        <f>198014</f>
        <v>198014.0</v>
      </c>
      <c r="H1303" s="21"/>
      <c r="I1303" s="21" t="n">
        <f>23061</f>
        <v>23061.0</v>
      </c>
      <c r="J1303" s="21" t="n">
        <f>1650</f>
        <v>1650.0</v>
      </c>
      <c r="K1303" s="21" t="n">
        <f>192</f>
        <v>192.0</v>
      </c>
      <c r="L1303" s="4" t="s">
        <v>1920</v>
      </c>
      <c r="M1303" s="22" t="n">
        <f>4952</f>
        <v>4952.0</v>
      </c>
      <c r="N1303" s="5" t="s">
        <v>1012</v>
      </c>
      <c r="O1303" s="23" t="n">
        <f>477</f>
        <v>477.0</v>
      </c>
      <c r="P1303" s="3" t="s">
        <v>2354</v>
      </c>
      <c r="Q1303" s="21"/>
      <c r="R1303" s="3" t="s">
        <v>2355</v>
      </c>
      <c r="S1303" s="21" t="n">
        <f>245491250</f>
        <v>2.4549125E8</v>
      </c>
      <c r="T1303" s="21" t="n">
        <f>38526167</f>
        <v>3.8526167E7</v>
      </c>
      <c r="U1303" s="5" t="s">
        <v>533</v>
      </c>
      <c r="V1303" s="23" t="n">
        <f>1044150000</f>
        <v>1.04415E9</v>
      </c>
      <c r="W1303" s="5" t="s">
        <v>593</v>
      </c>
      <c r="X1303" s="23" t="n">
        <f>41850000</f>
        <v>4.185E7</v>
      </c>
      <c r="Y1303" s="23" t="n">
        <f>22401</f>
        <v>22401.0</v>
      </c>
      <c r="Z1303" s="21" t="n">
        <f>54270</f>
        <v>54270.0</v>
      </c>
      <c r="AA1303" s="21" t="n">
        <f>12326</f>
        <v>12326.0</v>
      </c>
      <c r="AB1303" s="4" t="s">
        <v>252</v>
      </c>
      <c r="AC1303" s="22" t="n">
        <f>13232</f>
        <v>13232.0</v>
      </c>
      <c r="AD1303" s="5" t="s">
        <v>541</v>
      </c>
      <c r="AE1303" s="23" t="n">
        <f>2208</f>
        <v>2208.0</v>
      </c>
    </row>
    <row r="1304">
      <c r="A1304" s="24" t="s">
        <v>2164</v>
      </c>
      <c r="B1304" s="25" t="s">
        <v>2165</v>
      </c>
      <c r="C1304" s="26" t="s">
        <v>1752</v>
      </c>
      <c r="D1304" s="27" t="s">
        <v>1753</v>
      </c>
      <c r="E1304" s="28" t="s">
        <v>437</v>
      </c>
      <c r="F1304" s="20" t="n">
        <f>120</f>
        <v>120.0</v>
      </c>
      <c r="G1304" s="21" t="n">
        <f>632894</f>
        <v>632894.0</v>
      </c>
      <c r="H1304" s="21"/>
      <c r="I1304" s="21" t="n">
        <f>123450</f>
        <v>123450.0</v>
      </c>
      <c r="J1304" s="21" t="n">
        <f>5274</f>
        <v>5274.0</v>
      </c>
      <c r="K1304" s="21" t="n">
        <f>1029</f>
        <v>1029.0</v>
      </c>
      <c r="L1304" s="4" t="s">
        <v>603</v>
      </c>
      <c r="M1304" s="22" t="n">
        <f>11758</f>
        <v>11758.0</v>
      </c>
      <c r="N1304" s="5" t="s">
        <v>1116</v>
      </c>
      <c r="O1304" s="23" t="n">
        <f>1748</f>
        <v>1748.0</v>
      </c>
      <c r="P1304" s="3" t="s">
        <v>2356</v>
      </c>
      <c r="Q1304" s="21"/>
      <c r="R1304" s="3" t="s">
        <v>2357</v>
      </c>
      <c r="S1304" s="21" t="n">
        <f>655561000</f>
        <v>6.55561E8</v>
      </c>
      <c r="T1304" s="21" t="n">
        <f>151673333</f>
        <v>1.51673333E8</v>
      </c>
      <c r="U1304" s="5" t="s">
        <v>78</v>
      </c>
      <c r="V1304" s="23" t="n">
        <f>1979940000</f>
        <v>1.97994E9</v>
      </c>
      <c r="W1304" s="5" t="s">
        <v>170</v>
      </c>
      <c r="X1304" s="23" t="n">
        <f>157710000</f>
        <v>1.5771E8</v>
      </c>
      <c r="Y1304" s="23" t="n">
        <f>33562</f>
        <v>33562.0</v>
      </c>
      <c r="Z1304" s="21" t="n">
        <f>254256</f>
        <v>254256.0</v>
      </c>
      <c r="AA1304" s="21" t="n">
        <f>47000</f>
        <v>47000.0</v>
      </c>
      <c r="AB1304" s="4" t="s">
        <v>809</v>
      </c>
      <c r="AC1304" s="22" t="n">
        <f>56019</f>
        <v>56019.0</v>
      </c>
      <c r="AD1304" s="5" t="s">
        <v>279</v>
      </c>
      <c r="AE1304" s="23" t="n">
        <f>12255</f>
        <v>12255.0</v>
      </c>
    </row>
    <row r="1305">
      <c r="A1305" s="24" t="s">
        <v>2164</v>
      </c>
      <c r="B1305" s="25" t="s">
        <v>2165</v>
      </c>
      <c r="C1305" s="26" t="s">
        <v>1744</v>
      </c>
      <c r="D1305" s="27" t="s">
        <v>1745</v>
      </c>
      <c r="E1305" s="28" t="s">
        <v>441</v>
      </c>
      <c r="F1305" s="20" t="n">
        <f>125</f>
        <v>125.0</v>
      </c>
      <c r="G1305" s="21" t="n">
        <f>366968</f>
        <v>366968.0</v>
      </c>
      <c r="H1305" s="21"/>
      <c r="I1305" s="21" t="n">
        <f>61241</f>
        <v>61241.0</v>
      </c>
      <c r="J1305" s="21" t="n">
        <f>2936</f>
        <v>2936.0</v>
      </c>
      <c r="K1305" s="21" t="n">
        <f>490</f>
        <v>490.0</v>
      </c>
      <c r="L1305" s="4" t="s">
        <v>419</v>
      </c>
      <c r="M1305" s="22" t="n">
        <f>11337</f>
        <v>11337.0</v>
      </c>
      <c r="N1305" s="5" t="s">
        <v>491</v>
      </c>
      <c r="O1305" s="23" t="n">
        <f>638</f>
        <v>638.0</v>
      </c>
      <c r="P1305" s="3" t="s">
        <v>2358</v>
      </c>
      <c r="Q1305" s="21"/>
      <c r="R1305" s="3" t="s">
        <v>2359</v>
      </c>
      <c r="S1305" s="21" t="n">
        <f>241513760</f>
        <v>2.4151376E8</v>
      </c>
      <c r="T1305" s="21" t="n">
        <f>43627600</f>
        <v>4.36276E7</v>
      </c>
      <c r="U1305" s="5" t="s">
        <v>419</v>
      </c>
      <c r="V1305" s="23" t="n">
        <f>1192940000</f>
        <v>1.19294E9</v>
      </c>
      <c r="W1305" s="5" t="s">
        <v>491</v>
      </c>
      <c r="X1305" s="23" t="n">
        <f>33130000</f>
        <v>3.313E7</v>
      </c>
      <c r="Y1305" s="23" t="n">
        <f>4199</f>
        <v>4199.0</v>
      </c>
      <c r="Z1305" s="21" t="n">
        <f>126617</f>
        <v>126617.0</v>
      </c>
      <c r="AA1305" s="21" t="n">
        <f>31127</f>
        <v>31127.0</v>
      </c>
      <c r="AB1305" s="4" t="s">
        <v>1614</v>
      </c>
      <c r="AC1305" s="22" t="n">
        <f>35657</f>
        <v>35657.0</v>
      </c>
      <c r="AD1305" s="5" t="s">
        <v>1077</v>
      </c>
      <c r="AE1305" s="23" t="n">
        <f>9438</f>
        <v>9438.0</v>
      </c>
    </row>
    <row r="1306">
      <c r="A1306" s="24" t="s">
        <v>2164</v>
      </c>
      <c r="B1306" s="25" t="s">
        <v>2165</v>
      </c>
      <c r="C1306" s="26" t="s">
        <v>1748</v>
      </c>
      <c r="D1306" s="27" t="s">
        <v>1749</v>
      </c>
      <c r="E1306" s="28" t="s">
        <v>441</v>
      </c>
      <c r="F1306" s="20" t="n">
        <f>125</f>
        <v>125.0</v>
      </c>
      <c r="G1306" s="21" t="n">
        <f>151610</f>
        <v>151610.0</v>
      </c>
      <c r="H1306" s="21"/>
      <c r="I1306" s="21" t="n">
        <f>16136</f>
        <v>16136.0</v>
      </c>
      <c r="J1306" s="21" t="n">
        <f>1213</f>
        <v>1213.0</v>
      </c>
      <c r="K1306" s="21" t="n">
        <f>129</f>
        <v>129.0</v>
      </c>
      <c r="L1306" s="4" t="s">
        <v>265</v>
      </c>
      <c r="M1306" s="22" t="n">
        <f>4326</f>
        <v>4326.0</v>
      </c>
      <c r="N1306" s="5" t="s">
        <v>406</v>
      </c>
      <c r="O1306" s="23" t="n">
        <f>140</f>
        <v>140.0</v>
      </c>
      <c r="P1306" s="3" t="s">
        <v>2360</v>
      </c>
      <c r="Q1306" s="21"/>
      <c r="R1306" s="3" t="s">
        <v>2361</v>
      </c>
      <c r="S1306" s="21" t="n">
        <f>153374000</f>
        <v>1.53374E8</v>
      </c>
      <c r="T1306" s="21" t="n">
        <f>25673760</f>
        <v>2.567376E7</v>
      </c>
      <c r="U1306" s="5" t="s">
        <v>265</v>
      </c>
      <c r="V1306" s="23" t="n">
        <f>742560000</f>
        <v>7.4256E8</v>
      </c>
      <c r="W1306" s="5" t="s">
        <v>317</v>
      </c>
      <c r="X1306" s="23" t="n">
        <f>13460000</f>
        <v>1.346E7</v>
      </c>
      <c r="Y1306" s="23" t="n">
        <f>19337</f>
        <v>19337.0</v>
      </c>
      <c r="Z1306" s="21" t="n">
        <f>34318</f>
        <v>34318.0</v>
      </c>
      <c r="AA1306" s="21" t="n">
        <f>6877</f>
        <v>6877.0</v>
      </c>
      <c r="AB1306" s="4" t="s">
        <v>238</v>
      </c>
      <c r="AC1306" s="22" t="n">
        <f>13330</f>
        <v>13330.0</v>
      </c>
      <c r="AD1306" s="5" t="s">
        <v>442</v>
      </c>
      <c r="AE1306" s="23" t="n">
        <f>2489</f>
        <v>2489.0</v>
      </c>
    </row>
    <row r="1307">
      <c r="A1307" s="24" t="s">
        <v>2164</v>
      </c>
      <c r="B1307" s="25" t="s">
        <v>2165</v>
      </c>
      <c r="C1307" s="26" t="s">
        <v>1752</v>
      </c>
      <c r="D1307" s="27" t="s">
        <v>1753</v>
      </c>
      <c r="E1307" s="28" t="s">
        <v>441</v>
      </c>
      <c r="F1307" s="20" t="n">
        <f>125</f>
        <v>125.0</v>
      </c>
      <c r="G1307" s="21" t="n">
        <f>518578</f>
        <v>518578.0</v>
      </c>
      <c r="H1307" s="21"/>
      <c r="I1307" s="21" t="n">
        <f>77377</f>
        <v>77377.0</v>
      </c>
      <c r="J1307" s="21" t="n">
        <f>4149</f>
        <v>4149.0</v>
      </c>
      <c r="K1307" s="21" t="n">
        <f>619</f>
        <v>619.0</v>
      </c>
      <c r="L1307" s="4" t="s">
        <v>419</v>
      </c>
      <c r="M1307" s="22" t="n">
        <f>14957</f>
        <v>14957.0</v>
      </c>
      <c r="N1307" s="5" t="s">
        <v>491</v>
      </c>
      <c r="O1307" s="23" t="n">
        <f>959</f>
        <v>959.0</v>
      </c>
      <c r="P1307" s="3" t="s">
        <v>2362</v>
      </c>
      <c r="Q1307" s="21"/>
      <c r="R1307" s="3" t="s">
        <v>2363</v>
      </c>
      <c r="S1307" s="21" t="n">
        <f>394887760</f>
        <v>3.9488776E8</v>
      </c>
      <c r="T1307" s="21" t="n">
        <f>69301360</f>
        <v>6.930136E7</v>
      </c>
      <c r="U1307" s="5" t="s">
        <v>265</v>
      </c>
      <c r="V1307" s="23" t="n">
        <f>1685240000</f>
        <v>1.68524E9</v>
      </c>
      <c r="W1307" s="5" t="s">
        <v>491</v>
      </c>
      <c r="X1307" s="23" t="n">
        <f>58850000</f>
        <v>5.885E7</v>
      </c>
      <c r="Y1307" s="23" t="n">
        <f>23536</f>
        <v>23536.0</v>
      </c>
      <c r="Z1307" s="21" t="n">
        <f>160935</f>
        <v>160935.0</v>
      </c>
      <c r="AA1307" s="21" t="n">
        <f>38004</f>
        <v>38004.0</v>
      </c>
      <c r="AB1307" s="4" t="s">
        <v>364</v>
      </c>
      <c r="AC1307" s="22" t="n">
        <f>46521</f>
        <v>46521.0</v>
      </c>
      <c r="AD1307" s="5" t="s">
        <v>1077</v>
      </c>
      <c r="AE1307" s="23" t="n">
        <f>13252</f>
        <v>13252.0</v>
      </c>
    </row>
    <row r="1308">
      <c r="A1308" s="24" t="s">
        <v>2164</v>
      </c>
      <c r="B1308" s="25" t="s">
        <v>2165</v>
      </c>
      <c r="C1308" s="26" t="s">
        <v>1744</v>
      </c>
      <c r="D1308" s="27" t="s">
        <v>1745</v>
      </c>
      <c r="E1308" s="28" t="s">
        <v>48</v>
      </c>
      <c r="F1308" s="20" t="n">
        <f>121</f>
        <v>121.0</v>
      </c>
      <c r="G1308" s="21" t="n">
        <f>488429</f>
        <v>488429.0</v>
      </c>
      <c r="H1308" s="21"/>
      <c r="I1308" s="21" t="n">
        <f>60187</f>
        <v>60187.0</v>
      </c>
      <c r="J1308" s="21" t="n">
        <f>4037</f>
        <v>4037.0</v>
      </c>
      <c r="K1308" s="21" t="n">
        <f>497</f>
        <v>497.0</v>
      </c>
      <c r="L1308" s="4" t="s">
        <v>726</v>
      </c>
      <c r="M1308" s="22" t="n">
        <f>12777</f>
        <v>12777.0</v>
      </c>
      <c r="N1308" s="5" t="s">
        <v>379</v>
      </c>
      <c r="O1308" s="23" t="n">
        <f>641</f>
        <v>641.0</v>
      </c>
      <c r="P1308" s="3" t="s">
        <v>2364</v>
      </c>
      <c r="Q1308" s="21"/>
      <c r="R1308" s="3" t="s">
        <v>2365</v>
      </c>
      <c r="S1308" s="21" t="n">
        <f>418311818</f>
        <v>4.18311818E8</v>
      </c>
      <c r="T1308" s="21" t="n">
        <f>68240165</f>
        <v>6.8240165E7</v>
      </c>
      <c r="U1308" s="5" t="s">
        <v>167</v>
      </c>
      <c r="V1308" s="23" t="n">
        <f>1500770000</f>
        <v>1.50077E9</v>
      </c>
      <c r="W1308" s="5" t="s">
        <v>484</v>
      </c>
      <c r="X1308" s="23" t="n">
        <f>54770000</f>
        <v>5.477E7</v>
      </c>
      <c r="Y1308" s="23" t="n">
        <f>3978</f>
        <v>3978.0</v>
      </c>
      <c r="Z1308" s="21" t="n">
        <f>121084</f>
        <v>121084.0</v>
      </c>
      <c r="AA1308" s="21" t="n">
        <f>38164</f>
        <v>38164.0</v>
      </c>
      <c r="AB1308" s="4" t="s">
        <v>809</v>
      </c>
      <c r="AC1308" s="22" t="n">
        <f>54250</f>
        <v>54250.0</v>
      </c>
      <c r="AD1308" s="5" t="s">
        <v>202</v>
      </c>
      <c r="AE1308" s="23" t="n">
        <f>11574</f>
        <v>11574.0</v>
      </c>
    </row>
    <row r="1309">
      <c r="A1309" s="24" t="s">
        <v>2164</v>
      </c>
      <c r="B1309" s="25" t="s">
        <v>2165</v>
      </c>
      <c r="C1309" s="26" t="s">
        <v>1748</v>
      </c>
      <c r="D1309" s="27" t="s">
        <v>1749</v>
      </c>
      <c r="E1309" s="28" t="s">
        <v>48</v>
      </c>
      <c r="F1309" s="20" t="n">
        <f>121</f>
        <v>121.0</v>
      </c>
      <c r="G1309" s="21" t="n">
        <f>179597</f>
        <v>179597.0</v>
      </c>
      <c r="H1309" s="21"/>
      <c r="I1309" s="21" t="n">
        <f>11657</f>
        <v>11657.0</v>
      </c>
      <c r="J1309" s="21" t="n">
        <f>1484</f>
        <v>1484.0</v>
      </c>
      <c r="K1309" s="21" t="n">
        <f>96</f>
        <v>96.0</v>
      </c>
      <c r="L1309" s="4" t="s">
        <v>533</v>
      </c>
      <c r="M1309" s="22" t="n">
        <f>5816</f>
        <v>5816.0</v>
      </c>
      <c r="N1309" s="5" t="s">
        <v>396</v>
      </c>
      <c r="O1309" s="23" t="n">
        <f>209</f>
        <v>209.0</v>
      </c>
      <c r="P1309" s="3" t="s">
        <v>2366</v>
      </c>
      <c r="Q1309" s="21"/>
      <c r="R1309" s="3" t="s">
        <v>2367</v>
      </c>
      <c r="S1309" s="21" t="n">
        <f>213308430</f>
        <v>2.1330843E8</v>
      </c>
      <c r="T1309" s="21" t="n">
        <f>17172562</f>
        <v>1.7172562E7</v>
      </c>
      <c r="U1309" s="5" t="s">
        <v>2061</v>
      </c>
      <c r="V1309" s="23" t="n">
        <f>771650000</f>
        <v>7.7165E8</v>
      </c>
      <c r="W1309" s="5" t="s">
        <v>396</v>
      </c>
      <c r="X1309" s="23" t="n">
        <f>15100000</f>
        <v>1.51E7</v>
      </c>
      <c r="Y1309" s="23" t="n">
        <f>21322</f>
        <v>21322.0</v>
      </c>
      <c r="Z1309" s="21" t="n">
        <f>23074</f>
        <v>23074.0</v>
      </c>
      <c r="AA1309" s="21" t="n">
        <f>6473</f>
        <v>6473.0</v>
      </c>
      <c r="AB1309" s="4" t="s">
        <v>1495</v>
      </c>
      <c r="AC1309" s="22" t="n">
        <f>12732</f>
        <v>12732.0</v>
      </c>
      <c r="AD1309" s="5" t="s">
        <v>872</v>
      </c>
      <c r="AE1309" s="23" t="n">
        <f>1637</f>
        <v>1637.0</v>
      </c>
    </row>
    <row r="1310">
      <c r="A1310" s="24" t="s">
        <v>2164</v>
      </c>
      <c r="B1310" s="25" t="s">
        <v>2165</v>
      </c>
      <c r="C1310" s="26" t="s">
        <v>1752</v>
      </c>
      <c r="D1310" s="27" t="s">
        <v>1753</v>
      </c>
      <c r="E1310" s="28" t="s">
        <v>48</v>
      </c>
      <c r="F1310" s="20" t="n">
        <f>121</f>
        <v>121.0</v>
      </c>
      <c r="G1310" s="21" t="n">
        <f>668026</f>
        <v>668026.0</v>
      </c>
      <c r="H1310" s="21"/>
      <c r="I1310" s="21" t="n">
        <f>71844</f>
        <v>71844.0</v>
      </c>
      <c r="J1310" s="21" t="n">
        <f>5521</f>
        <v>5521.0</v>
      </c>
      <c r="K1310" s="21" t="n">
        <f>594</f>
        <v>594.0</v>
      </c>
      <c r="L1310" s="4" t="s">
        <v>726</v>
      </c>
      <c r="M1310" s="22" t="n">
        <f>15849</f>
        <v>15849.0</v>
      </c>
      <c r="N1310" s="5" t="s">
        <v>447</v>
      </c>
      <c r="O1310" s="23" t="n">
        <f>1277</f>
        <v>1277.0</v>
      </c>
      <c r="P1310" s="3" t="s">
        <v>2368</v>
      </c>
      <c r="Q1310" s="21"/>
      <c r="R1310" s="3" t="s">
        <v>2369</v>
      </c>
      <c r="S1310" s="21" t="n">
        <f>631620248</f>
        <v>6.31620248E8</v>
      </c>
      <c r="T1310" s="21" t="n">
        <f>85412727</f>
        <v>8.5412727E7</v>
      </c>
      <c r="U1310" s="5" t="s">
        <v>167</v>
      </c>
      <c r="V1310" s="23" t="n">
        <f>1835120000</f>
        <v>1.83512E9</v>
      </c>
      <c r="W1310" s="5" t="s">
        <v>250</v>
      </c>
      <c r="X1310" s="23" t="n">
        <f>103890000</f>
        <v>1.0389E8</v>
      </c>
      <c r="Y1310" s="23" t="n">
        <f>25300</f>
        <v>25300.0</v>
      </c>
      <c r="Z1310" s="21" t="n">
        <f>144158</f>
        <v>144158.0</v>
      </c>
      <c r="AA1310" s="21" t="n">
        <f>44637</f>
        <v>44637.0</v>
      </c>
      <c r="AB1310" s="4" t="s">
        <v>507</v>
      </c>
      <c r="AC1310" s="22" t="n">
        <f>60090</f>
        <v>60090.0</v>
      </c>
      <c r="AD1310" s="5" t="s">
        <v>872</v>
      </c>
      <c r="AE1310" s="23" t="n">
        <f>13319</f>
        <v>13319.0</v>
      </c>
    </row>
    <row r="1311">
      <c r="A1311" s="24" t="s">
        <v>2164</v>
      </c>
      <c r="B1311" s="25" t="s">
        <v>2165</v>
      </c>
      <c r="C1311" s="26" t="s">
        <v>1744</v>
      </c>
      <c r="D1311" s="27" t="s">
        <v>1745</v>
      </c>
      <c r="E1311" s="28" t="s">
        <v>56</v>
      </c>
      <c r="F1311" s="20" t="n">
        <f>123</f>
        <v>123.0</v>
      </c>
      <c r="G1311" s="21" t="n">
        <f>425708</f>
        <v>425708.0</v>
      </c>
      <c r="H1311" s="21"/>
      <c r="I1311" s="21" t="n">
        <f>48933</f>
        <v>48933.0</v>
      </c>
      <c r="J1311" s="21" t="n">
        <f>3461</f>
        <v>3461.0</v>
      </c>
      <c r="K1311" s="21" t="n">
        <f>398</f>
        <v>398.0</v>
      </c>
      <c r="L1311" s="4" t="s">
        <v>263</v>
      </c>
      <c r="M1311" s="22" t="n">
        <f>11845</f>
        <v>11845.0</v>
      </c>
      <c r="N1311" s="5" t="s">
        <v>927</v>
      </c>
      <c r="O1311" s="23" t="n">
        <f>622</f>
        <v>622.0</v>
      </c>
      <c r="P1311" s="3" t="s">
        <v>2370</v>
      </c>
      <c r="Q1311" s="21"/>
      <c r="R1311" s="3" t="s">
        <v>2371</v>
      </c>
      <c r="S1311" s="21" t="n">
        <f>444057480</f>
        <v>4.4405748E8</v>
      </c>
      <c r="T1311" s="21" t="n">
        <f>66133984</f>
        <v>6.6133984E7</v>
      </c>
      <c r="U1311" s="5" t="s">
        <v>274</v>
      </c>
      <c r="V1311" s="23" t="n">
        <f>2155190000</f>
        <v>2.15519E9</v>
      </c>
      <c r="W1311" s="5" t="s">
        <v>237</v>
      </c>
      <c r="X1311" s="23" t="n">
        <f>56680000</f>
        <v>5.668E7</v>
      </c>
      <c r="Y1311" s="23" t="n">
        <f>4210</f>
        <v>4210.0</v>
      </c>
      <c r="Z1311" s="21" t="n">
        <f>80826</f>
        <v>80826.0</v>
      </c>
      <c r="AA1311" s="21" t="n">
        <f>6877</f>
        <v>6877.0</v>
      </c>
      <c r="AB1311" s="4" t="s">
        <v>1396</v>
      </c>
      <c r="AC1311" s="22" t="n">
        <f>48245</f>
        <v>48245.0</v>
      </c>
      <c r="AD1311" s="5" t="s">
        <v>248</v>
      </c>
      <c r="AE1311" s="23" t="n">
        <f>6877</f>
        <v>6877.0</v>
      </c>
    </row>
    <row r="1312">
      <c r="A1312" s="24" t="s">
        <v>2164</v>
      </c>
      <c r="B1312" s="25" t="s">
        <v>2165</v>
      </c>
      <c r="C1312" s="26" t="s">
        <v>1748</v>
      </c>
      <c r="D1312" s="27" t="s">
        <v>1749</v>
      </c>
      <c r="E1312" s="28" t="s">
        <v>56</v>
      </c>
      <c r="F1312" s="20" t="n">
        <f>123</f>
        <v>123.0</v>
      </c>
      <c r="G1312" s="21" t="n">
        <f>175001</f>
        <v>175001.0</v>
      </c>
      <c r="H1312" s="21"/>
      <c r="I1312" s="21" t="n">
        <f>15253</f>
        <v>15253.0</v>
      </c>
      <c r="J1312" s="21" t="n">
        <f>1423</f>
        <v>1423.0</v>
      </c>
      <c r="K1312" s="21" t="n">
        <f>124</f>
        <v>124.0</v>
      </c>
      <c r="L1312" s="4" t="s">
        <v>312</v>
      </c>
      <c r="M1312" s="22" t="n">
        <f>4883</f>
        <v>4883.0</v>
      </c>
      <c r="N1312" s="5" t="s">
        <v>666</v>
      </c>
      <c r="O1312" s="23" t="n">
        <f>263</f>
        <v>263.0</v>
      </c>
      <c r="P1312" s="3" t="s">
        <v>2372</v>
      </c>
      <c r="Q1312" s="21"/>
      <c r="R1312" s="3" t="s">
        <v>2373</v>
      </c>
      <c r="S1312" s="21" t="n">
        <f>234307967</f>
        <v>2.34307967E8</v>
      </c>
      <c r="T1312" s="21" t="n">
        <f>26706748</f>
        <v>2.6706748E7</v>
      </c>
      <c r="U1312" s="5" t="s">
        <v>985</v>
      </c>
      <c r="V1312" s="23" t="n">
        <f>818510000</f>
        <v>8.1851E8</v>
      </c>
      <c r="W1312" s="5" t="s">
        <v>469</v>
      </c>
      <c r="X1312" s="23" t="n">
        <f>31970000</f>
        <v>3.197E7</v>
      </c>
      <c r="Y1312" s="23" t="n">
        <f>14358</f>
        <v>14358.0</v>
      </c>
      <c r="Z1312" s="21" t="n">
        <f>25287</f>
        <v>25287.0</v>
      </c>
      <c r="AA1312" s="21" t="n">
        <f>3060</f>
        <v>3060.0</v>
      </c>
      <c r="AB1312" s="4" t="s">
        <v>1108</v>
      </c>
      <c r="AC1312" s="22" t="n">
        <f>12606</f>
        <v>12606.0</v>
      </c>
      <c r="AD1312" s="5" t="s">
        <v>289</v>
      </c>
      <c r="AE1312" s="23" t="n">
        <f>1883</f>
        <v>1883.0</v>
      </c>
    </row>
    <row r="1313">
      <c r="A1313" s="24" t="s">
        <v>2164</v>
      </c>
      <c r="B1313" s="25" t="s">
        <v>2165</v>
      </c>
      <c r="C1313" s="26" t="s">
        <v>1752</v>
      </c>
      <c r="D1313" s="27" t="s">
        <v>1753</v>
      </c>
      <c r="E1313" s="28" t="s">
        <v>56</v>
      </c>
      <c r="F1313" s="20" t="n">
        <f>123</f>
        <v>123.0</v>
      </c>
      <c r="G1313" s="21" t="n">
        <f>600709</f>
        <v>600709.0</v>
      </c>
      <c r="H1313" s="21"/>
      <c r="I1313" s="21" t="n">
        <f>64186</f>
        <v>64186.0</v>
      </c>
      <c r="J1313" s="21" t="n">
        <f>4884</f>
        <v>4884.0</v>
      </c>
      <c r="K1313" s="21" t="n">
        <f>522</f>
        <v>522.0</v>
      </c>
      <c r="L1313" s="4" t="s">
        <v>263</v>
      </c>
      <c r="M1313" s="22" t="n">
        <f>13638</f>
        <v>13638.0</v>
      </c>
      <c r="N1313" s="5" t="s">
        <v>325</v>
      </c>
      <c r="O1313" s="23" t="n">
        <f>1343</f>
        <v>1343.0</v>
      </c>
      <c r="P1313" s="3" t="s">
        <v>2374</v>
      </c>
      <c r="Q1313" s="21"/>
      <c r="R1313" s="3" t="s">
        <v>2375</v>
      </c>
      <c r="S1313" s="21" t="n">
        <f>678365447</f>
        <v>6.78365447E8</v>
      </c>
      <c r="T1313" s="21" t="n">
        <f>92840732</f>
        <v>9.2840732E7</v>
      </c>
      <c r="U1313" s="5" t="s">
        <v>985</v>
      </c>
      <c r="V1313" s="23" t="n">
        <f>2763740000</f>
        <v>2.76374E9</v>
      </c>
      <c r="W1313" s="5" t="s">
        <v>325</v>
      </c>
      <c r="X1313" s="23" t="n">
        <f>110100000</f>
        <v>1.101E8</v>
      </c>
      <c r="Y1313" s="23" t="n">
        <f>18568</f>
        <v>18568.0</v>
      </c>
      <c r="Z1313" s="21" t="n">
        <f>106113</f>
        <v>106113.0</v>
      </c>
      <c r="AA1313" s="21" t="n">
        <f>9937</f>
        <v>9937.0</v>
      </c>
      <c r="AB1313" s="4" t="s">
        <v>1396</v>
      </c>
      <c r="AC1313" s="22" t="n">
        <f>56036</f>
        <v>56036.0</v>
      </c>
      <c r="AD1313" s="5" t="s">
        <v>289</v>
      </c>
      <c r="AE1313" s="23" t="n">
        <f>9402</f>
        <v>9402.0</v>
      </c>
    </row>
    <row r="1314">
      <c r="A1314" s="24" t="s">
        <v>2164</v>
      </c>
      <c r="B1314" s="25" t="s">
        <v>2165</v>
      </c>
      <c r="C1314" s="26" t="s">
        <v>1744</v>
      </c>
      <c r="D1314" s="27" t="s">
        <v>1745</v>
      </c>
      <c r="E1314" s="28" t="s">
        <v>63</v>
      </c>
      <c r="F1314" s="20" t="n">
        <f>122</f>
        <v>122.0</v>
      </c>
      <c r="G1314" s="21" t="n">
        <f>286216</f>
        <v>286216.0</v>
      </c>
      <c r="H1314" s="21"/>
      <c r="I1314" s="21" t="n">
        <f>48411</f>
        <v>48411.0</v>
      </c>
      <c r="J1314" s="21" t="n">
        <f>2346</f>
        <v>2346.0</v>
      </c>
      <c r="K1314" s="21" t="n">
        <f>397</f>
        <v>397.0</v>
      </c>
      <c r="L1314" s="4" t="s">
        <v>287</v>
      </c>
      <c r="M1314" s="22" t="n">
        <f>7543</f>
        <v>7543.0</v>
      </c>
      <c r="N1314" s="5" t="s">
        <v>212</v>
      </c>
      <c r="O1314" s="23" t="n">
        <f>322</f>
        <v>322.0</v>
      </c>
      <c r="P1314" s="3" t="s">
        <v>2376</v>
      </c>
      <c r="Q1314" s="21"/>
      <c r="R1314" s="3" t="s">
        <v>2377</v>
      </c>
      <c r="S1314" s="21" t="n">
        <f>253924590</f>
        <v>2.5392459E8</v>
      </c>
      <c r="T1314" s="21" t="n">
        <f>49736148</f>
        <v>4.9736148E7</v>
      </c>
      <c r="U1314" s="5" t="s">
        <v>170</v>
      </c>
      <c r="V1314" s="23" t="n">
        <f>1388980000</f>
        <v>1.38898E9</v>
      </c>
      <c r="W1314" s="5" t="s">
        <v>212</v>
      </c>
      <c r="X1314" s="23" t="n">
        <f>25480000</f>
        <v>2.548E7</v>
      </c>
      <c r="Y1314" s="23" t="n">
        <f>1845</f>
        <v>1845.0</v>
      </c>
      <c r="Z1314" s="21" t="n">
        <f>76837</f>
        <v>76837.0</v>
      </c>
      <c r="AA1314" s="21" t="n">
        <f>6857</f>
        <v>6857.0</v>
      </c>
      <c r="AB1314" s="4" t="s">
        <v>1075</v>
      </c>
      <c r="AC1314" s="22" t="n">
        <f>28259</f>
        <v>28259.0</v>
      </c>
      <c r="AD1314" s="5" t="s">
        <v>2144</v>
      </c>
      <c r="AE1314" s="23" t="n">
        <f>853</f>
        <v>853.0</v>
      </c>
    </row>
    <row r="1315">
      <c r="A1315" s="24" t="s">
        <v>2164</v>
      </c>
      <c r="B1315" s="25" t="s">
        <v>2165</v>
      </c>
      <c r="C1315" s="26" t="s">
        <v>1748</v>
      </c>
      <c r="D1315" s="27" t="s">
        <v>1749</v>
      </c>
      <c r="E1315" s="28" t="s">
        <v>63</v>
      </c>
      <c r="F1315" s="20" t="n">
        <f>122</f>
        <v>122.0</v>
      </c>
      <c r="G1315" s="21" t="n">
        <f>138321</f>
        <v>138321.0</v>
      </c>
      <c r="H1315" s="21"/>
      <c r="I1315" s="21" t="n">
        <f>18846</f>
        <v>18846.0</v>
      </c>
      <c r="J1315" s="21" t="n">
        <f>1134</f>
        <v>1134.0</v>
      </c>
      <c r="K1315" s="21" t="n">
        <f>154</f>
        <v>154.0</v>
      </c>
      <c r="L1315" s="4" t="s">
        <v>934</v>
      </c>
      <c r="M1315" s="22" t="n">
        <f>4090</f>
        <v>4090.0</v>
      </c>
      <c r="N1315" s="5" t="s">
        <v>511</v>
      </c>
      <c r="O1315" s="23" t="n">
        <f>65</f>
        <v>65.0</v>
      </c>
      <c r="P1315" s="3" t="s">
        <v>2378</v>
      </c>
      <c r="Q1315" s="21"/>
      <c r="R1315" s="3" t="s">
        <v>2379</v>
      </c>
      <c r="S1315" s="21" t="n">
        <f>201645164</f>
        <v>2.01645164E8</v>
      </c>
      <c r="T1315" s="21" t="n">
        <f>28596557</f>
        <v>2.8596557E7</v>
      </c>
      <c r="U1315" s="5" t="s">
        <v>1140</v>
      </c>
      <c r="V1315" s="23" t="n">
        <f>1391770000</f>
        <v>1.39177E9</v>
      </c>
      <c r="W1315" s="5" t="s">
        <v>511</v>
      </c>
      <c r="X1315" s="23" t="n">
        <f>8900000</f>
        <v>8900000.0</v>
      </c>
      <c r="Y1315" s="23" t="n">
        <f>17501</f>
        <v>17501.0</v>
      </c>
      <c r="Z1315" s="21" t="n">
        <f>27546</f>
        <v>27546.0</v>
      </c>
      <c r="AA1315" s="21" t="n">
        <f>2164</f>
        <v>2164.0</v>
      </c>
      <c r="AB1315" s="4" t="s">
        <v>1495</v>
      </c>
      <c r="AC1315" s="22" t="n">
        <f>10858</f>
        <v>10858.0</v>
      </c>
      <c r="AD1315" s="5" t="s">
        <v>2144</v>
      </c>
      <c r="AE1315" s="23" t="n">
        <f>207</f>
        <v>207.0</v>
      </c>
    </row>
    <row r="1316">
      <c r="A1316" s="24" t="s">
        <v>2164</v>
      </c>
      <c r="B1316" s="25" t="s">
        <v>2165</v>
      </c>
      <c r="C1316" s="26" t="s">
        <v>1752</v>
      </c>
      <c r="D1316" s="27" t="s">
        <v>1753</v>
      </c>
      <c r="E1316" s="28" t="s">
        <v>63</v>
      </c>
      <c r="F1316" s="20" t="n">
        <f>122</f>
        <v>122.0</v>
      </c>
      <c r="G1316" s="21" t="n">
        <f>424537</f>
        <v>424537.0</v>
      </c>
      <c r="H1316" s="21"/>
      <c r="I1316" s="21" t="n">
        <f>67257</f>
        <v>67257.0</v>
      </c>
      <c r="J1316" s="21" t="n">
        <f>3480</f>
        <v>3480.0</v>
      </c>
      <c r="K1316" s="21" t="n">
        <f>551</f>
        <v>551.0</v>
      </c>
      <c r="L1316" s="4" t="s">
        <v>287</v>
      </c>
      <c r="M1316" s="22" t="n">
        <f>10795</f>
        <v>10795.0</v>
      </c>
      <c r="N1316" s="5" t="s">
        <v>968</v>
      </c>
      <c r="O1316" s="23" t="n">
        <f>710</f>
        <v>710.0</v>
      </c>
      <c r="P1316" s="3" t="s">
        <v>2380</v>
      </c>
      <c r="Q1316" s="21"/>
      <c r="R1316" s="3" t="s">
        <v>2381</v>
      </c>
      <c r="S1316" s="21" t="n">
        <f>455569754</f>
        <v>4.55569754E8</v>
      </c>
      <c r="T1316" s="21" t="n">
        <f>78332705</f>
        <v>7.8332705E7</v>
      </c>
      <c r="U1316" s="5" t="s">
        <v>170</v>
      </c>
      <c r="V1316" s="23" t="n">
        <f>2476860000</f>
        <v>2.47686E9</v>
      </c>
      <c r="W1316" s="5" t="s">
        <v>862</v>
      </c>
      <c r="X1316" s="23" t="n">
        <f>57960000</f>
        <v>5.796E7</v>
      </c>
      <c r="Y1316" s="23" t="n">
        <f>19346</f>
        <v>19346.0</v>
      </c>
      <c r="Z1316" s="21" t="n">
        <f>104383</f>
        <v>104383.0</v>
      </c>
      <c r="AA1316" s="21" t="n">
        <f>9021</f>
        <v>9021.0</v>
      </c>
      <c r="AB1316" s="4" t="s">
        <v>1495</v>
      </c>
      <c r="AC1316" s="22" t="n">
        <f>38755</f>
        <v>38755.0</v>
      </c>
      <c r="AD1316" s="5" t="s">
        <v>2144</v>
      </c>
      <c r="AE1316" s="23" t="n">
        <f>1060</f>
        <v>1060.0</v>
      </c>
    </row>
    <row r="1317">
      <c r="A1317" s="24" t="s">
        <v>2164</v>
      </c>
      <c r="B1317" s="25" t="s">
        <v>2165</v>
      </c>
      <c r="C1317" s="26" t="s">
        <v>1744</v>
      </c>
      <c r="D1317" s="27" t="s">
        <v>1745</v>
      </c>
      <c r="E1317" s="28" t="s">
        <v>70</v>
      </c>
      <c r="F1317" s="20" t="n">
        <f>123</f>
        <v>123.0</v>
      </c>
      <c r="G1317" s="21" t="n">
        <f>371224</f>
        <v>371224.0</v>
      </c>
      <c r="H1317" s="21"/>
      <c r="I1317" s="21" t="n">
        <f>48054</f>
        <v>48054.0</v>
      </c>
      <c r="J1317" s="21" t="n">
        <f>3018</f>
        <v>3018.0</v>
      </c>
      <c r="K1317" s="21" t="n">
        <f>391</f>
        <v>391.0</v>
      </c>
      <c r="L1317" s="4" t="s">
        <v>983</v>
      </c>
      <c r="M1317" s="22" t="n">
        <f>11166</f>
        <v>11166.0</v>
      </c>
      <c r="N1317" s="5" t="s">
        <v>350</v>
      </c>
      <c r="O1317" s="23" t="n">
        <f>381</f>
        <v>381.0</v>
      </c>
      <c r="P1317" s="3" t="s">
        <v>2382</v>
      </c>
      <c r="Q1317" s="21"/>
      <c r="R1317" s="3" t="s">
        <v>2383</v>
      </c>
      <c r="S1317" s="21" t="n">
        <f>367434776</f>
        <v>3.67434776E8</v>
      </c>
      <c r="T1317" s="21" t="n">
        <f>69112744</f>
        <v>6.9112744E7</v>
      </c>
      <c r="U1317" s="5" t="s">
        <v>983</v>
      </c>
      <c r="V1317" s="23" t="n">
        <f>4239850000</f>
        <v>4.23985E9</v>
      </c>
      <c r="W1317" s="5" t="s">
        <v>350</v>
      </c>
      <c r="X1317" s="23" t="n">
        <f>44290000</f>
        <v>4.429E7</v>
      </c>
      <c r="Y1317" s="23" t="n">
        <f>9468</f>
        <v>9468.0</v>
      </c>
      <c r="Z1317" s="21" t="n">
        <f>81497</f>
        <v>81497.0</v>
      </c>
      <c r="AA1317" s="21" t="n">
        <f>16207</f>
        <v>16207.0</v>
      </c>
      <c r="AB1317" s="4" t="s">
        <v>972</v>
      </c>
      <c r="AC1317" s="22" t="n">
        <f>42242</f>
        <v>42242.0</v>
      </c>
      <c r="AD1317" s="5" t="s">
        <v>335</v>
      </c>
      <c r="AE1317" s="23" t="n">
        <f>9265</f>
        <v>9265.0</v>
      </c>
    </row>
    <row r="1318">
      <c r="A1318" s="24" t="s">
        <v>2164</v>
      </c>
      <c r="B1318" s="25" t="s">
        <v>2165</v>
      </c>
      <c r="C1318" s="26" t="s">
        <v>1748</v>
      </c>
      <c r="D1318" s="27" t="s">
        <v>1749</v>
      </c>
      <c r="E1318" s="28" t="s">
        <v>70</v>
      </c>
      <c r="F1318" s="20" t="n">
        <f>123</f>
        <v>123.0</v>
      </c>
      <c r="G1318" s="21" t="n">
        <f>158514</f>
        <v>158514.0</v>
      </c>
      <c r="H1318" s="21"/>
      <c r="I1318" s="21" t="n">
        <f>13376</f>
        <v>13376.0</v>
      </c>
      <c r="J1318" s="21" t="n">
        <f>1289</f>
        <v>1289.0</v>
      </c>
      <c r="K1318" s="21" t="n">
        <f>109</f>
        <v>109.0</v>
      </c>
      <c r="L1318" s="4" t="s">
        <v>62</v>
      </c>
      <c r="M1318" s="22" t="n">
        <f>3633</f>
        <v>3633.0</v>
      </c>
      <c r="N1318" s="5" t="s">
        <v>823</v>
      </c>
      <c r="O1318" s="23" t="n">
        <f>68</f>
        <v>68.0</v>
      </c>
      <c r="P1318" s="3" t="s">
        <v>2384</v>
      </c>
      <c r="Q1318" s="21"/>
      <c r="R1318" s="3" t="s">
        <v>2385</v>
      </c>
      <c r="S1318" s="21" t="n">
        <f>201048841</f>
        <v>2.01048841E8</v>
      </c>
      <c r="T1318" s="21" t="n">
        <f>16671199</f>
        <v>1.6671199E7</v>
      </c>
      <c r="U1318" s="5" t="s">
        <v>62</v>
      </c>
      <c r="V1318" s="23" t="n">
        <f>702620000</f>
        <v>7.0262E8</v>
      </c>
      <c r="W1318" s="5" t="s">
        <v>823</v>
      </c>
      <c r="X1318" s="23" t="n">
        <f>10410000</f>
        <v>1.041E7</v>
      </c>
      <c r="Y1318" s="23" t="n">
        <f>7088</f>
        <v>7088.0</v>
      </c>
      <c r="Z1318" s="21" t="n">
        <f>24744</f>
        <v>24744.0</v>
      </c>
      <c r="AA1318" s="21" t="n">
        <f>1800</f>
        <v>1800.0</v>
      </c>
      <c r="AB1318" s="4" t="s">
        <v>944</v>
      </c>
      <c r="AC1318" s="22" t="n">
        <f>9719</f>
        <v>9719.0</v>
      </c>
      <c r="AD1318" s="5" t="s">
        <v>481</v>
      </c>
      <c r="AE1318" s="23" t="n">
        <f>1049</f>
        <v>1049.0</v>
      </c>
    </row>
    <row r="1319">
      <c r="A1319" s="24" t="s">
        <v>2164</v>
      </c>
      <c r="B1319" s="25" t="s">
        <v>2165</v>
      </c>
      <c r="C1319" s="26" t="s">
        <v>1752</v>
      </c>
      <c r="D1319" s="27" t="s">
        <v>1753</v>
      </c>
      <c r="E1319" s="28" t="s">
        <v>70</v>
      </c>
      <c r="F1319" s="20" t="n">
        <f>123</f>
        <v>123.0</v>
      </c>
      <c r="G1319" s="21" t="n">
        <f>529738</f>
        <v>529738.0</v>
      </c>
      <c r="H1319" s="21"/>
      <c r="I1319" s="21" t="n">
        <f>61430</f>
        <v>61430.0</v>
      </c>
      <c r="J1319" s="21" t="n">
        <f>4307</f>
        <v>4307.0</v>
      </c>
      <c r="K1319" s="21" t="n">
        <f>499</f>
        <v>499.0</v>
      </c>
      <c r="L1319" s="4" t="s">
        <v>983</v>
      </c>
      <c r="M1319" s="22" t="n">
        <f>14200</f>
        <v>14200.0</v>
      </c>
      <c r="N1319" s="5" t="s">
        <v>823</v>
      </c>
      <c r="O1319" s="23" t="n">
        <f>761</f>
        <v>761.0</v>
      </c>
      <c r="P1319" s="3" t="s">
        <v>2386</v>
      </c>
      <c r="Q1319" s="21"/>
      <c r="R1319" s="3" t="s">
        <v>2387</v>
      </c>
      <c r="S1319" s="21" t="n">
        <f>568483618</f>
        <v>5.68483618E8</v>
      </c>
      <c r="T1319" s="21" t="n">
        <f>85783943</f>
        <v>8.5783943E7</v>
      </c>
      <c r="U1319" s="5" t="s">
        <v>983</v>
      </c>
      <c r="V1319" s="23" t="n">
        <f>4757270000</f>
        <v>4.75727E9</v>
      </c>
      <c r="W1319" s="5" t="s">
        <v>823</v>
      </c>
      <c r="X1319" s="23" t="n">
        <f>55160000</f>
        <v>5.516E7</v>
      </c>
      <c r="Y1319" s="23" t="n">
        <f>16556</f>
        <v>16556.0</v>
      </c>
      <c r="Z1319" s="21" t="n">
        <f>106241</f>
        <v>106241.0</v>
      </c>
      <c r="AA1319" s="21" t="n">
        <f>18007</f>
        <v>18007.0</v>
      </c>
      <c r="AB1319" s="4" t="s">
        <v>972</v>
      </c>
      <c r="AC1319" s="22" t="n">
        <f>48482</f>
        <v>48482.0</v>
      </c>
      <c r="AD1319" s="5" t="s">
        <v>335</v>
      </c>
      <c r="AE1319" s="23" t="n">
        <f>12831</f>
        <v>12831.0</v>
      </c>
    </row>
    <row r="1320">
      <c r="A1320" s="24" t="s">
        <v>2164</v>
      </c>
      <c r="B1320" s="25" t="s">
        <v>2165</v>
      </c>
      <c r="C1320" s="26" t="s">
        <v>1744</v>
      </c>
      <c r="D1320" s="27" t="s">
        <v>1745</v>
      </c>
      <c r="E1320" s="28" t="s">
        <v>77</v>
      </c>
      <c r="F1320" s="20" t="n">
        <f>122</f>
        <v>122.0</v>
      </c>
      <c r="G1320" s="21" t="n">
        <f>274214</f>
        <v>274214.0</v>
      </c>
      <c r="H1320" s="21"/>
      <c r="I1320" s="21" t="n">
        <f>18936</f>
        <v>18936.0</v>
      </c>
      <c r="J1320" s="21" t="n">
        <f>2248</f>
        <v>2248.0</v>
      </c>
      <c r="K1320" s="21" t="n">
        <f>155</f>
        <v>155.0</v>
      </c>
      <c r="L1320" s="4" t="s">
        <v>1056</v>
      </c>
      <c r="M1320" s="22" t="n">
        <f>8541</f>
        <v>8541.0</v>
      </c>
      <c r="N1320" s="5" t="s">
        <v>50</v>
      </c>
      <c r="O1320" s="23" t="n">
        <f>290</f>
        <v>290.0</v>
      </c>
      <c r="P1320" s="3" t="s">
        <v>2388</v>
      </c>
      <c r="Q1320" s="21"/>
      <c r="R1320" s="3" t="s">
        <v>2389</v>
      </c>
      <c r="S1320" s="21" t="n">
        <f>214191844</f>
        <v>2.14191844E8</v>
      </c>
      <c r="T1320" s="21" t="n">
        <f>19024549</f>
        <v>1.9024549E7</v>
      </c>
      <c r="U1320" s="5" t="s">
        <v>968</v>
      </c>
      <c r="V1320" s="23" t="n">
        <f>1151955000</f>
        <v>1.151955E9</v>
      </c>
      <c r="W1320" s="5" t="s">
        <v>116</v>
      </c>
      <c r="X1320" s="23" t="n">
        <f>14030000</f>
        <v>1.403E7</v>
      </c>
      <c r="Y1320" s="23" t="n">
        <f>8923</f>
        <v>8923.0</v>
      </c>
      <c r="Z1320" s="21" t="n">
        <f>38614</f>
        <v>38614.0</v>
      </c>
      <c r="AA1320" s="21" t="n">
        <f>12371</f>
        <v>12371.0</v>
      </c>
      <c r="AB1320" s="4" t="s">
        <v>277</v>
      </c>
      <c r="AC1320" s="22" t="n">
        <f>31914</f>
        <v>31914.0</v>
      </c>
      <c r="AD1320" s="5" t="s">
        <v>314</v>
      </c>
      <c r="AE1320" s="23" t="n">
        <f>8566</f>
        <v>8566.0</v>
      </c>
    </row>
    <row r="1321">
      <c r="A1321" s="24" t="s">
        <v>2164</v>
      </c>
      <c r="B1321" s="25" t="s">
        <v>2165</v>
      </c>
      <c r="C1321" s="26" t="s">
        <v>1748</v>
      </c>
      <c r="D1321" s="27" t="s">
        <v>1749</v>
      </c>
      <c r="E1321" s="28" t="s">
        <v>77</v>
      </c>
      <c r="F1321" s="20" t="n">
        <f>122</f>
        <v>122.0</v>
      </c>
      <c r="G1321" s="21" t="n">
        <f>121387</f>
        <v>121387.0</v>
      </c>
      <c r="H1321" s="21"/>
      <c r="I1321" s="21" t="n">
        <f>10839</f>
        <v>10839.0</v>
      </c>
      <c r="J1321" s="21" t="n">
        <f>995</f>
        <v>995.0</v>
      </c>
      <c r="K1321" s="21" t="n">
        <f>89</f>
        <v>89.0</v>
      </c>
      <c r="L1321" s="4" t="s">
        <v>2074</v>
      </c>
      <c r="M1321" s="22" t="n">
        <f>4819</f>
        <v>4819.0</v>
      </c>
      <c r="N1321" s="5" t="s">
        <v>50</v>
      </c>
      <c r="O1321" s="23" t="n">
        <f>101</f>
        <v>101.0</v>
      </c>
      <c r="P1321" s="3" t="s">
        <v>2390</v>
      </c>
      <c r="Q1321" s="21"/>
      <c r="R1321" s="3" t="s">
        <v>2391</v>
      </c>
      <c r="S1321" s="21" t="n">
        <f>122235779</f>
        <v>1.22235779E8</v>
      </c>
      <c r="T1321" s="21" t="n">
        <f>11405041</f>
        <v>1.1405041E7</v>
      </c>
      <c r="U1321" s="5" t="s">
        <v>1316</v>
      </c>
      <c r="V1321" s="23" t="n">
        <f>584350000</f>
        <v>5.8435E8</v>
      </c>
      <c r="W1321" s="5" t="s">
        <v>50</v>
      </c>
      <c r="X1321" s="23" t="n">
        <f>7160000</f>
        <v>7160000.0</v>
      </c>
      <c r="Y1321" s="23" t="n">
        <f>8715</f>
        <v>8715.0</v>
      </c>
      <c r="Z1321" s="21" t="n">
        <f>19864</f>
        <v>19864.0</v>
      </c>
      <c r="AA1321" s="21" t="n">
        <f>1614</f>
        <v>1614.0</v>
      </c>
      <c r="AB1321" s="4" t="s">
        <v>149</v>
      </c>
      <c r="AC1321" s="22" t="n">
        <f>8978</f>
        <v>8978.0</v>
      </c>
      <c r="AD1321" s="5" t="s">
        <v>306</v>
      </c>
      <c r="AE1321" s="23" t="n">
        <f>703</f>
        <v>703.0</v>
      </c>
    </row>
    <row r="1322">
      <c r="A1322" s="24" t="s">
        <v>2164</v>
      </c>
      <c r="B1322" s="25" t="s">
        <v>2165</v>
      </c>
      <c r="C1322" s="26" t="s">
        <v>1752</v>
      </c>
      <c r="D1322" s="27" t="s">
        <v>1753</v>
      </c>
      <c r="E1322" s="28" t="s">
        <v>77</v>
      </c>
      <c r="F1322" s="20" t="n">
        <f>122</f>
        <v>122.0</v>
      </c>
      <c r="G1322" s="21" t="n">
        <f>395601</f>
        <v>395601.0</v>
      </c>
      <c r="H1322" s="21"/>
      <c r="I1322" s="21" t="n">
        <f>29775</f>
        <v>29775.0</v>
      </c>
      <c r="J1322" s="21" t="n">
        <f>3243</f>
        <v>3243.0</v>
      </c>
      <c r="K1322" s="21" t="n">
        <f>244</f>
        <v>244.0</v>
      </c>
      <c r="L1322" s="4" t="s">
        <v>2074</v>
      </c>
      <c r="M1322" s="22" t="n">
        <f>12897</f>
        <v>12897.0</v>
      </c>
      <c r="N1322" s="5" t="s">
        <v>50</v>
      </c>
      <c r="O1322" s="23" t="n">
        <f>391</f>
        <v>391.0</v>
      </c>
      <c r="P1322" s="3" t="s">
        <v>2392</v>
      </c>
      <c r="Q1322" s="21"/>
      <c r="R1322" s="3" t="s">
        <v>2393</v>
      </c>
      <c r="S1322" s="21" t="n">
        <f>336427623</f>
        <v>3.36427623E8</v>
      </c>
      <c r="T1322" s="21" t="n">
        <f>30429590</f>
        <v>3.042959E7</v>
      </c>
      <c r="U1322" s="5" t="s">
        <v>1316</v>
      </c>
      <c r="V1322" s="23" t="n">
        <f>1639290000</f>
        <v>1.63929E9</v>
      </c>
      <c r="W1322" s="5" t="s">
        <v>865</v>
      </c>
      <c r="X1322" s="23" t="n">
        <f>26500000</f>
        <v>2.65E7</v>
      </c>
      <c r="Y1322" s="23" t="n">
        <f>17638</f>
        <v>17638.0</v>
      </c>
      <c r="Z1322" s="21" t="n">
        <f>58478</f>
        <v>58478.0</v>
      </c>
      <c r="AA1322" s="21" t="n">
        <f>13985</f>
        <v>13985.0</v>
      </c>
      <c r="AB1322" s="4" t="s">
        <v>1320</v>
      </c>
      <c r="AC1322" s="22" t="n">
        <f>38080</f>
        <v>38080.0</v>
      </c>
      <c r="AD1322" s="5" t="s">
        <v>306</v>
      </c>
      <c r="AE1322" s="23" t="n">
        <f>9802</f>
        <v>9802.0</v>
      </c>
    </row>
    <row r="1323">
      <c r="A1323" s="24" t="s">
        <v>2164</v>
      </c>
      <c r="B1323" s="25" t="s">
        <v>2165</v>
      </c>
      <c r="C1323" s="26" t="s">
        <v>1744</v>
      </c>
      <c r="D1323" s="27" t="s">
        <v>1745</v>
      </c>
      <c r="E1323" s="28" t="s">
        <v>83</v>
      </c>
      <c r="F1323" s="20" t="n">
        <f>124</f>
        <v>124.0</v>
      </c>
      <c r="G1323" s="21" t="n">
        <f>272546</f>
        <v>272546.0</v>
      </c>
      <c r="H1323" s="21"/>
      <c r="I1323" s="21" t="n">
        <f>20105</f>
        <v>20105.0</v>
      </c>
      <c r="J1323" s="21" t="n">
        <f>2198</f>
        <v>2198.0</v>
      </c>
      <c r="K1323" s="21" t="n">
        <f>162</f>
        <v>162.0</v>
      </c>
      <c r="L1323" s="4" t="s">
        <v>1667</v>
      </c>
      <c r="M1323" s="22" t="n">
        <f>8149</f>
        <v>8149.0</v>
      </c>
      <c r="N1323" s="5" t="s">
        <v>491</v>
      </c>
      <c r="O1323" s="23" t="n">
        <f>200</f>
        <v>200.0</v>
      </c>
      <c r="P1323" s="3" t="s">
        <v>2394</v>
      </c>
      <c r="Q1323" s="21"/>
      <c r="R1323" s="3" t="s">
        <v>2395</v>
      </c>
      <c r="S1323" s="21" t="n">
        <f>155514456</f>
        <v>1.55514456E8</v>
      </c>
      <c r="T1323" s="21" t="n">
        <f>13955988</f>
        <v>1.3955988E7</v>
      </c>
      <c r="U1323" s="5" t="s">
        <v>520</v>
      </c>
      <c r="V1323" s="23" t="n">
        <f>1028740000</f>
        <v>1.02874E9</v>
      </c>
      <c r="W1323" s="5" t="s">
        <v>491</v>
      </c>
      <c r="X1323" s="23" t="n">
        <f>8640000</f>
        <v>8640000.0</v>
      </c>
      <c r="Y1323" s="23" t="n">
        <f>11484</f>
        <v>11484.0</v>
      </c>
      <c r="Z1323" s="21" t="n">
        <f>35706</f>
        <v>35706.0</v>
      </c>
      <c r="AA1323" s="21" t="n">
        <f>11177</f>
        <v>11177.0</v>
      </c>
      <c r="AB1323" s="4" t="s">
        <v>72</v>
      </c>
      <c r="AC1323" s="22" t="n">
        <f>32919</f>
        <v>32919.0</v>
      </c>
      <c r="AD1323" s="5" t="s">
        <v>1265</v>
      </c>
      <c r="AE1323" s="23" t="n">
        <f>9301</f>
        <v>9301.0</v>
      </c>
    </row>
    <row r="1324">
      <c r="A1324" s="24" t="s">
        <v>2164</v>
      </c>
      <c r="B1324" s="25" t="s">
        <v>2165</v>
      </c>
      <c r="C1324" s="26" t="s">
        <v>1748</v>
      </c>
      <c r="D1324" s="27" t="s">
        <v>1749</v>
      </c>
      <c r="E1324" s="28" t="s">
        <v>83</v>
      </c>
      <c r="F1324" s="20" t="n">
        <f>124</f>
        <v>124.0</v>
      </c>
      <c r="G1324" s="21" t="n">
        <f>149661</f>
        <v>149661.0</v>
      </c>
      <c r="H1324" s="21"/>
      <c r="I1324" s="21" t="n">
        <f>10636</f>
        <v>10636.0</v>
      </c>
      <c r="J1324" s="21" t="n">
        <f>1207</f>
        <v>1207.0</v>
      </c>
      <c r="K1324" s="21" t="n">
        <f>86</f>
        <v>86.0</v>
      </c>
      <c r="L1324" s="4" t="s">
        <v>927</v>
      </c>
      <c r="M1324" s="22" t="n">
        <f>3991</f>
        <v>3991.0</v>
      </c>
      <c r="N1324" s="5" t="s">
        <v>972</v>
      </c>
      <c r="O1324" s="23" t="n">
        <f>86</f>
        <v>86.0</v>
      </c>
      <c r="P1324" s="3" t="s">
        <v>2396</v>
      </c>
      <c r="Q1324" s="21"/>
      <c r="R1324" s="3" t="s">
        <v>2397</v>
      </c>
      <c r="S1324" s="21" t="n">
        <f>132261089</f>
        <v>1.32261089E8</v>
      </c>
      <c r="T1324" s="21" t="n">
        <f>8571169</f>
        <v>8571169.0</v>
      </c>
      <c r="U1324" s="5" t="s">
        <v>350</v>
      </c>
      <c r="V1324" s="23" t="n">
        <f>556930000</f>
        <v>5.5693E8</v>
      </c>
      <c r="W1324" s="5" t="s">
        <v>781</v>
      </c>
      <c r="X1324" s="23" t="n">
        <f>14540000</f>
        <v>1.454E7</v>
      </c>
      <c r="Y1324" s="23" t="n">
        <f>10248</f>
        <v>10248.0</v>
      </c>
      <c r="Z1324" s="21" t="n">
        <f>19726</f>
        <v>19726.0</v>
      </c>
      <c r="AA1324" s="21" t="n">
        <f>2280</f>
        <v>2280.0</v>
      </c>
      <c r="AB1324" s="4" t="s">
        <v>1021</v>
      </c>
      <c r="AC1324" s="22" t="n">
        <f>9439</f>
        <v>9439.0</v>
      </c>
      <c r="AD1324" s="5" t="s">
        <v>666</v>
      </c>
      <c r="AE1324" s="23" t="n">
        <f>1733</f>
        <v>1733.0</v>
      </c>
    </row>
    <row r="1325">
      <c r="A1325" s="24" t="s">
        <v>2164</v>
      </c>
      <c r="B1325" s="25" t="s">
        <v>2165</v>
      </c>
      <c r="C1325" s="26" t="s">
        <v>1752</v>
      </c>
      <c r="D1325" s="27" t="s">
        <v>1753</v>
      </c>
      <c r="E1325" s="28" t="s">
        <v>83</v>
      </c>
      <c r="F1325" s="20" t="n">
        <f>124</f>
        <v>124.0</v>
      </c>
      <c r="G1325" s="21" t="n">
        <f>422207</f>
        <v>422207.0</v>
      </c>
      <c r="H1325" s="21"/>
      <c r="I1325" s="21" t="n">
        <f>30741</f>
        <v>30741.0</v>
      </c>
      <c r="J1325" s="21" t="n">
        <f>3405</f>
        <v>3405.0</v>
      </c>
      <c r="K1325" s="21" t="n">
        <f>248</f>
        <v>248.0</v>
      </c>
      <c r="L1325" s="4" t="s">
        <v>1667</v>
      </c>
      <c r="M1325" s="22" t="n">
        <f>10829</f>
        <v>10829.0</v>
      </c>
      <c r="N1325" s="5" t="s">
        <v>931</v>
      </c>
      <c r="O1325" s="23" t="n">
        <f>717</f>
        <v>717.0</v>
      </c>
      <c r="P1325" s="3" t="s">
        <v>2398</v>
      </c>
      <c r="Q1325" s="21"/>
      <c r="R1325" s="3" t="s">
        <v>2399</v>
      </c>
      <c r="S1325" s="21" t="n">
        <f>287775544</f>
        <v>2.87775544E8</v>
      </c>
      <c r="T1325" s="21" t="n">
        <f>22527157</f>
        <v>2.2527157E7</v>
      </c>
      <c r="U1325" s="5" t="s">
        <v>520</v>
      </c>
      <c r="V1325" s="23" t="n">
        <f>1238430000</f>
        <v>1.23843E9</v>
      </c>
      <c r="W1325" s="5" t="s">
        <v>931</v>
      </c>
      <c r="X1325" s="23" t="n">
        <f>55835000</f>
        <v>5.5835E7</v>
      </c>
      <c r="Y1325" s="23" t="n">
        <f>21732</f>
        <v>21732.0</v>
      </c>
      <c r="Z1325" s="21" t="n">
        <f>55432</f>
        <v>55432.0</v>
      </c>
      <c r="AA1325" s="21" t="n">
        <f>13457</f>
        <v>13457.0</v>
      </c>
      <c r="AB1325" s="4" t="s">
        <v>72</v>
      </c>
      <c r="AC1325" s="22" t="n">
        <f>40418</f>
        <v>40418.0</v>
      </c>
      <c r="AD1325" s="5" t="s">
        <v>1265</v>
      </c>
      <c r="AE1325" s="23" t="n">
        <f>11051</f>
        <v>11051.0</v>
      </c>
    </row>
    <row r="1326">
      <c r="A1326" s="24" t="s">
        <v>2164</v>
      </c>
      <c r="B1326" s="25" t="s">
        <v>2165</v>
      </c>
      <c r="C1326" s="26" t="s">
        <v>1744</v>
      </c>
      <c r="D1326" s="27" t="s">
        <v>1745</v>
      </c>
      <c r="E1326" s="28" t="s">
        <v>89</v>
      </c>
      <c r="F1326" s="20" t="n">
        <f>121</f>
        <v>121.0</v>
      </c>
      <c r="G1326" s="21" t="n">
        <f>288249</f>
        <v>288249.0</v>
      </c>
      <c r="H1326" s="21"/>
      <c r="I1326" s="21" t="n">
        <f>30709</f>
        <v>30709.0</v>
      </c>
      <c r="J1326" s="21" t="n">
        <f>2382</f>
        <v>2382.0</v>
      </c>
      <c r="K1326" s="21" t="n">
        <f>254</f>
        <v>254.0</v>
      </c>
      <c r="L1326" s="4" t="s">
        <v>843</v>
      </c>
      <c r="M1326" s="22" t="n">
        <f>9625</f>
        <v>9625.0</v>
      </c>
      <c r="N1326" s="5" t="s">
        <v>455</v>
      </c>
      <c r="O1326" s="23" t="n">
        <f>125</f>
        <v>125.0</v>
      </c>
      <c r="P1326" s="3" t="s">
        <v>2400</v>
      </c>
      <c r="Q1326" s="21"/>
      <c r="R1326" s="3" t="s">
        <v>2401</v>
      </c>
      <c r="S1326" s="21" t="n">
        <f>167686694</f>
        <v>1.67686694E8</v>
      </c>
      <c r="T1326" s="21" t="n">
        <f>20697190</f>
        <v>2.069719E7</v>
      </c>
      <c r="U1326" s="5" t="s">
        <v>843</v>
      </c>
      <c r="V1326" s="23" t="n">
        <f>885310000</f>
        <v>8.8531E8</v>
      </c>
      <c r="W1326" s="5" t="s">
        <v>455</v>
      </c>
      <c r="X1326" s="23" t="n">
        <f>12070000</f>
        <v>1.207E7</v>
      </c>
      <c r="Y1326" s="23" t="n">
        <f>10445</f>
        <v>10445.0</v>
      </c>
      <c r="Z1326" s="21" t="n">
        <f>51214</f>
        <v>51214.0</v>
      </c>
      <c r="AA1326" s="21" t="n">
        <f>10616</f>
        <v>10616.0</v>
      </c>
      <c r="AB1326" s="4" t="s">
        <v>65</v>
      </c>
      <c r="AC1326" s="22" t="n">
        <f>39120</f>
        <v>39120.0</v>
      </c>
      <c r="AD1326" s="5" t="s">
        <v>516</v>
      </c>
      <c r="AE1326" s="23" t="n">
        <f>8521</f>
        <v>8521.0</v>
      </c>
    </row>
    <row r="1327">
      <c r="A1327" s="24" t="s">
        <v>2164</v>
      </c>
      <c r="B1327" s="25" t="s">
        <v>2165</v>
      </c>
      <c r="C1327" s="26" t="s">
        <v>1748</v>
      </c>
      <c r="D1327" s="27" t="s">
        <v>1749</v>
      </c>
      <c r="E1327" s="28" t="s">
        <v>89</v>
      </c>
      <c r="F1327" s="20" t="n">
        <f>121</f>
        <v>121.0</v>
      </c>
      <c r="G1327" s="21" t="n">
        <f>151907</f>
        <v>151907.0</v>
      </c>
      <c r="H1327" s="21"/>
      <c r="I1327" s="21" t="n">
        <f>8948</f>
        <v>8948.0</v>
      </c>
      <c r="J1327" s="21" t="n">
        <f>1255</f>
        <v>1255.0</v>
      </c>
      <c r="K1327" s="21" t="n">
        <f>74</f>
        <v>74.0</v>
      </c>
      <c r="L1327" s="4" t="s">
        <v>533</v>
      </c>
      <c r="M1327" s="22" t="n">
        <f>4617</f>
        <v>4617.0</v>
      </c>
      <c r="N1327" s="5" t="s">
        <v>116</v>
      </c>
      <c r="O1327" s="23" t="n">
        <f>178</f>
        <v>178.0</v>
      </c>
      <c r="P1327" s="3" t="s">
        <v>2402</v>
      </c>
      <c r="Q1327" s="21"/>
      <c r="R1327" s="3" t="s">
        <v>2403</v>
      </c>
      <c r="S1327" s="21" t="n">
        <f>138993017</f>
        <v>1.38993017E8</v>
      </c>
      <c r="T1327" s="21" t="n">
        <f>7988554</f>
        <v>7988554.0</v>
      </c>
      <c r="U1327" s="5" t="s">
        <v>552</v>
      </c>
      <c r="V1327" s="23" t="n">
        <f>584220000</f>
        <v>5.8422E8</v>
      </c>
      <c r="W1327" s="5" t="s">
        <v>116</v>
      </c>
      <c r="X1327" s="23" t="n">
        <f>12130000</f>
        <v>1.213E7</v>
      </c>
      <c r="Y1327" s="23" t="n">
        <f>10866</f>
        <v>10866.0</v>
      </c>
      <c r="Z1327" s="21" t="n">
        <f>16048</f>
        <v>16048.0</v>
      </c>
      <c r="AA1327" s="21" t="n">
        <f>5141</f>
        <v>5141.0</v>
      </c>
      <c r="AB1327" s="4" t="s">
        <v>1068</v>
      </c>
      <c r="AC1327" s="22" t="n">
        <f>11050</f>
        <v>11050.0</v>
      </c>
      <c r="AD1327" s="5" t="s">
        <v>516</v>
      </c>
      <c r="AE1327" s="23" t="n">
        <f>1208</f>
        <v>1208.0</v>
      </c>
    </row>
    <row r="1328">
      <c r="A1328" s="24" t="s">
        <v>2164</v>
      </c>
      <c r="B1328" s="25" t="s">
        <v>2165</v>
      </c>
      <c r="C1328" s="26" t="s">
        <v>1752</v>
      </c>
      <c r="D1328" s="27" t="s">
        <v>1753</v>
      </c>
      <c r="E1328" s="28" t="s">
        <v>89</v>
      </c>
      <c r="F1328" s="20" t="n">
        <f>121</f>
        <v>121.0</v>
      </c>
      <c r="G1328" s="21" t="n">
        <f>440156</f>
        <v>440156.0</v>
      </c>
      <c r="H1328" s="21"/>
      <c r="I1328" s="21" t="n">
        <f>39657</f>
        <v>39657.0</v>
      </c>
      <c r="J1328" s="21" t="n">
        <f>3638</f>
        <v>3638.0</v>
      </c>
      <c r="K1328" s="21" t="n">
        <f>328</f>
        <v>328.0</v>
      </c>
      <c r="L1328" s="4" t="s">
        <v>843</v>
      </c>
      <c r="M1328" s="22" t="n">
        <f>12164</f>
        <v>12164.0</v>
      </c>
      <c r="N1328" s="5" t="s">
        <v>455</v>
      </c>
      <c r="O1328" s="23" t="n">
        <f>388</f>
        <v>388.0</v>
      </c>
      <c r="P1328" s="3" t="s">
        <v>2404</v>
      </c>
      <c r="Q1328" s="21"/>
      <c r="R1328" s="3" t="s">
        <v>2405</v>
      </c>
      <c r="S1328" s="21" t="n">
        <f>306679711</f>
        <v>3.06679711E8</v>
      </c>
      <c r="T1328" s="21" t="n">
        <f>28685744</f>
        <v>2.8685744E7</v>
      </c>
      <c r="U1328" s="5" t="s">
        <v>843</v>
      </c>
      <c r="V1328" s="23" t="n">
        <f>1079620000</f>
        <v>1.07962E9</v>
      </c>
      <c r="W1328" s="5" t="s">
        <v>455</v>
      </c>
      <c r="X1328" s="23" t="n">
        <f>29660000</f>
        <v>2.966E7</v>
      </c>
      <c r="Y1328" s="23" t="n">
        <f>21311</f>
        <v>21311.0</v>
      </c>
      <c r="Z1328" s="21" t="n">
        <f>67262</f>
        <v>67262.0</v>
      </c>
      <c r="AA1328" s="21" t="n">
        <f>15757</f>
        <v>15757.0</v>
      </c>
      <c r="AB1328" s="4" t="s">
        <v>65</v>
      </c>
      <c r="AC1328" s="22" t="n">
        <f>47346</f>
        <v>47346.0</v>
      </c>
      <c r="AD1328" s="5" t="s">
        <v>516</v>
      </c>
      <c r="AE1328" s="23" t="n">
        <f>9729</f>
        <v>9729.0</v>
      </c>
    </row>
    <row r="1329">
      <c r="A1329" s="24" t="s">
        <v>2164</v>
      </c>
      <c r="B1329" s="25" t="s">
        <v>2165</v>
      </c>
      <c r="C1329" s="26" t="s">
        <v>1744</v>
      </c>
      <c r="D1329" s="27" t="s">
        <v>1745</v>
      </c>
      <c r="E1329" s="28" t="s">
        <v>95</v>
      </c>
      <c r="F1329" s="20" t="n">
        <f>124</f>
        <v>124.0</v>
      </c>
      <c r="G1329" s="21" t="n">
        <f>257161</f>
        <v>257161.0</v>
      </c>
      <c r="H1329" s="21"/>
      <c r="I1329" s="21" t="n">
        <f>26219</f>
        <v>26219.0</v>
      </c>
      <c r="J1329" s="21" t="n">
        <f>2074</f>
        <v>2074.0</v>
      </c>
      <c r="K1329" s="21" t="n">
        <f>211</f>
        <v>211.0</v>
      </c>
      <c r="L1329" s="4" t="s">
        <v>1265</v>
      </c>
      <c r="M1329" s="22" t="n">
        <f>9108</f>
        <v>9108.0</v>
      </c>
      <c r="N1329" s="5" t="s">
        <v>1377</v>
      </c>
      <c r="O1329" s="23" t="n">
        <f>253</f>
        <v>253.0</v>
      </c>
      <c r="P1329" s="3" t="s">
        <v>2406</v>
      </c>
      <c r="Q1329" s="21"/>
      <c r="R1329" s="3" t="s">
        <v>2407</v>
      </c>
      <c r="S1329" s="21" t="n">
        <f>190976815</f>
        <v>1.90976815E8</v>
      </c>
      <c r="T1329" s="21" t="n">
        <f>23302056</f>
        <v>2.3302056E7</v>
      </c>
      <c r="U1329" s="5" t="s">
        <v>853</v>
      </c>
      <c r="V1329" s="23" t="n">
        <f>2005180000</f>
        <v>2.00518E9</v>
      </c>
      <c r="W1329" s="5" t="s">
        <v>213</v>
      </c>
      <c r="X1329" s="23" t="n">
        <f>5740000</f>
        <v>5740000.0</v>
      </c>
      <c r="Y1329" s="23" t="n">
        <f>5978</f>
        <v>5978.0</v>
      </c>
      <c r="Z1329" s="21" t="n">
        <f>47615</f>
        <v>47615.0</v>
      </c>
      <c r="AA1329" s="21" t="n">
        <f>9689</f>
        <v>9689.0</v>
      </c>
      <c r="AB1329" s="4" t="s">
        <v>72</v>
      </c>
      <c r="AC1329" s="22" t="n">
        <f>25865</f>
        <v>25865.0</v>
      </c>
      <c r="AD1329" s="5" t="s">
        <v>343</v>
      </c>
      <c r="AE1329" s="23" t="n">
        <f>6450</f>
        <v>6450.0</v>
      </c>
    </row>
    <row r="1330">
      <c r="A1330" s="24" t="s">
        <v>2164</v>
      </c>
      <c r="B1330" s="25" t="s">
        <v>2165</v>
      </c>
      <c r="C1330" s="26" t="s">
        <v>1748</v>
      </c>
      <c r="D1330" s="27" t="s">
        <v>1749</v>
      </c>
      <c r="E1330" s="28" t="s">
        <v>95</v>
      </c>
      <c r="F1330" s="20" t="n">
        <f>124</f>
        <v>124.0</v>
      </c>
      <c r="G1330" s="21" t="n">
        <f>134809</f>
        <v>134809.0</v>
      </c>
      <c r="H1330" s="21"/>
      <c r="I1330" s="21" t="n">
        <f>7533</f>
        <v>7533.0</v>
      </c>
      <c r="J1330" s="21" t="n">
        <f>1087</f>
        <v>1087.0</v>
      </c>
      <c r="K1330" s="21" t="n">
        <f>61</f>
        <v>61.0</v>
      </c>
      <c r="L1330" s="4" t="s">
        <v>1758</v>
      </c>
      <c r="M1330" s="22" t="n">
        <f>4408</f>
        <v>4408.0</v>
      </c>
      <c r="N1330" s="5" t="s">
        <v>192</v>
      </c>
      <c r="O1330" s="23" t="n">
        <f>130</f>
        <v>130.0</v>
      </c>
      <c r="P1330" s="3" t="s">
        <v>2408</v>
      </c>
      <c r="Q1330" s="21"/>
      <c r="R1330" s="3" t="s">
        <v>2409</v>
      </c>
      <c r="S1330" s="21" t="n">
        <f>101552198</f>
        <v>1.01552198E8</v>
      </c>
      <c r="T1330" s="21" t="n">
        <f>5078891</f>
        <v>5078891.0</v>
      </c>
      <c r="U1330" s="5" t="s">
        <v>983</v>
      </c>
      <c r="V1330" s="23" t="n">
        <f>568540000</f>
        <v>5.6854E8</v>
      </c>
      <c r="W1330" s="5" t="s">
        <v>266</v>
      </c>
      <c r="X1330" s="23" t="n">
        <f>7200000</f>
        <v>7200000.0</v>
      </c>
      <c r="Y1330" s="23" t="n">
        <f>7065</f>
        <v>7065.0</v>
      </c>
      <c r="Z1330" s="21" t="n">
        <f>14236</f>
        <v>14236.0</v>
      </c>
      <c r="AA1330" s="21" t="n">
        <f>3694</f>
        <v>3694.0</v>
      </c>
      <c r="AB1330" s="4" t="s">
        <v>72</v>
      </c>
      <c r="AC1330" s="22" t="n">
        <f>13408</f>
        <v>13408.0</v>
      </c>
      <c r="AD1330" s="5" t="s">
        <v>343</v>
      </c>
      <c r="AE1330" s="23" t="n">
        <f>3000</f>
        <v>3000.0</v>
      </c>
    </row>
    <row r="1331">
      <c r="A1331" s="24" t="s">
        <v>2164</v>
      </c>
      <c r="B1331" s="25" t="s">
        <v>2165</v>
      </c>
      <c r="C1331" s="26" t="s">
        <v>1752</v>
      </c>
      <c r="D1331" s="27" t="s">
        <v>1753</v>
      </c>
      <c r="E1331" s="28" t="s">
        <v>95</v>
      </c>
      <c r="F1331" s="20" t="n">
        <f>124</f>
        <v>124.0</v>
      </c>
      <c r="G1331" s="21" t="n">
        <f>391970</f>
        <v>391970.0</v>
      </c>
      <c r="H1331" s="21"/>
      <c r="I1331" s="21" t="n">
        <f>33752</f>
        <v>33752.0</v>
      </c>
      <c r="J1331" s="21" t="n">
        <f>3161</f>
        <v>3161.0</v>
      </c>
      <c r="K1331" s="21" t="n">
        <f>272</f>
        <v>272.0</v>
      </c>
      <c r="L1331" s="4" t="s">
        <v>1265</v>
      </c>
      <c r="M1331" s="22" t="n">
        <f>12846</f>
        <v>12846.0</v>
      </c>
      <c r="N1331" s="5" t="s">
        <v>792</v>
      </c>
      <c r="O1331" s="23" t="n">
        <f>488</f>
        <v>488.0</v>
      </c>
      <c r="P1331" s="3" t="s">
        <v>2410</v>
      </c>
      <c r="Q1331" s="21"/>
      <c r="R1331" s="3" t="s">
        <v>2411</v>
      </c>
      <c r="S1331" s="21" t="n">
        <f>292529012</f>
        <v>2.92529012E8</v>
      </c>
      <c r="T1331" s="21" t="n">
        <f>28380948</f>
        <v>2.8380948E7</v>
      </c>
      <c r="U1331" s="5" t="s">
        <v>853</v>
      </c>
      <c r="V1331" s="23" t="n">
        <f>2348490000</f>
        <v>2.34849E9</v>
      </c>
      <c r="W1331" s="5" t="s">
        <v>192</v>
      </c>
      <c r="X1331" s="23" t="n">
        <f>27460000</f>
        <v>2.746E7</v>
      </c>
      <c r="Y1331" s="23" t="n">
        <f>13043</f>
        <v>13043.0</v>
      </c>
      <c r="Z1331" s="21" t="n">
        <f>61851</f>
        <v>61851.0</v>
      </c>
      <c r="AA1331" s="21" t="n">
        <f>13383</f>
        <v>13383.0</v>
      </c>
      <c r="AB1331" s="4" t="s">
        <v>72</v>
      </c>
      <c r="AC1331" s="22" t="n">
        <f>39273</f>
        <v>39273.0</v>
      </c>
      <c r="AD1331" s="5" t="s">
        <v>343</v>
      </c>
      <c r="AE1331" s="23" t="n">
        <f>9450</f>
        <v>9450.0</v>
      </c>
    </row>
    <row r="1332">
      <c r="A1332" s="24" t="s">
        <v>2164</v>
      </c>
      <c r="B1332" s="25" t="s">
        <v>2165</v>
      </c>
      <c r="C1332" s="26" t="s">
        <v>1744</v>
      </c>
      <c r="D1332" s="27" t="s">
        <v>1745</v>
      </c>
      <c r="E1332" s="28" t="s">
        <v>101</v>
      </c>
      <c r="F1332" s="20" t="n">
        <f>120</f>
        <v>120.0</v>
      </c>
      <c r="G1332" s="21" t="n">
        <f>195191</f>
        <v>195191.0</v>
      </c>
      <c r="H1332" s="21"/>
      <c r="I1332" s="21" t="n">
        <f>22119</f>
        <v>22119.0</v>
      </c>
      <c r="J1332" s="21" t="n">
        <f>1627</f>
        <v>1627.0</v>
      </c>
      <c r="K1332" s="21" t="n">
        <f>184</f>
        <v>184.0</v>
      </c>
      <c r="L1332" s="4" t="s">
        <v>1116</v>
      </c>
      <c r="M1332" s="22" t="n">
        <f>8319</f>
        <v>8319.0</v>
      </c>
      <c r="N1332" s="5" t="s">
        <v>1022</v>
      </c>
      <c r="O1332" s="23" t="n">
        <f>271</f>
        <v>271.0</v>
      </c>
      <c r="P1332" s="3" t="s">
        <v>2412</v>
      </c>
      <c r="Q1332" s="21"/>
      <c r="R1332" s="3" t="s">
        <v>2413</v>
      </c>
      <c r="S1332" s="21" t="n">
        <f>125430417</f>
        <v>1.25430417E8</v>
      </c>
      <c r="T1332" s="21" t="n">
        <f>15788250</f>
        <v>1.578825E7</v>
      </c>
      <c r="U1332" s="5" t="s">
        <v>1116</v>
      </c>
      <c r="V1332" s="23" t="n">
        <f>598180000</f>
        <v>5.9818E8</v>
      </c>
      <c r="W1332" s="5" t="s">
        <v>440</v>
      </c>
      <c r="X1332" s="23" t="n">
        <f>16860000</f>
        <v>1.686E7</v>
      </c>
      <c r="Y1332" s="23" t="n">
        <f>426</f>
        <v>426.0</v>
      </c>
      <c r="Z1332" s="21" t="n">
        <f>39913</f>
        <v>39913.0</v>
      </c>
      <c r="AA1332" s="21" t="n">
        <f>6126</f>
        <v>6126.0</v>
      </c>
      <c r="AB1332" s="4" t="s">
        <v>287</v>
      </c>
      <c r="AC1332" s="22" t="n">
        <f>26542</f>
        <v>26542.0</v>
      </c>
      <c r="AD1332" s="5" t="s">
        <v>516</v>
      </c>
      <c r="AE1332" s="23" t="n">
        <f>4082</f>
        <v>4082.0</v>
      </c>
    </row>
    <row r="1333">
      <c r="A1333" s="24" t="s">
        <v>2164</v>
      </c>
      <c r="B1333" s="25" t="s">
        <v>2165</v>
      </c>
      <c r="C1333" s="26" t="s">
        <v>1748</v>
      </c>
      <c r="D1333" s="27" t="s">
        <v>1749</v>
      </c>
      <c r="E1333" s="28" t="s">
        <v>101</v>
      </c>
      <c r="F1333" s="20" t="n">
        <f>120</f>
        <v>120.0</v>
      </c>
      <c r="G1333" s="21" t="n">
        <f>122259</f>
        <v>122259.0</v>
      </c>
      <c r="H1333" s="21"/>
      <c r="I1333" s="21" t="n">
        <f>5934</f>
        <v>5934.0</v>
      </c>
      <c r="J1333" s="21" t="n">
        <f>1019</f>
        <v>1019.0</v>
      </c>
      <c r="K1333" s="21" t="n">
        <f>49</f>
        <v>49.0</v>
      </c>
      <c r="L1333" s="4" t="s">
        <v>634</v>
      </c>
      <c r="M1333" s="22" t="n">
        <f>3463</f>
        <v>3463.0</v>
      </c>
      <c r="N1333" s="5" t="s">
        <v>429</v>
      </c>
      <c r="O1333" s="23" t="n">
        <f>68</f>
        <v>68.0</v>
      </c>
      <c r="P1333" s="3" t="s">
        <v>2414</v>
      </c>
      <c r="Q1333" s="21"/>
      <c r="R1333" s="3" t="s">
        <v>2415</v>
      </c>
      <c r="S1333" s="21" t="n">
        <f>120407208</f>
        <v>1.20407208E8</v>
      </c>
      <c r="T1333" s="21" t="n">
        <f>8510042</f>
        <v>8510042.0</v>
      </c>
      <c r="U1333" s="5" t="s">
        <v>634</v>
      </c>
      <c r="V1333" s="23" t="n">
        <f>776985000</f>
        <v>7.76985E8</v>
      </c>
      <c r="W1333" s="5" t="s">
        <v>1277</v>
      </c>
      <c r="X1333" s="23" t="n">
        <f>4420000</f>
        <v>4420000.0</v>
      </c>
      <c r="Y1333" s="23" t="n">
        <f>21301</f>
        <v>21301.0</v>
      </c>
      <c r="Z1333" s="21" t="n">
        <f>13743</f>
        <v>13743.0</v>
      </c>
      <c r="AA1333" s="21" t="n">
        <f>2647</f>
        <v>2647.0</v>
      </c>
      <c r="AB1333" s="4" t="s">
        <v>1836</v>
      </c>
      <c r="AC1333" s="22" t="n">
        <f>10075</f>
        <v>10075.0</v>
      </c>
      <c r="AD1333" s="5" t="s">
        <v>65</v>
      </c>
      <c r="AE1333" s="23" t="n">
        <f>2082</f>
        <v>2082.0</v>
      </c>
    </row>
    <row r="1334">
      <c r="A1334" s="24" t="s">
        <v>2164</v>
      </c>
      <c r="B1334" s="25" t="s">
        <v>2165</v>
      </c>
      <c r="C1334" s="26" t="s">
        <v>1752</v>
      </c>
      <c r="D1334" s="27" t="s">
        <v>1753</v>
      </c>
      <c r="E1334" s="28" t="s">
        <v>101</v>
      </c>
      <c r="F1334" s="20" t="n">
        <f>120</f>
        <v>120.0</v>
      </c>
      <c r="G1334" s="21" t="n">
        <f>317450</f>
        <v>317450.0</v>
      </c>
      <c r="H1334" s="21"/>
      <c r="I1334" s="21" t="n">
        <f>28053</f>
        <v>28053.0</v>
      </c>
      <c r="J1334" s="21" t="n">
        <f>2645</f>
        <v>2645.0</v>
      </c>
      <c r="K1334" s="21" t="n">
        <f>234</f>
        <v>234.0</v>
      </c>
      <c r="L1334" s="4" t="s">
        <v>1116</v>
      </c>
      <c r="M1334" s="22" t="n">
        <f>10987</f>
        <v>10987.0</v>
      </c>
      <c r="N1334" s="5" t="s">
        <v>197</v>
      </c>
      <c r="O1334" s="23" t="n">
        <f>602</f>
        <v>602.0</v>
      </c>
      <c r="P1334" s="3" t="s">
        <v>2416</v>
      </c>
      <c r="Q1334" s="21"/>
      <c r="R1334" s="3" t="s">
        <v>2417</v>
      </c>
      <c r="S1334" s="21" t="n">
        <f>245837625</f>
        <v>2.45837625E8</v>
      </c>
      <c r="T1334" s="21" t="n">
        <f>24298292</f>
        <v>2.4298292E7</v>
      </c>
      <c r="U1334" s="5" t="s">
        <v>634</v>
      </c>
      <c r="V1334" s="23" t="n">
        <f>1232545000</f>
        <v>1.232545E9</v>
      </c>
      <c r="W1334" s="5" t="s">
        <v>250</v>
      </c>
      <c r="X1334" s="23" t="n">
        <f>38000000</f>
        <v>3.8E7</v>
      </c>
      <c r="Y1334" s="23" t="n">
        <f>21727</f>
        <v>21727.0</v>
      </c>
      <c r="Z1334" s="21" t="n">
        <f>53656</f>
        <v>53656.0</v>
      </c>
      <c r="AA1334" s="21" t="n">
        <f>8773</f>
        <v>8773.0</v>
      </c>
      <c r="AB1334" s="4" t="s">
        <v>287</v>
      </c>
      <c r="AC1334" s="22" t="n">
        <f>34022</f>
        <v>34022.0</v>
      </c>
      <c r="AD1334" s="5" t="s">
        <v>293</v>
      </c>
      <c r="AE1334" s="23" t="n">
        <f>7039</f>
        <v>7039.0</v>
      </c>
    </row>
    <row r="1335">
      <c r="A1335" s="24" t="s">
        <v>2164</v>
      </c>
      <c r="B1335" s="25" t="s">
        <v>2165</v>
      </c>
      <c r="C1335" s="26" t="s">
        <v>1744</v>
      </c>
      <c r="D1335" s="27" t="s">
        <v>1745</v>
      </c>
      <c r="E1335" s="28" t="s">
        <v>106</v>
      </c>
      <c r="F1335" s="20" t="n">
        <f>121</f>
        <v>121.0</v>
      </c>
      <c r="G1335" s="21" t="n">
        <f>170973</f>
        <v>170973.0</v>
      </c>
      <c r="H1335" s="21"/>
      <c r="I1335" s="21" t="n">
        <f>14951</f>
        <v>14951.0</v>
      </c>
      <c r="J1335" s="21" t="n">
        <f>1413</f>
        <v>1413.0</v>
      </c>
      <c r="K1335" s="21" t="n">
        <f>124</f>
        <v>124.0</v>
      </c>
      <c r="L1335" s="4" t="s">
        <v>76</v>
      </c>
      <c r="M1335" s="22" t="n">
        <f>5778</f>
        <v>5778.0</v>
      </c>
      <c r="N1335" s="5" t="s">
        <v>390</v>
      </c>
      <c r="O1335" s="23" t="n">
        <f>180</f>
        <v>180.0</v>
      </c>
      <c r="P1335" s="3" t="s">
        <v>2418</v>
      </c>
      <c r="Q1335" s="21"/>
      <c r="R1335" s="3" t="s">
        <v>2419</v>
      </c>
      <c r="S1335" s="21" t="n">
        <f>124283905</f>
        <v>1.24283905E8</v>
      </c>
      <c r="T1335" s="21" t="n">
        <f>16555558</f>
        <v>1.6555558E7</v>
      </c>
      <c r="U1335" s="5" t="s">
        <v>76</v>
      </c>
      <c r="V1335" s="23" t="n">
        <f>1455550000</f>
        <v>1.45555E9</v>
      </c>
      <c r="W1335" s="5" t="s">
        <v>132</v>
      </c>
      <c r="X1335" s="23" t="n">
        <f>10350000</f>
        <v>1.035E7</v>
      </c>
      <c r="Y1335" s="23" t="n">
        <f>2466</f>
        <v>2466.0</v>
      </c>
      <c r="Z1335" s="21" t="n">
        <f>30505</f>
        <v>30505.0</v>
      </c>
      <c r="AA1335" s="21" t="n">
        <f>3978</f>
        <v>3978.0</v>
      </c>
      <c r="AB1335" s="4" t="s">
        <v>1614</v>
      </c>
      <c r="AC1335" s="22" t="n">
        <f>18117</f>
        <v>18117.0</v>
      </c>
      <c r="AD1335" s="5" t="s">
        <v>72</v>
      </c>
      <c r="AE1335" s="23" t="n">
        <f>1645</f>
        <v>1645.0</v>
      </c>
    </row>
    <row r="1336">
      <c r="A1336" s="24" t="s">
        <v>2164</v>
      </c>
      <c r="B1336" s="25" t="s">
        <v>2165</v>
      </c>
      <c r="C1336" s="26" t="s">
        <v>1748</v>
      </c>
      <c r="D1336" s="27" t="s">
        <v>1749</v>
      </c>
      <c r="E1336" s="28" t="s">
        <v>106</v>
      </c>
      <c r="F1336" s="20" t="n">
        <f>121</f>
        <v>121.0</v>
      </c>
      <c r="G1336" s="21" t="n">
        <f>137777</f>
        <v>137777.0</v>
      </c>
      <c r="H1336" s="21"/>
      <c r="I1336" s="21" t="n">
        <f>9389</f>
        <v>9389.0</v>
      </c>
      <c r="J1336" s="21" t="n">
        <f>1139</f>
        <v>1139.0</v>
      </c>
      <c r="K1336" s="21" t="n">
        <f>78</f>
        <v>78.0</v>
      </c>
      <c r="L1336" s="4" t="s">
        <v>266</v>
      </c>
      <c r="M1336" s="22" t="n">
        <f>4591</f>
        <v>4591.0</v>
      </c>
      <c r="N1336" s="5" t="s">
        <v>709</v>
      </c>
      <c r="O1336" s="23" t="n">
        <f>58</f>
        <v>58.0</v>
      </c>
      <c r="P1336" s="3" t="s">
        <v>2420</v>
      </c>
      <c r="Q1336" s="21"/>
      <c r="R1336" s="3" t="s">
        <v>2421</v>
      </c>
      <c r="S1336" s="21" t="n">
        <f>123525475</f>
        <v>1.23525475E8</v>
      </c>
      <c r="T1336" s="21" t="n">
        <f>9072748</f>
        <v>9072748.0</v>
      </c>
      <c r="U1336" s="5" t="s">
        <v>450</v>
      </c>
      <c r="V1336" s="23" t="n">
        <f>533720000</f>
        <v>5.3372E8</v>
      </c>
      <c r="W1336" s="5" t="s">
        <v>709</v>
      </c>
      <c r="X1336" s="23" t="n">
        <f>9400000</f>
        <v>9400000.0</v>
      </c>
      <c r="Y1336" s="23" t="n">
        <f>14918</f>
        <v>14918.0</v>
      </c>
      <c r="Z1336" s="21" t="n">
        <f>23033</f>
        <v>23033.0</v>
      </c>
      <c r="AA1336" s="21" t="n">
        <f>2531</f>
        <v>2531.0</v>
      </c>
      <c r="AB1336" s="4" t="s">
        <v>631</v>
      </c>
      <c r="AC1336" s="22" t="n">
        <f>9968</f>
        <v>9968.0</v>
      </c>
      <c r="AD1336" s="5" t="s">
        <v>72</v>
      </c>
      <c r="AE1336" s="23" t="n">
        <f>1289</f>
        <v>1289.0</v>
      </c>
    </row>
    <row r="1337">
      <c r="A1337" s="24" t="s">
        <v>2164</v>
      </c>
      <c r="B1337" s="25" t="s">
        <v>2165</v>
      </c>
      <c r="C1337" s="26" t="s">
        <v>1752</v>
      </c>
      <c r="D1337" s="27" t="s">
        <v>1753</v>
      </c>
      <c r="E1337" s="28" t="s">
        <v>106</v>
      </c>
      <c r="F1337" s="20" t="n">
        <f>121</f>
        <v>121.0</v>
      </c>
      <c r="G1337" s="21" t="n">
        <f>308750</f>
        <v>308750.0</v>
      </c>
      <c r="H1337" s="21"/>
      <c r="I1337" s="21" t="n">
        <f>24340</f>
        <v>24340.0</v>
      </c>
      <c r="J1337" s="21" t="n">
        <f>2552</f>
        <v>2552.0</v>
      </c>
      <c r="K1337" s="21" t="n">
        <f>201</f>
        <v>201.0</v>
      </c>
      <c r="L1337" s="4" t="s">
        <v>76</v>
      </c>
      <c r="M1337" s="22" t="n">
        <f>8514</f>
        <v>8514.0</v>
      </c>
      <c r="N1337" s="5" t="s">
        <v>390</v>
      </c>
      <c r="O1337" s="23" t="n">
        <f>342</f>
        <v>342.0</v>
      </c>
      <c r="P1337" s="3" t="s">
        <v>2422</v>
      </c>
      <c r="Q1337" s="21"/>
      <c r="R1337" s="3" t="s">
        <v>2423</v>
      </c>
      <c r="S1337" s="21" t="n">
        <f>247809380</f>
        <v>2.4780938E8</v>
      </c>
      <c r="T1337" s="21" t="n">
        <f>25628306</f>
        <v>2.5628306E7</v>
      </c>
      <c r="U1337" s="5" t="s">
        <v>76</v>
      </c>
      <c r="V1337" s="23" t="n">
        <f>1690990000</f>
        <v>1.69099E9</v>
      </c>
      <c r="W1337" s="5" t="s">
        <v>317</v>
      </c>
      <c r="X1337" s="23" t="n">
        <f>31660000</f>
        <v>3.166E7</v>
      </c>
      <c r="Y1337" s="23" t="n">
        <f>17384</f>
        <v>17384.0</v>
      </c>
      <c r="Z1337" s="21" t="n">
        <f>53538</f>
        <v>53538.0</v>
      </c>
      <c r="AA1337" s="21" t="n">
        <f>6509</f>
        <v>6509.0</v>
      </c>
      <c r="AB1337" s="4" t="s">
        <v>1614</v>
      </c>
      <c r="AC1337" s="22" t="n">
        <f>25725</f>
        <v>25725.0</v>
      </c>
      <c r="AD1337" s="5" t="s">
        <v>72</v>
      </c>
      <c r="AE1337" s="23" t="n">
        <f>2934</f>
        <v>2934.0</v>
      </c>
    </row>
    <row r="1338">
      <c r="A1338" s="24" t="s">
        <v>2164</v>
      </c>
      <c r="B1338" s="25" t="s">
        <v>2165</v>
      </c>
      <c r="C1338" s="26" t="s">
        <v>1744</v>
      </c>
      <c r="D1338" s="27" t="s">
        <v>1745</v>
      </c>
      <c r="E1338" s="28" t="s">
        <v>112</v>
      </c>
      <c r="F1338" s="20" t="n">
        <f>120</f>
        <v>120.0</v>
      </c>
      <c r="G1338" s="21" t="n">
        <f>162615</f>
        <v>162615.0</v>
      </c>
      <c r="H1338" s="21"/>
      <c r="I1338" s="21" t="n">
        <f>12891</f>
        <v>12891.0</v>
      </c>
      <c r="J1338" s="21" t="n">
        <f>1355</f>
        <v>1355.0</v>
      </c>
      <c r="K1338" s="21" t="n">
        <f>107</f>
        <v>107.0</v>
      </c>
      <c r="L1338" s="4" t="s">
        <v>279</v>
      </c>
      <c r="M1338" s="22" t="n">
        <f>4487</f>
        <v>4487.0</v>
      </c>
      <c r="N1338" s="5" t="s">
        <v>1256</v>
      </c>
      <c r="O1338" s="23" t="n">
        <f>51</f>
        <v>51.0</v>
      </c>
      <c r="P1338" s="3" t="s">
        <v>2424</v>
      </c>
      <c r="Q1338" s="21"/>
      <c r="R1338" s="3" t="s">
        <v>2425</v>
      </c>
      <c r="S1338" s="21" t="n">
        <f>198338375</f>
        <v>1.98338375E8</v>
      </c>
      <c r="T1338" s="21" t="n">
        <f>14849792</f>
        <v>1.4849792E7</v>
      </c>
      <c r="U1338" s="5" t="s">
        <v>279</v>
      </c>
      <c r="V1338" s="23" t="n">
        <f>717405000</f>
        <v>7.17405E8</v>
      </c>
      <c r="W1338" s="5" t="s">
        <v>1256</v>
      </c>
      <c r="X1338" s="23" t="n">
        <f>10770000</f>
        <v>1.077E7</v>
      </c>
      <c r="Y1338" s="23" t="n">
        <f>9753</f>
        <v>9753.0</v>
      </c>
      <c r="Z1338" s="21" t="n">
        <f>29527</f>
        <v>29527.0</v>
      </c>
      <c r="AA1338" s="21" t="n">
        <f>280</f>
        <v>280.0</v>
      </c>
      <c r="AB1338" s="4" t="s">
        <v>277</v>
      </c>
      <c r="AC1338" s="22" t="n">
        <f>9555</f>
        <v>9555.0</v>
      </c>
      <c r="AD1338" s="5" t="s">
        <v>330</v>
      </c>
      <c r="AE1338" s="23" t="n">
        <f>280</f>
        <v>280.0</v>
      </c>
    </row>
    <row r="1339">
      <c r="A1339" s="24" t="s">
        <v>2164</v>
      </c>
      <c r="B1339" s="25" t="s">
        <v>2165</v>
      </c>
      <c r="C1339" s="26" t="s">
        <v>1748</v>
      </c>
      <c r="D1339" s="27" t="s">
        <v>1749</v>
      </c>
      <c r="E1339" s="28" t="s">
        <v>112</v>
      </c>
      <c r="F1339" s="20" t="n">
        <f>120</f>
        <v>120.0</v>
      </c>
      <c r="G1339" s="21" t="n">
        <f>173019</f>
        <v>173019.0</v>
      </c>
      <c r="H1339" s="21"/>
      <c r="I1339" s="21" t="n">
        <f>19096</f>
        <v>19096.0</v>
      </c>
      <c r="J1339" s="21" t="n">
        <f>1442</f>
        <v>1442.0</v>
      </c>
      <c r="K1339" s="21" t="n">
        <f>159</f>
        <v>159.0</v>
      </c>
      <c r="L1339" s="4" t="s">
        <v>211</v>
      </c>
      <c r="M1339" s="22" t="n">
        <f>5982</f>
        <v>5982.0</v>
      </c>
      <c r="N1339" s="5" t="s">
        <v>1256</v>
      </c>
      <c r="O1339" s="23" t="n">
        <f>93</f>
        <v>93.0</v>
      </c>
      <c r="P1339" s="3" t="s">
        <v>2426</v>
      </c>
      <c r="Q1339" s="21"/>
      <c r="R1339" s="3" t="s">
        <v>2427</v>
      </c>
      <c r="S1339" s="21" t="n">
        <f>196537188</f>
        <v>1.96537188E8</v>
      </c>
      <c r="T1339" s="21" t="n">
        <f>29379438</f>
        <v>2.9379438E7</v>
      </c>
      <c r="U1339" s="5" t="s">
        <v>658</v>
      </c>
      <c r="V1339" s="23" t="n">
        <f>715860000</f>
        <v>7.1586E8</v>
      </c>
      <c r="W1339" s="5" t="s">
        <v>1256</v>
      </c>
      <c r="X1339" s="23" t="n">
        <f>8320000</f>
        <v>8320000.0</v>
      </c>
      <c r="Y1339" s="23" t="n">
        <f>10158</f>
        <v>10158.0</v>
      </c>
      <c r="Z1339" s="21" t="n">
        <f>42898</f>
        <v>42898.0</v>
      </c>
      <c r="AA1339" s="21" t="n">
        <f>117</f>
        <v>117.0</v>
      </c>
      <c r="AB1339" s="4" t="s">
        <v>1339</v>
      </c>
      <c r="AC1339" s="22" t="n">
        <f>15855</f>
        <v>15855.0</v>
      </c>
      <c r="AD1339" s="5" t="s">
        <v>330</v>
      </c>
      <c r="AE1339" s="23" t="n">
        <f>117</f>
        <v>117.0</v>
      </c>
    </row>
    <row r="1340">
      <c r="A1340" s="24" t="s">
        <v>2164</v>
      </c>
      <c r="B1340" s="25" t="s">
        <v>2165</v>
      </c>
      <c r="C1340" s="26" t="s">
        <v>1752</v>
      </c>
      <c r="D1340" s="27" t="s">
        <v>1753</v>
      </c>
      <c r="E1340" s="28" t="s">
        <v>112</v>
      </c>
      <c r="F1340" s="20" t="n">
        <f>120</f>
        <v>120.0</v>
      </c>
      <c r="G1340" s="21" t="n">
        <f>335634</f>
        <v>335634.0</v>
      </c>
      <c r="H1340" s="21"/>
      <c r="I1340" s="21" t="n">
        <f>31987</f>
        <v>31987.0</v>
      </c>
      <c r="J1340" s="21" t="n">
        <f>2797</f>
        <v>2797.0</v>
      </c>
      <c r="K1340" s="21" t="n">
        <f>267</f>
        <v>267.0</v>
      </c>
      <c r="L1340" s="4" t="s">
        <v>352</v>
      </c>
      <c r="M1340" s="22" t="n">
        <f>7824</f>
        <v>7824.0</v>
      </c>
      <c r="N1340" s="5" t="s">
        <v>1256</v>
      </c>
      <c r="O1340" s="23" t="n">
        <f>144</f>
        <v>144.0</v>
      </c>
      <c r="P1340" s="3" t="s">
        <v>2428</v>
      </c>
      <c r="Q1340" s="21"/>
      <c r="R1340" s="3" t="s">
        <v>2429</v>
      </c>
      <c r="S1340" s="21" t="n">
        <f>394875563</f>
        <v>3.94875563E8</v>
      </c>
      <c r="T1340" s="21" t="n">
        <f>44229229</f>
        <v>4.4229229E7</v>
      </c>
      <c r="U1340" s="5" t="s">
        <v>352</v>
      </c>
      <c r="V1340" s="23" t="n">
        <f>1210385000</f>
        <v>1.210385E9</v>
      </c>
      <c r="W1340" s="5" t="s">
        <v>1256</v>
      </c>
      <c r="X1340" s="23" t="n">
        <f>19090000</f>
        <v>1.909E7</v>
      </c>
      <c r="Y1340" s="23" t="n">
        <f>19911</f>
        <v>19911.0</v>
      </c>
      <c r="Z1340" s="21" t="n">
        <f>72425</f>
        <v>72425.0</v>
      </c>
      <c r="AA1340" s="21" t="n">
        <f>397</f>
        <v>397.0</v>
      </c>
      <c r="AB1340" s="4" t="s">
        <v>1339</v>
      </c>
      <c r="AC1340" s="22" t="n">
        <f>25126</f>
        <v>25126.0</v>
      </c>
      <c r="AD1340" s="5" t="s">
        <v>330</v>
      </c>
      <c r="AE1340" s="23" t="n">
        <f>397</f>
        <v>397.0</v>
      </c>
    </row>
    <row r="1341">
      <c r="A1341" s="24" t="s">
        <v>2164</v>
      </c>
      <c r="B1341" s="25" t="s">
        <v>2165</v>
      </c>
      <c r="C1341" s="26" t="s">
        <v>1744</v>
      </c>
      <c r="D1341" s="27" t="s">
        <v>1745</v>
      </c>
      <c r="E1341" s="28" t="s">
        <v>118</v>
      </c>
      <c r="F1341" s="20" t="n">
        <f>122</f>
        <v>122.0</v>
      </c>
      <c r="G1341" s="21" t="n">
        <f>51257</f>
        <v>51257.0</v>
      </c>
      <c r="H1341" s="21"/>
      <c r="I1341" s="21" t="n">
        <f>2507</f>
        <v>2507.0</v>
      </c>
      <c r="J1341" s="21" t="n">
        <f>420</f>
        <v>420.0</v>
      </c>
      <c r="K1341" s="21" t="n">
        <f>21</f>
        <v>21.0</v>
      </c>
      <c r="L1341" s="4" t="s">
        <v>312</v>
      </c>
      <c r="M1341" s="22" t="n">
        <f>1919</f>
        <v>1919.0</v>
      </c>
      <c r="N1341" s="5" t="s">
        <v>123</v>
      </c>
      <c r="O1341" s="23" t="n">
        <f>11</f>
        <v>11.0</v>
      </c>
      <c r="P1341" s="3" t="s">
        <v>2430</v>
      </c>
      <c r="Q1341" s="21"/>
      <c r="R1341" s="3" t="s">
        <v>2431</v>
      </c>
      <c r="S1341" s="21" t="n">
        <f>40246352</f>
        <v>4.0246352E7</v>
      </c>
      <c r="T1341" s="21" t="n">
        <f>2084467</f>
        <v>2084467.0</v>
      </c>
      <c r="U1341" s="5" t="s">
        <v>312</v>
      </c>
      <c r="V1341" s="23" t="n">
        <f>282240000</f>
        <v>2.8224E8</v>
      </c>
      <c r="W1341" s="5" t="s">
        <v>262</v>
      </c>
      <c r="X1341" s="23" t="n">
        <f>250000</f>
        <v>250000.0</v>
      </c>
      <c r="Y1341" s="23" t="n">
        <f>2847</f>
        <v>2847.0</v>
      </c>
      <c r="Z1341" s="21" t="n">
        <f>4634</f>
        <v>4634.0</v>
      </c>
      <c r="AA1341" s="21" t="n">
        <f>1207</f>
        <v>1207.0</v>
      </c>
      <c r="AB1341" s="4" t="s">
        <v>1446</v>
      </c>
      <c r="AC1341" s="22" t="n">
        <f>5339</f>
        <v>5339.0</v>
      </c>
      <c r="AD1341" s="5" t="s">
        <v>1396</v>
      </c>
      <c r="AE1341" s="23" t="n">
        <f>326</f>
        <v>326.0</v>
      </c>
    </row>
    <row r="1342">
      <c r="A1342" s="24" t="s">
        <v>2164</v>
      </c>
      <c r="B1342" s="25" t="s">
        <v>2165</v>
      </c>
      <c r="C1342" s="26" t="s">
        <v>1748</v>
      </c>
      <c r="D1342" s="27" t="s">
        <v>1749</v>
      </c>
      <c r="E1342" s="28" t="s">
        <v>118</v>
      </c>
      <c r="F1342" s="20" t="n">
        <f>122</f>
        <v>122.0</v>
      </c>
      <c r="G1342" s="21" t="n">
        <f>60629</f>
        <v>60629.0</v>
      </c>
      <c r="H1342" s="21"/>
      <c r="I1342" s="21" t="n">
        <f>9534</f>
        <v>9534.0</v>
      </c>
      <c r="J1342" s="21" t="n">
        <f>497</f>
        <v>497.0</v>
      </c>
      <c r="K1342" s="21" t="n">
        <f>78</f>
        <v>78.0</v>
      </c>
      <c r="L1342" s="4" t="s">
        <v>312</v>
      </c>
      <c r="M1342" s="22" t="n">
        <f>2705</f>
        <v>2705.0</v>
      </c>
      <c r="N1342" s="5" t="s">
        <v>1306</v>
      </c>
      <c r="O1342" s="23" t="n">
        <f>25</f>
        <v>25.0</v>
      </c>
      <c r="P1342" s="3" t="s">
        <v>2432</v>
      </c>
      <c r="Q1342" s="21"/>
      <c r="R1342" s="3" t="s">
        <v>2433</v>
      </c>
      <c r="S1342" s="21" t="n">
        <f>49037254</f>
        <v>4.9037254E7</v>
      </c>
      <c r="T1342" s="21" t="n">
        <f>8864877</f>
        <v>8864877.0</v>
      </c>
      <c r="U1342" s="5" t="s">
        <v>312</v>
      </c>
      <c r="V1342" s="23" t="n">
        <f>211340000</f>
        <v>2.1134E8</v>
      </c>
      <c r="W1342" s="5" t="s">
        <v>262</v>
      </c>
      <c r="X1342" s="23" t="n">
        <f>640000</f>
        <v>640000.0</v>
      </c>
      <c r="Y1342" s="23" t="n">
        <f>3945</f>
        <v>3945.0</v>
      </c>
      <c r="Z1342" s="21" t="n">
        <f>16179</f>
        <v>16179.0</v>
      </c>
      <c r="AA1342" s="21" t="n">
        <f>636</f>
        <v>636.0</v>
      </c>
      <c r="AB1342" s="4" t="s">
        <v>1446</v>
      </c>
      <c r="AC1342" s="22" t="n">
        <f>6620</f>
        <v>6620.0</v>
      </c>
      <c r="AD1342" s="5" t="s">
        <v>335</v>
      </c>
      <c r="AE1342" s="23" t="n">
        <f>371</f>
        <v>371.0</v>
      </c>
    </row>
    <row r="1343">
      <c r="A1343" s="24" t="s">
        <v>2164</v>
      </c>
      <c r="B1343" s="25" t="s">
        <v>2165</v>
      </c>
      <c r="C1343" s="26" t="s">
        <v>1752</v>
      </c>
      <c r="D1343" s="27" t="s">
        <v>1753</v>
      </c>
      <c r="E1343" s="28" t="s">
        <v>118</v>
      </c>
      <c r="F1343" s="20" t="n">
        <f>122</f>
        <v>122.0</v>
      </c>
      <c r="G1343" s="21" t="n">
        <f>111886</f>
        <v>111886.0</v>
      </c>
      <c r="H1343" s="21"/>
      <c r="I1343" s="21" t="n">
        <f>12041</f>
        <v>12041.0</v>
      </c>
      <c r="J1343" s="21" t="n">
        <f>917</f>
        <v>917.0</v>
      </c>
      <c r="K1343" s="21" t="n">
        <f>99</f>
        <v>99.0</v>
      </c>
      <c r="L1343" s="4" t="s">
        <v>312</v>
      </c>
      <c r="M1343" s="22" t="n">
        <f>4624</f>
        <v>4624.0</v>
      </c>
      <c r="N1343" s="5" t="s">
        <v>262</v>
      </c>
      <c r="O1343" s="23" t="n">
        <f>56</f>
        <v>56.0</v>
      </c>
      <c r="P1343" s="3" t="s">
        <v>2434</v>
      </c>
      <c r="Q1343" s="21"/>
      <c r="R1343" s="3" t="s">
        <v>2435</v>
      </c>
      <c r="S1343" s="21" t="n">
        <f>89283607</f>
        <v>8.9283607E7</v>
      </c>
      <c r="T1343" s="21" t="n">
        <f>10949344</f>
        <v>1.0949344E7</v>
      </c>
      <c r="U1343" s="5" t="s">
        <v>312</v>
      </c>
      <c r="V1343" s="23" t="n">
        <f>493580000</f>
        <v>4.9358E8</v>
      </c>
      <c r="W1343" s="5" t="s">
        <v>262</v>
      </c>
      <c r="X1343" s="23" t="n">
        <f>890000</f>
        <v>890000.0</v>
      </c>
      <c r="Y1343" s="23" t="n">
        <f>6792</f>
        <v>6792.0</v>
      </c>
      <c r="Z1343" s="21" t="n">
        <f>20813</f>
        <v>20813.0</v>
      </c>
      <c r="AA1343" s="21" t="n">
        <f>1843</f>
        <v>1843.0</v>
      </c>
      <c r="AB1343" s="4" t="s">
        <v>1446</v>
      </c>
      <c r="AC1343" s="22" t="n">
        <f>11959</f>
        <v>11959.0</v>
      </c>
      <c r="AD1343" s="5" t="s">
        <v>1396</v>
      </c>
      <c r="AE1343" s="23" t="n">
        <f>807</f>
        <v>807.0</v>
      </c>
    </row>
    <row r="1344">
      <c r="A1344" s="24" t="s">
        <v>2164</v>
      </c>
      <c r="B1344" s="25" t="s">
        <v>2165</v>
      </c>
      <c r="C1344" s="26" t="s">
        <v>1744</v>
      </c>
      <c r="D1344" s="27" t="s">
        <v>1745</v>
      </c>
      <c r="E1344" s="28" t="s">
        <v>124</v>
      </c>
      <c r="F1344" s="20" t="n">
        <f>123</f>
        <v>123.0</v>
      </c>
      <c r="G1344" s="21" t="n">
        <f>77845</f>
        <v>77845.0</v>
      </c>
      <c r="H1344" s="21"/>
      <c r="I1344" s="21" t="n">
        <f>10034</f>
        <v>10034.0</v>
      </c>
      <c r="J1344" s="21" t="n">
        <f>633</f>
        <v>633.0</v>
      </c>
      <c r="K1344" s="21" t="n">
        <f>82</f>
        <v>82.0</v>
      </c>
      <c r="L1344" s="4" t="s">
        <v>934</v>
      </c>
      <c r="M1344" s="22" t="n">
        <f>2379</f>
        <v>2379.0</v>
      </c>
      <c r="N1344" s="5" t="s">
        <v>65</v>
      </c>
      <c r="O1344" s="23" t="n">
        <f>15</f>
        <v>15.0</v>
      </c>
      <c r="P1344" s="3" t="s">
        <v>2436</v>
      </c>
      <c r="Q1344" s="21"/>
      <c r="R1344" s="3" t="s">
        <v>2437</v>
      </c>
      <c r="S1344" s="21" t="n">
        <f>53043171</f>
        <v>5.3043171E7</v>
      </c>
      <c r="T1344" s="21" t="n">
        <f>7700569</f>
        <v>7700569.0</v>
      </c>
      <c r="U1344" s="5" t="s">
        <v>1064</v>
      </c>
      <c r="V1344" s="23" t="n">
        <f>256860000</f>
        <v>2.5686E8</v>
      </c>
      <c r="W1344" s="5" t="s">
        <v>568</v>
      </c>
      <c r="X1344" s="23" t="n">
        <f>750000</f>
        <v>750000.0</v>
      </c>
      <c r="Y1344" s="23" t="n">
        <f>6156</f>
        <v>6156.0</v>
      </c>
      <c r="Z1344" s="21" t="n">
        <f>13247</f>
        <v>13247.0</v>
      </c>
      <c r="AA1344" s="21" t="n">
        <f>793</f>
        <v>793.0</v>
      </c>
      <c r="AB1344" s="4" t="s">
        <v>1339</v>
      </c>
      <c r="AC1344" s="22" t="n">
        <f>6645</f>
        <v>6645.0</v>
      </c>
      <c r="AD1344" s="5" t="s">
        <v>306</v>
      </c>
      <c r="AE1344" s="23" t="n">
        <f>277</f>
        <v>277.0</v>
      </c>
    </row>
    <row r="1345">
      <c r="A1345" s="24" t="s">
        <v>2164</v>
      </c>
      <c r="B1345" s="25" t="s">
        <v>2165</v>
      </c>
      <c r="C1345" s="26" t="s">
        <v>1748</v>
      </c>
      <c r="D1345" s="27" t="s">
        <v>1749</v>
      </c>
      <c r="E1345" s="28" t="s">
        <v>124</v>
      </c>
      <c r="F1345" s="20" t="n">
        <f>123</f>
        <v>123.0</v>
      </c>
      <c r="G1345" s="21" t="n">
        <f>56702</f>
        <v>56702.0</v>
      </c>
      <c r="H1345" s="21"/>
      <c r="I1345" s="21" t="n">
        <f>4844</f>
        <v>4844.0</v>
      </c>
      <c r="J1345" s="21" t="n">
        <f>461</f>
        <v>461.0</v>
      </c>
      <c r="K1345" s="21" t="n">
        <f>39</f>
        <v>39.0</v>
      </c>
      <c r="L1345" s="4" t="s">
        <v>429</v>
      </c>
      <c r="M1345" s="22" t="n">
        <f>1339</f>
        <v>1339.0</v>
      </c>
      <c r="N1345" s="5" t="s">
        <v>1018</v>
      </c>
      <c r="O1345" s="23" t="n">
        <f>45</f>
        <v>45.0</v>
      </c>
      <c r="P1345" s="3" t="s">
        <v>2438</v>
      </c>
      <c r="Q1345" s="21"/>
      <c r="R1345" s="3" t="s">
        <v>2439</v>
      </c>
      <c r="S1345" s="21" t="n">
        <f>39533638</f>
        <v>3.9533638E7</v>
      </c>
      <c r="T1345" s="21" t="n">
        <f>3185264</f>
        <v>3185264.0</v>
      </c>
      <c r="U1345" s="5" t="s">
        <v>994</v>
      </c>
      <c r="V1345" s="23" t="n">
        <f>124280000</f>
        <v>1.2428E8</v>
      </c>
      <c r="W1345" s="5" t="s">
        <v>1018</v>
      </c>
      <c r="X1345" s="23" t="n">
        <f>2760000</f>
        <v>2760000.0</v>
      </c>
      <c r="Y1345" s="23" t="n">
        <f>922</f>
        <v>922.0</v>
      </c>
      <c r="Z1345" s="21" t="n">
        <f>5387</f>
        <v>5387.0</v>
      </c>
      <c r="AA1345" s="21" t="n">
        <f>241</f>
        <v>241.0</v>
      </c>
      <c r="AB1345" s="4" t="s">
        <v>65</v>
      </c>
      <c r="AC1345" s="22" t="n">
        <f>5449</f>
        <v>5449.0</v>
      </c>
      <c r="AD1345" s="5" t="s">
        <v>921</v>
      </c>
      <c r="AE1345" s="23" t="n">
        <f>214</f>
        <v>214.0</v>
      </c>
    </row>
    <row r="1346">
      <c r="A1346" s="24" t="s">
        <v>2164</v>
      </c>
      <c r="B1346" s="25" t="s">
        <v>2165</v>
      </c>
      <c r="C1346" s="26" t="s">
        <v>1752</v>
      </c>
      <c r="D1346" s="27" t="s">
        <v>1753</v>
      </c>
      <c r="E1346" s="28" t="s">
        <v>124</v>
      </c>
      <c r="F1346" s="20" t="n">
        <f>123</f>
        <v>123.0</v>
      </c>
      <c r="G1346" s="21" t="n">
        <f>134547</f>
        <v>134547.0</v>
      </c>
      <c r="H1346" s="21"/>
      <c r="I1346" s="21" t="n">
        <f>14878</f>
        <v>14878.0</v>
      </c>
      <c r="J1346" s="21" t="n">
        <f>1094</f>
        <v>1094.0</v>
      </c>
      <c r="K1346" s="21" t="n">
        <f>121</f>
        <v>121.0</v>
      </c>
      <c r="L1346" s="4" t="s">
        <v>279</v>
      </c>
      <c r="M1346" s="22" t="n">
        <f>3202</f>
        <v>3202.0</v>
      </c>
      <c r="N1346" s="5" t="s">
        <v>404</v>
      </c>
      <c r="O1346" s="23" t="n">
        <f>142</f>
        <v>142.0</v>
      </c>
      <c r="P1346" s="3" t="s">
        <v>2440</v>
      </c>
      <c r="Q1346" s="21"/>
      <c r="R1346" s="3" t="s">
        <v>2441</v>
      </c>
      <c r="S1346" s="21" t="n">
        <f>92576809</f>
        <v>9.2576809E7</v>
      </c>
      <c r="T1346" s="21" t="n">
        <f>10885833</f>
        <v>1.0885833E7</v>
      </c>
      <c r="U1346" s="5" t="s">
        <v>1064</v>
      </c>
      <c r="V1346" s="23" t="n">
        <f>308970000</f>
        <v>3.0897E8</v>
      </c>
      <c r="W1346" s="5" t="s">
        <v>65</v>
      </c>
      <c r="X1346" s="23" t="n">
        <f>12490000</f>
        <v>1.249E7</v>
      </c>
      <c r="Y1346" s="23" t="n">
        <f>7078</f>
        <v>7078.0</v>
      </c>
      <c r="Z1346" s="21" t="n">
        <f>18634</f>
        <v>18634.0</v>
      </c>
      <c r="AA1346" s="21" t="n">
        <f>1034</f>
        <v>1034.0</v>
      </c>
      <c r="AB1346" s="4" t="s">
        <v>1495</v>
      </c>
      <c r="AC1346" s="22" t="n">
        <f>11584</f>
        <v>11584.0</v>
      </c>
      <c r="AD1346" s="5" t="s">
        <v>306</v>
      </c>
      <c r="AE1346" s="23" t="n">
        <f>987</f>
        <v>987.0</v>
      </c>
    </row>
    <row r="1347">
      <c r="A1347" s="24" t="s">
        <v>2164</v>
      </c>
      <c r="B1347" s="25" t="s">
        <v>2165</v>
      </c>
      <c r="C1347" s="26" t="s">
        <v>1744</v>
      </c>
      <c r="D1347" s="27" t="s">
        <v>1745</v>
      </c>
      <c r="E1347" s="28" t="s">
        <v>127</v>
      </c>
      <c r="F1347" s="20" t="n">
        <f>122</f>
        <v>122.0</v>
      </c>
      <c r="G1347" s="21" t="n">
        <f>46548</f>
        <v>46548.0</v>
      </c>
      <c r="H1347" s="21"/>
      <c r="I1347" s="21" t="n">
        <f>3370</f>
        <v>3370.0</v>
      </c>
      <c r="J1347" s="21" t="n">
        <f>382</f>
        <v>382.0</v>
      </c>
      <c r="K1347" s="21" t="n">
        <f>28</f>
        <v>28.0</v>
      </c>
      <c r="L1347" s="4" t="s">
        <v>201</v>
      </c>
      <c r="M1347" s="22" t="n">
        <f>1492</f>
        <v>1492.0</v>
      </c>
      <c r="N1347" s="5" t="s">
        <v>57</v>
      </c>
      <c r="O1347" s="23" t="n">
        <f>21</f>
        <v>21.0</v>
      </c>
      <c r="P1347" s="3" t="s">
        <v>2442</v>
      </c>
      <c r="Q1347" s="21"/>
      <c r="R1347" s="3" t="s">
        <v>2443</v>
      </c>
      <c r="S1347" s="21" t="n">
        <f>25455020</f>
        <v>2.545502E7</v>
      </c>
      <c r="T1347" s="21" t="n">
        <f>1767725</f>
        <v>1767725.0</v>
      </c>
      <c r="U1347" s="5" t="s">
        <v>335</v>
      </c>
      <c r="V1347" s="23" t="n">
        <f>151070000</f>
        <v>1.5107E8</v>
      </c>
      <c r="W1347" s="5" t="s">
        <v>1123</v>
      </c>
      <c r="X1347" s="23" t="n">
        <f>720000</f>
        <v>720000.0</v>
      </c>
      <c r="Y1347" s="23" t="n">
        <f>2725</f>
        <v>2725.0</v>
      </c>
      <c r="Z1347" s="21" t="n">
        <f>6726</f>
        <v>6726.0</v>
      </c>
      <c r="AA1347" s="21" t="n">
        <f>1128</f>
        <v>1128.0</v>
      </c>
      <c r="AB1347" s="4" t="s">
        <v>364</v>
      </c>
      <c r="AC1347" s="22" t="n">
        <f>5590</f>
        <v>5590.0</v>
      </c>
      <c r="AD1347" s="5" t="s">
        <v>1148</v>
      </c>
      <c r="AE1347" s="23" t="n">
        <f>381</f>
        <v>381.0</v>
      </c>
    </row>
    <row r="1348">
      <c r="A1348" s="24" t="s">
        <v>2164</v>
      </c>
      <c r="B1348" s="25" t="s">
        <v>2165</v>
      </c>
      <c r="C1348" s="26" t="s">
        <v>1748</v>
      </c>
      <c r="D1348" s="27" t="s">
        <v>1749</v>
      </c>
      <c r="E1348" s="28" t="s">
        <v>127</v>
      </c>
      <c r="F1348" s="20" t="n">
        <f>122</f>
        <v>122.0</v>
      </c>
      <c r="G1348" s="21" t="n">
        <f>43306</f>
        <v>43306.0</v>
      </c>
      <c r="H1348" s="21"/>
      <c r="I1348" s="21" t="n">
        <f>1696</f>
        <v>1696.0</v>
      </c>
      <c r="J1348" s="21" t="n">
        <f>355</f>
        <v>355.0</v>
      </c>
      <c r="K1348" s="21" t="n">
        <f>14</f>
        <v>14.0</v>
      </c>
      <c r="L1348" s="4" t="s">
        <v>364</v>
      </c>
      <c r="M1348" s="22" t="n">
        <f>1989</f>
        <v>1989.0</v>
      </c>
      <c r="N1348" s="5" t="s">
        <v>57</v>
      </c>
      <c r="O1348" s="23" t="n">
        <f>2</f>
        <v>2.0</v>
      </c>
      <c r="P1348" s="3" t="s">
        <v>2444</v>
      </c>
      <c r="Q1348" s="21"/>
      <c r="R1348" s="3" t="s">
        <v>2445</v>
      </c>
      <c r="S1348" s="21" t="n">
        <f>31800369</f>
        <v>3.1800369E7</v>
      </c>
      <c r="T1348" s="21" t="n">
        <f>1411844</f>
        <v>1411844.0</v>
      </c>
      <c r="U1348" s="5" t="s">
        <v>193</v>
      </c>
      <c r="V1348" s="23" t="n">
        <f>236550000</f>
        <v>2.3655E8</v>
      </c>
      <c r="W1348" s="5" t="s">
        <v>57</v>
      </c>
      <c r="X1348" s="23" t="n">
        <f>40000</f>
        <v>40000.0</v>
      </c>
      <c r="Y1348" s="23" t="n">
        <f>2378</f>
        <v>2378.0</v>
      </c>
      <c r="Z1348" s="21" t="n">
        <f>3168</f>
        <v>3168.0</v>
      </c>
      <c r="AA1348" s="21" t="n">
        <f>181</f>
        <v>181.0</v>
      </c>
      <c r="AB1348" s="4" t="s">
        <v>972</v>
      </c>
      <c r="AC1348" s="22" t="n">
        <f>3742</f>
        <v>3742.0</v>
      </c>
      <c r="AD1348" s="5" t="s">
        <v>248</v>
      </c>
      <c r="AE1348" s="23" t="n">
        <f>181</f>
        <v>181.0</v>
      </c>
    </row>
    <row r="1349">
      <c r="A1349" s="24" t="s">
        <v>2164</v>
      </c>
      <c r="B1349" s="25" t="s">
        <v>2165</v>
      </c>
      <c r="C1349" s="26" t="s">
        <v>1752</v>
      </c>
      <c r="D1349" s="27" t="s">
        <v>1753</v>
      </c>
      <c r="E1349" s="28" t="s">
        <v>127</v>
      </c>
      <c r="F1349" s="20" t="n">
        <f>122</f>
        <v>122.0</v>
      </c>
      <c r="G1349" s="21" t="n">
        <f>89854</f>
        <v>89854.0</v>
      </c>
      <c r="H1349" s="21"/>
      <c r="I1349" s="21" t="n">
        <f>5066</f>
        <v>5066.0</v>
      </c>
      <c r="J1349" s="21" t="n">
        <f>737</f>
        <v>737.0</v>
      </c>
      <c r="K1349" s="21" t="n">
        <f>42</f>
        <v>42.0</v>
      </c>
      <c r="L1349" s="4" t="s">
        <v>1295</v>
      </c>
      <c r="M1349" s="22" t="n">
        <f>2839</f>
        <v>2839.0</v>
      </c>
      <c r="N1349" s="5" t="s">
        <v>57</v>
      </c>
      <c r="O1349" s="23" t="n">
        <f>23</f>
        <v>23.0</v>
      </c>
      <c r="P1349" s="3" t="s">
        <v>2446</v>
      </c>
      <c r="Q1349" s="21"/>
      <c r="R1349" s="3" t="s">
        <v>2447</v>
      </c>
      <c r="S1349" s="21" t="n">
        <f>57255389</f>
        <v>5.7255389E7</v>
      </c>
      <c r="T1349" s="21" t="n">
        <f>3179570</f>
        <v>3179570.0</v>
      </c>
      <c r="U1349" s="5" t="s">
        <v>193</v>
      </c>
      <c r="V1349" s="23" t="n">
        <f>280090000</f>
        <v>2.8009E8</v>
      </c>
      <c r="W1349" s="5" t="s">
        <v>57</v>
      </c>
      <c r="X1349" s="23" t="n">
        <f>2600000</f>
        <v>2600000.0</v>
      </c>
      <c r="Y1349" s="23" t="n">
        <f>5103</f>
        <v>5103.0</v>
      </c>
      <c r="Z1349" s="21" t="n">
        <f>9894</f>
        <v>9894.0</v>
      </c>
      <c r="AA1349" s="21" t="n">
        <f>1309</f>
        <v>1309.0</v>
      </c>
      <c r="AB1349" s="4" t="s">
        <v>972</v>
      </c>
      <c r="AC1349" s="22" t="n">
        <f>8361</f>
        <v>8361.0</v>
      </c>
      <c r="AD1349" s="5" t="s">
        <v>1148</v>
      </c>
      <c r="AE1349" s="23" t="n">
        <f>652</f>
        <v>652.0</v>
      </c>
    </row>
    <row r="1350">
      <c r="A1350" s="24" t="s">
        <v>2164</v>
      </c>
      <c r="B1350" s="25" t="s">
        <v>2165</v>
      </c>
      <c r="C1350" s="26" t="s">
        <v>1744</v>
      </c>
      <c r="D1350" s="27" t="s">
        <v>1745</v>
      </c>
      <c r="E1350" s="28" t="s">
        <v>133</v>
      </c>
      <c r="F1350" s="20" t="n">
        <f>122</f>
        <v>122.0</v>
      </c>
      <c r="G1350" s="21" t="n">
        <f>38711</f>
        <v>38711.0</v>
      </c>
      <c r="H1350" s="21"/>
      <c r="I1350" s="21" t="n">
        <f>7156</f>
        <v>7156.0</v>
      </c>
      <c r="J1350" s="21" t="n">
        <f>317</f>
        <v>317.0</v>
      </c>
      <c r="K1350" s="21" t="n">
        <f>59</f>
        <v>59.0</v>
      </c>
      <c r="L1350" s="4" t="s">
        <v>69</v>
      </c>
      <c r="M1350" s="22" t="n">
        <f>1583</f>
        <v>1583.0</v>
      </c>
      <c r="N1350" s="5" t="s">
        <v>541</v>
      </c>
      <c r="O1350" s="23" t="n">
        <f>9</f>
        <v>9.0</v>
      </c>
      <c r="P1350" s="3" t="s">
        <v>2448</v>
      </c>
      <c r="Q1350" s="21"/>
      <c r="R1350" s="3" t="s">
        <v>2449</v>
      </c>
      <c r="S1350" s="21" t="n">
        <f>34445430</f>
        <v>3.444543E7</v>
      </c>
      <c r="T1350" s="21" t="n">
        <f>9168217</f>
        <v>9168217.0</v>
      </c>
      <c r="U1350" s="5" t="s">
        <v>1022</v>
      </c>
      <c r="V1350" s="23" t="n">
        <f>181600000</f>
        <v>1.816E8</v>
      </c>
      <c r="W1350" s="5" t="s">
        <v>541</v>
      </c>
      <c r="X1350" s="23" t="n">
        <f>510000</f>
        <v>510000.0</v>
      </c>
      <c r="Y1350" s="23" t="n">
        <f>3794</f>
        <v>3794.0</v>
      </c>
      <c r="Z1350" s="21" t="n">
        <f>13255</f>
        <v>13255.0</v>
      </c>
      <c r="AA1350" s="21" t="n">
        <f>147</f>
        <v>147.0</v>
      </c>
      <c r="AB1350" s="4" t="s">
        <v>1116</v>
      </c>
      <c r="AC1350" s="22" t="n">
        <f>4229</f>
        <v>4229.0</v>
      </c>
      <c r="AD1350" s="5" t="s">
        <v>330</v>
      </c>
      <c r="AE1350" s="23" t="n">
        <f>147</f>
        <v>147.0</v>
      </c>
    </row>
    <row r="1351">
      <c r="A1351" s="24" t="s">
        <v>2164</v>
      </c>
      <c r="B1351" s="25" t="s">
        <v>2165</v>
      </c>
      <c r="C1351" s="26" t="s">
        <v>1748</v>
      </c>
      <c r="D1351" s="27" t="s">
        <v>1749</v>
      </c>
      <c r="E1351" s="28" t="s">
        <v>133</v>
      </c>
      <c r="F1351" s="20" t="n">
        <f>122</f>
        <v>122.0</v>
      </c>
      <c r="G1351" s="21" t="n">
        <f>31573</f>
        <v>31573.0</v>
      </c>
      <c r="H1351" s="21"/>
      <c r="I1351" s="21" t="n">
        <f>3848</f>
        <v>3848.0</v>
      </c>
      <c r="J1351" s="21" t="n">
        <f>259</f>
        <v>259.0</v>
      </c>
      <c r="K1351" s="21" t="n">
        <f>32</f>
        <v>32.0</v>
      </c>
      <c r="L1351" s="4" t="s">
        <v>339</v>
      </c>
      <c r="M1351" s="22" t="n">
        <f>926</f>
        <v>926.0</v>
      </c>
      <c r="N1351" s="5" t="s">
        <v>55</v>
      </c>
      <c r="O1351" s="23" t="n">
        <f>11</f>
        <v>11.0</v>
      </c>
      <c r="P1351" s="3" t="s">
        <v>2450</v>
      </c>
      <c r="Q1351" s="21"/>
      <c r="R1351" s="3" t="s">
        <v>2451</v>
      </c>
      <c r="S1351" s="21" t="n">
        <f>24461230</f>
        <v>2.446123E7</v>
      </c>
      <c r="T1351" s="21" t="n">
        <f>5014918</f>
        <v>5014918.0</v>
      </c>
      <c r="U1351" s="5" t="s">
        <v>202</v>
      </c>
      <c r="V1351" s="23" t="n">
        <f>172800000</f>
        <v>1.728E8</v>
      </c>
      <c r="W1351" s="5" t="s">
        <v>1256</v>
      </c>
      <c r="X1351" s="23" t="n">
        <f>1110000</f>
        <v>1110000.0</v>
      </c>
      <c r="Y1351" s="23" t="n">
        <f>1798</f>
        <v>1798.0</v>
      </c>
      <c r="Z1351" s="21" t="n">
        <f>6406</f>
        <v>6406.0</v>
      </c>
      <c r="AA1351" s="21" t="n">
        <f>754</f>
        <v>754.0</v>
      </c>
      <c r="AB1351" s="4" t="s">
        <v>504</v>
      </c>
      <c r="AC1351" s="22" t="n">
        <f>3264</f>
        <v>3264.0</v>
      </c>
      <c r="AD1351" s="5" t="s">
        <v>293</v>
      </c>
      <c r="AE1351" s="23" t="n">
        <f>104</f>
        <v>104.0</v>
      </c>
    </row>
    <row r="1352">
      <c r="A1352" s="24" t="s">
        <v>2164</v>
      </c>
      <c r="B1352" s="25" t="s">
        <v>2165</v>
      </c>
      <c r="C1352" s="26" t="s">
        <v>1752</v>
      </c>
      <c r="D1352" s="27" t="s">
        <v>1753</v>
      </c>
      <c r="E1352" s="28" t="s">
        <v>133</v>
      </c>
      <c r="F1352" s="20" t="n">
        <f>122</f>
        <v>122.0</v>
      </c>
      <c r="G1352" s="21" t="n">
        <f>70284</f>
        <v>70284.0</v>
      </c>
      <c r="H1352" s="21"/>
      <c r="I1352" s="21" t="n">
        <f>11004</f>
        <v>11004.0</v>
      </c>
      <c r="J1352" s="21" t="n">
        <f>576</f>
        <v>576.0</v>
      </c>
      <c r="K1352" s="21" t="n">
        <f>90</f>
        <v>90.0</v>
      </c>
      <c r="L1352" s="4" t="s">
        <v>279</v>
      </c>
      <c r="M1352" s="22" t="n">
        <f>2351</f>
        <v>2351.0</v>
      </c>
      <c r="N1352" s="5" t="s">
        <v>968</v>
      </c>
      <c r="O1352" s="23" t="n">
        <f>49</f>
        <v>49.0</v>
      </c>
      <c r="P1352" s="3" t="s">
        <v>2452</v>
      </c>
      <c r="Q1352" s="21"/>
      <c r="R1352" s="3" t="s">
        <v>2453</v>
      </c>
      <c r="S1352" s="21" t="n">
        <f>58906660</f>
        <v>5.890666E7</v>
      </c>
      <c r="T1352" s="21" t="n">
        <f>14183135</f>
        <v>1.4183135E7</v>
      </c>
      <c r="U1352" s="5" t="s">
        <v>202</v>
      </c>
      <c r="V1352" s="23" t="n">
        <f>228430000</f>
        <v>2.2843E8</v>
      </c>
      <c r="W1352" s="5" t="s">
        <v>1256</v>
      </c>
      <c r="X1352" s="23" t="n">
        <f>3890000</f>
        <v>3890000.0</v>
      </c>
      <c r="Y1352" s="23" t="n">
        <f>5592</f>
        <v>5592.0</v>
      </c>
      <c r="Z1352" s="21" t="n">
        <f>19661</f>
        <v>19661.0</v>
      </c>
      <c r="AA1352" s="21" t="n">
        <f>901</f>
        <v>901.0</v>
      </c>
      <c r="AB1352" s="4" t="s">
        <v>504</v>
      </c>
      <c r="AC1352" s="22" t="n">
        <f>7471</f>
        <v>7471.0</v>
      </c>
      <c r="AD1352" s="5" t="s">
        <v>293</v>
      </c>
      <c r="AE1352" s="23" t="n">
        <f>405</f>
        <v>405.0</v>
      </c>
    </row>
    <row r="1353">
      <c r="A1353" s="24" t="s">
        <v>2164</v>
      </c>
      <c r="B1353" s="25" t="s">
        <v>2165</v>
      </c>
      <c r="C1353" s="26" t="s">
        <v>1744</v>
      </c>
      <c r="D1353" s="27" t="s">
        <v>1745</v>
      </c>
      <c r="E1353" s="28" t="s">
        <v>139</v>
      </c>
      <c r="F1353" s="20" t="n">
        <f>123</f>
        <v>123.0</v>
      </c>
      <c r="G1353" s="21" t="n">
        <f>19266</f>
        <v>19266.0</v>
      </c>
      <c r="H1353" s="21"/>
      <c r="I1353" s="21" t="n">
        <f>1818</f>
        <v>1818.0</v>
      </c>
      <c r="J1353" s="21" t="n">
        <f>157</f>
        <v>157.0</v>
      </c>
      <c r="K1353" s="21" t="n">
        <f>15</f>
        <v>15.0</v>
      </c>
      <c r="L1353" s="4" t="s">
        <v>335</v>
      </c>
      <c r="M1353" s="22" t="n">
        <f>896</f>
        <v>896.0</v>
      </c>
      <c r="N1353" s="5" t="s">
        <v>180</v>
      </c>
      <c r="O1353" s="23" t="str">
        <f>"－"</f>
        <v>－</v>
      </c>
      <c r="P1353" s="3" t="s">
        <v>2454</v>
      </c>
      <c r="Q1353" s="21"/>
      <c r="R1353" s="3" t="s">
        <v>2455</v>
      </c>
      <c r="S1353" s="21" t="n">
        <f>23895467</f>
        <v>2.3895467E7</v>
      </c>
      <c r="T1353" s="21" t="n">
        <f>5516931</f>
        <v>5516931.0</v>
      </c>
      <c r="U1353" s="5" t="s">
        <v>936</v>
      </c>
      <c r="V1353" s="23" t="n">
        <f>230850000</f>
        <v>2.3085E8</v>
      </c>
      <c r="W1353" s="5" t="s">
        <v>180</v>
      </c>
      <c r="X1353" s="23" t="str">
        <f>"－"</f>
        <v>－</v>
      </c>
      <c r="Y1353" s="23" t="n">
        <f>1763</f>
        <v>1763.0</v>
      </c>
      <c r="Z1353" s="21" t="n">
        <f>3118</f>
        <v>3118.0</v>
      </c>
      <c r="AA1353" s="21" t="n">
        <f>105</f>
        <v>105.0</v>
      </c>
      <c r="AB1353" s="4" t="s">
        <v>343</v>
      </c>
      <c r="AC1353" s="22" t="n">
        <f>2959</f>
        <v>2959.0</v>
      </c>
      <c r="AD1353" s="5" t="s">
        <v>248</v>
      </c>
      <c r="AE1353" s="23" t="n">
        <f>105</f>
        <v>105.0</v>
      </c>
    </row>
    <row r="1354">
      <c r="A1354" s="24" t="s">
        <v>2164</v>
      </c>
      <c r="B1354" s="25" t="s">
        <v>2165</v>
      </c>
      <c r="C1354" s="26" t="s">
        <v>1748</v>
      </c>
      <c r="D1354" s="27" t="s">
        <v>1749</v>
      </c>
      <c r="E1354" s="28" t="s">
        <v>139</v>
      </c>
      <c r="F1354" s="20" t="n">
        <f>123</f>
        <v>123.0</v>
      </c>
      <c r="G1354" s="21" t="n">
        <f>18336</f>
        <v>18336.0</v>
      </c>
      <c r="H1354" s="21"/>
      <c r="I1354" s="21" t="n">
        <f>4836</f>
        <v>4836.0</v>
      </c>
      <c r="J1354" s="21" t="n">
        <f>149</f>
        <v>149.0</v>
      </c>
      <c r="K1354" s="21" t="n">
        <f>39</f>
        <v>39.0</v>
      </c>
      <c r="L1354" s="4" t="s">
        <v>201</v>
      </c>
      <c r="M1354" s="22" t="n">
        <f>726</f>
        <v>726.0</v>
      </c>
      <c r="N1354" s="5" t="s">
        <v>1295</v>
      </c>
      <c r="O1354" s="23" t="str">
        <f>"－"</f>
        <v>－</v>
      </c>
      <c r="P1354" s="3" t="s">
        <v>2456</v>
      </c>
      <c r="Q1354" s="21"/>
      <c r="R1354" s="3" t="s">
        <v>2457</v>
      </c>
      <c r="S1354" s="21" t="n">
        <f>20141402</f>
        <v>2.0141402E7</v>
      </c>
      <c r="T1354" s="21" t="n">
        <f>6047419</f>
        <v>6047419.0</v>
      </c>
      <c r="U1354" s="5" t="s">
        <v>737</v>
      </c>
      <c r="V1354" s="23" t="n">
        <f>132790000</f>
        <v>1.3279E8</v>
      </c>
      <c r="W1354" s="5" t="s">
        <v>1295</v>
      </c>
      <c r="X1354" s="23" t="str">
        <f>"－"</f>
        <v>－</v>
      </c>
      <c r="Y1354" s="23" t="n">
        <f>2568</f>
        <v>2568.0</v>
      </c>
      <c r="Z1354" s="21" t="n">
        <f>9030</f>
        <v>9030.0</v>
      </c>
      <c r="AA1354" s="21" t="n">
        <f>329</f>
        <v>329.0</v>
      </c>
      <c r="AB1354" s="4" t="s">
        <v>1913</v>
      </c>
      <c r="AC1354" s="22" t="n">
        <f>2581</f>
        <v>2581.0</v>
      </c>
      <c r="AD1354" s="5" t="s">
        <v>1667</v>
      </c>
      <c r="AE1354" s="23" t="n">
        <f>53</f>
        <v>53.0</v>
      </c>
    </row>
    <row r="1355">
      <c r="A1355" s="24" t="s">
        <v>2164</v>
      </c>
      <c r="B1355" s="25" t="s">
        <v>2165</v>
      </c>
      <c r="C1355" s="26" t="s">
        <v>1752</v>
      </c>
      <c r="D1355" s="27" t="s">
        <v>1753</v>
      </c>
      <c r="E1355" s="28" t="s">
        <v>139</v>
      </c>
      <c r="F1355" s="20" t="n">
        <f>123</f>
        <v>123.0</v>
      </c>
      <c r="G1355" s="21" t="n">
        <f>37602</f>
        <v>37602.0</v>
      </c>
      <c r="H1355" s="21"/>
      <c r="I1355" s="21" t="n">
        <f>6654</f>
        <v>6654.0</v>
      </c>
      <c r="J1355" s="21" t="n">
        <f>306</f>
        <v>306.0</v>
      </c>
      <c r="K1355" s="21" t="n">
        <f>54</f>
        <v>54.0</v>
      </c>
      <c r="L1355" s="4" t="s">
        <v>111</v>
      </c>
      <c r="M1355" s="22" t="n">
        <f>1036</f>
        <v>1036.0</v>
      </c>
      <c r="N1355" s="5" t="s">
        <v>909</v>
      </c>
      <c r="O1355" s="23" t="n">
        <f>3</f>
        <v>3.0</v>
      </c>
      <c r="P1355" s="3" t="s">
        <v>2458</v>
      </c>
      <c r="Q1355" s="21"/>
      <c r="R1355" s="3" t="s">
        <v>2459</v>
      </c>
      <c r="S1355" s="21" t="n">
        <f>44036870</f>
        <v>4.403687E7</v>
      </c>
      <c r="T1355" s="21" t="n">
        <f>11564350</f>
        <v>1.156435E7</v>
      </c>
      <c r="U1355" s="5" t="s">
        <v>201</v>
      </c>
      <c r="V1355" s="23" t="n">
        <f>262140000</f>
        <v>2.6214E8</v>
      </c>
      <c r="W1355" s="5" t="s">
        <v>909</v>
      </c>
      <c r="X1355" s="23" t="n">
        <f>270000</f>
        <v>270000.0</v>
      </c>
      <c r="Y1355" s="23" t="n">
        <f>4331</f>
        <v>4331.0</v>
      </c>
      <c r="Z1355" s="21" t="n">
        <f>12148</f>
        <v>12148.0</v>
      </c>
      <c r="AA1355" s="21" t="n">
        <f>434</f>
        <v>434.0</v>
      </c>
      <c r="AB1355" s="4" t="s">
        <v>343</v>
      </c>
      <c r="AC1355" s="22" t="n">
        <f>5466</f>
        <v>5466.0</v>
      </c>
      <c r="AD1355" s="5" t="s">
        <v>481</v>
      </c>
      <c r="AE1355" s="23" t="n">
        <f>269</f>
        <v>269.0</v>
      </c>
    </row>
    <row r="1356">
      <c r="A1356" s="24" t="s">
        <v>2164</v>
      </c>
      <c r="B1356" s="25" t="s">
        <v>2165</v>
      </c>
      <c r="C1356" s="26" t="s">
        <v>1744</v>
      </c>
      <c r="D1356" s="27" t="s">
        <v>1745</v>
      </c>
      <c r="E1356" s="28" t="s">
        <v>145</v>
      </c>
      <c r="F1356" s="20" t="n">
        <f>122</f>
        <v>122.0</v>
      </c>
      <c r="G1356" s="21" t="n">
        <f>25138</f>
        <v>25138.0</v>
      </c>
      <c r="H1356" s="21"/>
      <c r="I1356" s="21" t="n">
        <f>4255</f>
        <v>4255.0</v>
      </c>
      <c r="J1356" s="21" t="n">
        <f>206</f>
        <v>206.0</v>
      </c>
      <c r="K1356" s="21" t="n">
        <f>35</f>
        <v>35.0</v>
      </c>
      <c r="L1356" s="4" t="s">
        <v>1433</v>
      </c>
      <c r="M1356" s="22" t="n">
        <f>1455</f>
        <v>1455.0</v>
      </c>
      <c r="N1356" s="5" t="s">
        <v>1473</v>
      </c>
      <c r="O1356" s="23" t="n">
        <f>6</f>
        <v>6.0</v>
      </c>
      <c r="P1356" s="3" t="s">
        <v>2460</v>
      </c>
      <c r="Q1356" s="21"/>
      <c r="R1356" s="3" t="s">
        <v>2461</v>
      </c>
      <c r="S1356" s="21" t="n">
        <f>33374754</f>
        <v>3.3374754E7</v>
      </c>
      <c r="T1356" s="21" t="n">
        <f>8378689</f>
        <v>8378689.0</v>
      </c>
      <c r="U1356" s="5" t="s">
        <v>954</v>
      </c>
      <c r="V1356" s="23" t="n">
        <f>324180000</f>
        <v>3.2418E8</v>
      </c>
      <c r="W1356" s="5" t="s">
        <v>1316</v>
      </c>
      <c r="X1356" s="23" t="n">
        <f>420000</f>
        <v>420000.0</v>
      </c>
      <c r="Y1356" s="23" t="n">
        <f>1960</f>
        <v>1960.0</v>
      </c>
      <c r="Z1356" s="21" t="n">
        <f>5266</f>
        <v>5266.0</v>
      </c>
      <c r="AA1356" s="21" t="n">
        <f>629</f>
        <v>629.0</v>
      </c>
      <c r="AB1356" s="4" t="s">
        <v>1068</v>
      </c>
      <c r="AC1356" s="22" t="n">
        <f>3265</f>
        <v>3265.0</v>
      </c>
      <c r="AD1356" s="5" t="s">
        <v>314</v>
      </c>
      <c r="AE1356" s="23" t="n">
        <f>237</f>
        <v>237.0</v>
      </c>
    </row>
    <row r="1357">
      <c r="A1357" s="24" t="s">
        <v>2164</v>
      </c>
      <c r="B1357" s="25" t="s">
        <v>2165</v>
      </c>
      <c r="C1357" s="26" t="s">
        <v>1748</v>
      </c>
      <c r="D1357" s="27" t="s">
        <v>1749</v>
      </c>
      <c r="E1357" s="28" t="s">
        <v>145</v>
      </c>
      <c r="F1357" s="20" t="n">
        <f>122</f>
        <v>122.0</v>
      </c>
      <c r="G1357" s="21" t="n">
        <f>12993</f>
        <v>12993.0</v>
      </c>
      <c r="H1357" s="21"/>
      <c r="I1357" s="21" t="n">
        <f>1755</f>
        <v>1755.0</v>
      </c>
      <c r="J1357" s="21" t="n">
        <f>107</f>
        <v>107.0</v>
      </c>
      <c r="K1357" s="21" t="n">
        <f>14</f>
        <v>14.0</v>
      </c>
      <c r="L1357" s="4" t="s">
        <v>987</v>
      </c>
      <c r="M1357" s="22" t="n">
        <f>709</f>
        <v>709.0</v>
      </c>
      <c r="N1357" s="5" t="s">
        <v>1112</v>
      </c>
      <c r="O1357" s="23" t="str">
        <f>"－"</f>
        <v>－</v>
      </c>
      <c r="P1357" s="3" t="s">
        <v>2462</v>
      </c>
      <c r="Q1357" s="21"/>
      <c r="R1357" s="3" t="s">
        <v>2463</v>
      </c>
      <c r="S1357" s="21" t="n">
        <f>23567582</f>
        <v>2.3567582E7</v>
      </c>
      <c r="T1357" s="21" t="n">
        <f>3202664</f>
        <v>3202664.0</v>
      </c>
      <c r="U1357" s="5" t="s">
        <v>171</v>
      </c>
      <c r="V1357" s="23" t="n">
        <f>235260000</f>
        <v>2.3526E8</v>
      </c>
      <c r="W1357" s="5" t="s">
        <v>1112</v>
      </c>
      <c r="X1357" s="23" t="str">
        <f>"－"</f>
        <v>－</v>
      </c>
      <c r="Y1357" s="23" t="n">
        <f>1736</f>
        <v>1736.0</v>
      </c>
      <c r="Z1357" s="21" t="n">
        <f>3740</f>
        <v>3740.0</v>
      </c>
      <c r="AA1357" s="21" t="n">
        <f>100</f>
        <v>100.0</v>
      </c>
      <c r="AB1357" s="4" t="s">
        <v>809</v>
      </c>
      <c r="AC1357" s="22" t="n">
        <f>1545</f>
        <v>1545.0</v>
      </c>
      <c r="AD1357" s="5" t="s">
        <v>293</v>
      </c>
      <c r="AE1357" s="23" t="n">
        <f>4</f>
        <v>4.0</v>
      </c>
    </row>
    <row r="1358">
      <c r="A1358" s="24" t="s">
        <v>2164</v>
      </c>
      <c r="B1358" s="25" t="s">
        <v>2165</v>
      </c>
      <c r="C1358" s="26" t="s">
        <v>1752</v>
      </c>
      <c r="D1358" s="27" t="s">
        <v>1753</v>
      </c>
      <c r="E1358" s="28" t="s">
        <v>145</v>
      </c>
      <c r="F1358" s="20" t="n">
        <f>122</f>
        <v>122.0</v>
      </c>
      <c r="G1358" s="21" t="n">
        <f>38131</f>
        <v>38131.0</v>
      </c>
      <c r="H1358" s="21"/>
      <c r="I1358" s="21" t="n">
        <f>6010</f>
        <v>6010.0</v>
      </c>
      <c r="J1358" s="21" t="n">
        <f>313</f>
        <v>313.0</v>
      </c>
      <c r="K1358" s="21" t="n">
        <f>49</f>
        <v>49.0</v>
      </c>
      <c r="L1358" s="4" t="s">
        <v>1433</v>
      </c>
      <c r="M1358" s="22" t="n">
        <f>1856</f>
        <v>1856.0</v>
      </c>
      <c r="N1358" s="5" t="s">
        <v>90</v>
      </c>
      <c r="O1358" s="23" t="n">
        <f>13</f>
        <v>13.0</v>
      </c>
      <c r="P1358" s="3" t="s">
        <v>2464</v>
      </c>
      <c r="Q1358" s="21"/>
      <c r="R1358" s="3" t="s">
        <v>2465</v>
      </c>
      <c r="S1358" s="21" t="n">
        <f>56942336</f>
        <v>5.6942336E7</v>
      </c>
      <c r="T1358" s="21" t="n">
        <f>11581352</f>
        <v>1.1581352E7</v>
      </c>
      <c r="U1358" s="5" t="s">
        <v>68</v>
      </c>
      <c r="V1358" s="23" t="n">
        <f>427390000</f>
        <v>4.2739E8</v>
      </c>
      <c r="W1358" s="5" t="s">
        <v>1473</v>
      </c>
      <c r="X1358" s="23" t="n">
        <f>2160000</f>
        <v>2160000.0</v>
      </c>
      <c r="Y1358" s="23" t="n">
        <f>3696</f>
        <v>3696.0</v>
      </c>
      <c r="Z1358" s="21" t="n">
        <f>9006</f>
        <v>9006.0</v>
      </c>
      <c r="AA1358" s="21" t="n">
        <f>729</f>
        <v>729.0</v>
      </c>
      <c r="AB1358" s="4" t="s">
        <v>809</v>
      </c>
      <c r="AC1358" s="22" t="n">
        <f>4650</f>
        <v>4650.0</v>
      </c>
      <c r="AD1358" s="5" t="s">
        <v>314</v>
      </c>
      <c r="AE1358" s="23" t="n">
        <f>300</f>
        <v>300.0</v>
      </c>
    </row>
    <row r="1359">
      <c r="A1359" s="24" t="s">
        <v>2164</v>
      </c>
      <c r="B1359" s="25" t="s">
        <v>2165</v>
      </c>
      <c r="C1359" s="26" t="s">
        <v>1744</v>
      </c>
      <c r="D1359" s="27" t="s">
        <v>1745</v>
      </c>
      <c r="E1359" s="28" t="s">
        <v>150</v>
      </c>
      <c r="F1359" s="20" t="n">
        <f>124</f>
        <v>124.0</v>
      </c>
      <c r="G1359" s="21" t="n">
        <f>25029</f>
        <v>25029.0</v>
      </c>
      <c r="H1359" s="21"/>
      <c r="I1359" s="21" t="n">
        <f>9425</f>
        <v>9425.0</v>
      </c>
      <c r="J1359" s="21" t="n">
        <f>202</f>
        <v>202.0</v>
      </c>
      <c r="K1359" s="21" t="n">
        <f>76</f>
        <v>76.0</v>
      </c>
      <c r="L1359" s="4" t="s">
        <v>656</v>
      </c>
      <c r="M1359" s="22" t="n">
        <f>1475</f>
        <v>1475.0</v>
      </c>
      <c r="N1359" s="5" t="s">
        <v>1377</v>
      </c>
      <c r="O1359" s="23" t="str">
        <f>"－"</f>
        <v>－</v>
      </c>
      <c r="P1359" s="3" t="s">
        <v>2466</v>
      </c>
      <c r="Q1359" s="21"/>
      <c r="R1359" s="3" t="s">
        <v>2467</v>
      </c>
      <c r="S1359" s="21" t="n">
        <f>40645827</f>
        <v>4.0645827E7</v>
      </c>
      <c r="T1359" s="21" t="n">
        <f>18939617</f>
        <v>1.8939617E7</v>
      </c>
      <c r="U1359" s="5" t="s">
        <v>656</v>
      </c>
      <c r="V1359" s="23" t="n">
        <f>370000000</f>
        <v>3.7E8</v>
      </c>
      <c r="W1359" s="5" t="s">
        <v>1377</v>
      </c>
      <c r="X1359" s="23" t="str">
        <f>"－"</f>
        <v>－</v>
      </c>
      <c r="Y1359" s="23" t="n">
        <f>2911</f>
        <v>2911.0</v>
      </c>
      <c r="Z1359" s="21" t="n">
        <f>15478</f>
        <v>15478.0</v>
      </c>
      <c r="AA1359" s="21" t="n">
        <f>770</f>
        <v>770.0</v>
      </c>
      <c r="AB1359" s="4" t="s">
        <v>1614</v>
      </c>
      <c r="AC1359" s="22" t="n">
        <f>4169</f>
        <v>4169.0</v>
      </c>
      <c r="AD1359" s="5" t="s">
        <v>1265</v>
      </c>
      <c r="AE1359" s="23" t="n">
        <f>60</f>
        <v>60.0</v>
      </c>
    </row>
    <row r="1360">
      <c r="A1360" s="24" t="s">
        <v>2164</v>
      </c>
      <c r="B1360" s="25" t="s">
        <v>2165</v>
      </c>
      <c r="C1360" s="26" t="s">
        <v>1748</v>
      </c>
      <c r="D1360" s="27" t="s">
        <v>1749</v>
      </c>
      <c r="E1360" s="28" t="s">
        <v>150</v>
      </c>
      <c r="F1360" s="20" t="n">
        <f>124</f>
        <v>124.0</v>
      </c>
      <c r="G1360" s="21" t="n">
        <f>12619</f>
        <v>12619.0</v>
      </c>
      <c r="H1360" s="21"/>
      <c r="I1360" s="21" t="n">
        <f>2920</f>
        <v>2920.0</v>
      </c>
      <c r="J1360" s="21" t="n">
        <f>102</f>
        <v>102.0</v>
      </c>
      <c r="K1360" s="21" t="n">
        <f>24</f>
        <v>24.0</v>
      </c>
      <c r="L1360" s="4" t="s">
        <v>458</v>
      </c>
      <c r="M1360" s="22" t="n">
        <f>341</f>
        <v>341.0</v>
      </c>
      <c r="N1360" s="5" t="s">
        <v>272</v>
      </c>
      <c r="O1360" s="23" t="str">
        <f>"－"</f>
        <v>－</v>
      </c>
      <c r="P1360" s="3" t="s">
        <v>2468</v>
      </c>
      <c r="Q1360" s="21"/>
      <c r="R1360" s="3" t="s">
        <v>2469</v>
      </c>
      <c r="S1360" s="21" t="n">
        <f>19852399</f>
        <v>1.9852399E7</v>
      </c>
      <c r="T1360" s="21" t="n">
        <f>5704496</f>
        <v>5704496.0</v>
      </c>
      <c r="U1360" s="5" t="s">
        <v>442</v>
      </c>
      <c r="V1360" s="23" t="n">
        <f>145780000</f>
        <v>1.4578E8</v>
      </c>
      <c r="W1360" s="5" t="s">
        <v>272</v>
      </c>
      <c r="X1360" s="23" t="str">
        <f>"－"</f>
        <v>－</v>
      </c>
      <c r="Y1360" s="23" t="n">
        <f>1562</f>
        <v>1562.0</v>
      </c>
      <c r="Z1360" s="21" t="n">
        <f>4152</f>
        <v>4152.0</v>
      </c>
      <c r="AA1360" s="21" t="n">
        <f>379</f>
        <v>379.0</v>
      </c>
      <c r="AB1360" s="4" t="s">
        <v>450</v>
      </c>
      <c r="AC1360" s="22" t="n">
        <f>1917</f>
        <v>1917.0</v>
      </c>
      <c r="AD1360" s="5" t="s">
        <v>1265</v>
      </c>
      <c r="AE1360" s="23" t="n">
        <f>1</f>
        <v>1.0</v>
      </c>
    </row>
    <row r="1361">
      <c r="A1361" s="24" t="s">
        <v>2164</v>
      </c>
      <c r="B1361" s="25" t="s">
        <v>2165</v>
      </c>
      <c r="C1361" s="26" t="s">
        <v>1752</v>
      </c>
      <c r="D1361" s="27" t="s">
        <v>1753</v>
      </c>
      <c r="E1361" s="28" t="s">
        <v>150</v>
      </c>
      <c r="F1361" s="20" t="n">
        <f>124</f>
        <v>124.0</v>
      </c>
      <c r="G1361" s="21" t="n">
        <f>37648</f>
        <v>37648.0</v>
      </c>
      <c r="H1361" s="21"/>
      <c r="I1361" s="21" t="n">
        <f>12345</f>
        <v>12345.0</v>
      </c>
      <c r="J1361" s="21" t="n">
        <f>304</f>
        <v>304.0</v>
      </c>
      <c r="K1361" s="21" t="n">
        <f>100</f>
        <v>100.0</v>
      </c>
      <c r="L1361" s="4" t="s">
        <v>656</v>
      </c>
      <c r="M1361" s="22" t="n">
        <f>1528</f>
        <v>1528.0</v>
      </c>
      <c r="N1361" s="5" t="s">
        <v>96</v>
      </c>
      <c r="O1361" s="23" t="n">
        <f>12</f>
        <v>12.0</v>
      </c>
      <c r="P1361" s="3" t="s">
        <v>2470</v>
      </c>
      <c r="Q1361" s="21"/>
      <c r="R1361" s="3" t="s">
        <v>2471</v>
      </c>
      <c r="S1361" s="21" t="n">
        <f>60498226</f>
        <v>6.0498226E7</v>
      </c>
      <c r="T1361" s="21" t="n">
        <f>24644113</f>
        <v>2.4644113E7</v>
      </c>
      <c r="U1361" s="5" t="s">
        <v>656</v>
      </c>
      <c r="V1361" s="23" t="n">
        <f>376050000</f>
        <v>3.7605E8</v>
      </c>
      <c r="W1361" s="5" t="s">
        <v>672</v>
      </c>
      <c r="X1361" s="23" t="n">
        <f>1360000</f>
        <v>1360000.0</v>
      </c>
      <c r="Y1361" s="23" t="n">
        <f>4473</f>
        <v>4473.0</v>
      </c>
      <c r="Z1361" s="21" t="n">
        <f>19630</f>
        <v>19630.0</v>
      </c>
      <c r="AA1361" s="21" t="n">
        <f>1149</f>
        <v>1149.0</v>
      </c>
      <c r="AB1361" s="4" t="s">
        <v>1614</v>
      </c>
      <c r="AC1361" s="22" t="n">
        <f>5507</f>
        <v>5507.0</v>
      </c>
      <c r="AD1361" s="5" t="s">
        <v>1265</v>
      </c>
      <c r="AE1361" s="23" t="n">
        <f>61</f>
        <v>61.0</v>
      </c>
    </row>
    <row r="1362">
      <c r="A1362" s="24" t="s">
        <v>2164</v>
      </c>
      <c r="B1362" s="25" t="s">
        <v>2165</v>
      </c>
      <c r="C1362" s="26" t="s">
        <v>1744</v>
      </c>
      <c r="D1362" s="27" t="s">
        <v>1745</v>
      </c>
      <c r="E1362" s="28" t="s">
        <v>154</v>
      </c>
      <c r="F1362" s="20" t="n">
        <f>120</f>
        <v>120.0</v>
      </c>
      <c r="G1362" s="21" t="n">
        <f>33282</f>
        <v>33282.0</v>
      </c>
      <c r="H1362" s="21"/>
      <c r="I1362" s="21" t="n">
        <f>21721</f>
        <v>21721.0</v>
      </c>
      <c r="J1362" s="21" t="n">
        <f>277</f>
        <v>277.0</v>
      </c>
      <c r="K1362" s="21" t="n">
        <f>181</f>
        <v>181.0</v>
      </c>
      <c r="L1362" s="4" t="s">
        <v>1015</v>
      </c>
      <c r="M1362" s="22" t="n">
        <f>1532</f>
        <v>1532.0</v>
      </c>
      <c r="N1362" s="5" t="s">
        <v>241</v>
      </c>
      <c r="O1362" s="23" t="str">
        <f>"－"</f>
        <v>－</v>
      </c>
      <c r="P1362" s="3" t="s">
        <v>2472</v>
      </c>
      <c r="Q1362" s="21"/>
      <c r="R1362" s="3" t="s">
        <v>2473</v>
      </c>
      <c r="S1362" s="21" t="n">
        <f>58985083</f>
        <v>5.8985083E7</v>
      </c>
      <c r="T1362" s="21" t="n">
        <f>42676000</f>
        <v>4.2676E7</v>
      </c>
      <c r="U1362" s="5" t="s">
        <v>1015</v>
      </c>
      <c r="V1362" s="23" t="n">
        <f>407300000</f>
        <v>4.073E8</v>
      </c>
      <c r="W1362" s="5" t="s">
        <v>241</v>
      </c>
      <c r="X1362" s="23" t="str">
        <f>"－"</f>
        <v>－</v>
      </c>
      <c r="Y1362" s="23" t="n">
        <f>2874</f>
        <v>2874.0</v>
      </c>
      <c r="Z1362" s="21" t="n">
        <f>31540</f>
        <v>31540.0</v>
      </c>
      <c r="AA1362" s="21" t="n">
        <f>1045</f>
        <v>1045.0</v>
      </c>
      <c r="AB1362" s="4" t="s">
        <v>1068</v>
      </c>
      <c r="AC1362" s="22" t="n">
        <f>4460</f>
        <v>4460.0</v>
      </c>
      <c r="AD1362" s="5" t="s">
        <v>306</v>
      </c>
      <c r="AE1362" s="23" t="n">
        <f>227</f>
        <v>227.0</v>
      </c>
    </row>
    <row r="1363">
      <c r="A1363" s="24" t="s">
        <v>2164</v>
      </c>
      <c r="B1363" s="25" t="s">
        <v>2165</v>
      </c>
      <c r="C1363" s="26" t="s">
        <v>1748</v>
      </c>
      <c r="D1363" s="27" t="s">
        <v>1749</v>
      </c>
      <c r="E1363" s="28" t="s">
        <v>154</v>
      </c>
      <c r="F1363" s="20" t="n">
        <f>120</f>
        <v>120.0</v>
      </c>
      <c r="G1363" s="21" t="n">
        <f>14511</f>
        <v>14511.0</v>
      </c>
      <c r="H1363" s="21"/>
      <c r="I1363" s="21" t="n">
        <f>7464</f>
        <v>7464.0</v>
      </c>
      <c r="J1363" s="21" t="n">
        <f>121</f>
        <v>121.0</v>
      </c>
      <c r="K1363" s="21" t="n">
        <f>62</f>
        <v>62.0</v>
      </c>
      <c r="L1363" s="4" t="s">
        <v>504</v>
      </c>
      <c r="M1363" s="22" t="n">
        <f>1095</f>
        <v>1095.0</v>
      </c>
      <c r="N1363" s="5" t="s">
        <v>94</v>
      </c>
      <c r="O1363" s="23" t="n">
        <f>1</f>
        <v>1.0</v>
      </c>
      <c r="P1363" s="3" t="s">
        <v>2474</v>
      </c>
      <c r="Q1363" s="21"/>
      <c r="R1363" s="3" t="s">
        <v>2475</v>
      </c>
      <c r="S1363" s="21" t="n">
        <f>27761708</f>
        <v>2.7761708E7</v>
      </c>
      <c r="T1363" s="21" t="n">
        <f>14476625</f>
        <v>1.4476625E7</v>
      </c>
      <c r="U1363" s="5" t="s">
        <v>231</v>
      </c>
      <c r="V1363" s="23" t="n">
        <f>182590000</f>
        <v>1.8259E8</v>
      </c>
      <c r="W1363" s="5" t="s">
        <v>94</v>
      </c>
      <c r="X1363" s="23" t="n">
        <f>50000</f>
        <v>50000.0</v>
      </c>
      <c r="Y1363" s="23" t="n">
        <f>2811</f>
        <v>2811.0</v>
      </c>
      <c r="Z1363" s="21" t="n">
        <f>10034</f>
        <v>10034.0</v>
      </c>
      <c r="AA1363" s="21" t="n">
        <f>312</f>
        <v>312.0</v>
      </c>
      <c r="AB1363" s="4" t="s">
        <v>504</v>
      </c>
      <c r="AC1363" s="22" t="n">
        <f>3052</f>
        <v>3052.0</v>
      </c>
      <c r="AD1363" s="5" t="s">
        <v>306</v>
      </c>
      <c r="AE1363" s="23" t="n">
        <f>3</f>
        <v>3.0</v>
      </c>
    </row>
    <row r="1364">
      <c r="A1364" s="24" t="s">
        <v>2164</v>
      </c>
      <c r="B1364" s="25" t="s">
        <v>2165</v>
      </c>
      <c r="C1364" s="26" t="s">
        <v>1752</v>
      </c>
      <c r="D1364" s="27" t="s">
        <v>1753</v>
      </c>
      <c r="E1364" s="28" t="s">
        <v>154</v>
      </c>
      <c r="F1364" s="20" t="n">
        <f>120</f>
        <v>120.0</v>
      </c>
      <c r="G1364" s="21" t="n">
        <f>47793</f>
        <v>47793.0</v>
      </c>
      <c r="H1364" s="21"/>
      <c r="I1364" s="21" t="n">
        <f>29185</f>
        <v>29185.0</v>
      </c>
      <c r="J1364" s="21" t="n">
        <f>398</f>
        <v>398.0</v>
      </c>
      <c r="K1364" s="21" t="n">
        <f>243</f>
        <v>243.0</v>
      </c>
      <c r="L1364" s="4" t="s">
        <v>1015</v>
      </c>
      <c r="M1364" s="22" t="n">
        <f>1810</f>
        <v>1810.0</v>
      </c>
      <c r="N1364" s="5" t="s">
        <v>94</v>
      </c>
      <c r="O1364" s="23" t="n">
        <f>7</f>
        <v>7.0</v>
      </c>
      <c r="P1364" s="3" t="s">
        <v>2476</v>
      </c>
      <c r="Q1364" s="21"/>
      <c r="R1364" s="3" t="s">
        <v>2477</v>
      </c>
      <c r="S1364" s="21" t="n">
        <f>86746792</f>
        <v>8.6746792E7</v>
      </c>
      <c r="T1364" s="21" t="n">
        <f>57152625</f>
        <v>5.7152625E7</v>
      </c>
      <c r="U1364" s="5" t="s">
        <v>1015</v>
      </c>
      <c r="V1364" s="23" t="n">
        <f>500550000</f>
        <v>5.0055E8</v>
      </c>
      <c r="W1364" s="5" t="s">
        <v>94</v>
      </c>
      <c r="X1364" s="23" t="n">
        <f>1190000</f>
        <v>1190000.0</v>
      </c>
      <c r="Y1364" s="23" t="n">
        <f>5685</f>
        <v>5685.0</v>
      </c>
      <c r="Z1364" s="21" t="n">
        <f>41574</f>
        <v>41574.0</v>
      </c>
      <c r="AA1364" s="21" t="n">
        <f>1357</f>
        <v>1357.0</v>
      </c>
      <c r="AB1364" s="4" t="s">
        <v>504</v>
      </c>
      <c r="AC1364" s="22" t="n">
        <f>6358</f>
        <v>6358.0</v>
      </c>
      <c r="AD1364" s="5" t="s">
        <v>306</v>
      </c>
      <c r="AE1364" s="23" t="n">
        <f>230</f>
        <v>230.0</v>
      </c>
    </row>
    <row r="1365">
      <c r="A1365" s="24" t="s">
        <v>2478</v>
      </c>
      <c r="B1365" s="25" t="s">
        <v>2479</v>
      </c>
      <c r="C1365" s="26" t="s">
        <v>1744</v>
      </c>
      <c r="D1365" s="27" t="s">
        <v>1745</v>
      </c>
      <c r="E1365" s="28" t="s">
        <v>316</v>
      </c>
      <c r="F1365" s="20" t="n">
        <f>50</f>
        <v>50.0</v>
      </c>
      <c r="G1365" s="21" t="n">
        <f>17523</f>
        <v>17523.0</v>
      </c>
      <c r="H1365" s="21"/>
      <c r="I1365" s="21" t="str">
        <f>"－"</f>
        <v>－</v>
      </c>
      <c r="J1365" s="21" t="n">
        <f>350</f>
        <v>350.0</v>
      </c>
      <c r="K1365" s="21" t="str">
        <f>"－"</f>
        <v>－</v>
      </c>
      <c r="L1365" s="4" t="s">
        <v>61</v>
      </c>
      <c r="M1365" s="22" t="n">
        <f>2281</f>
        <v>2281.0</v>
      </c>
      <c r="N1365" s="5" t="s">
        <v>266</v>
      </c>
      <c r="O1365" s="23" t="n">
        <f>2</f>
        <v>2.0</v>
      </c>
      <c r="P1365" s="3" t="s">
        <v>2480</v>
      </c>
      <c r="Q1365" s="21"/>
      <c r="R1365" s="3" t="s">
        <v>247</v>
      </c>
      <c r="S1365" s="21" t="n">
        <f>16261610</f>
        <v>1.626161E7</v>
      </c>
      <c r="T1365" s="21" t="str">
        <f>"－"</f>
        <v>－</v>
      </c>
      <c r="U1365" s="5" t="s">
        <v>442</v>
      </c>
      <c r="V1365" s="23" t="n">
        <f>54581500</f>
        <v>5.45815E7</v>
      </c>
      <c r="W1365" s="5" t="s">
        <v>266</v>
      </c>
      <c r="X1365" s="23" t="n">
        <f>68000</f>
        <v>68000.0</v>
      </c>
      <c r="Y1365" s="23" t="n">
        <f>2197</f>
        <v>2197.0</v>
      </c>
      <c r="Z1365" s="21" t="str">
        <f>"－"</f>
        <v>－</v>
      </c>
      <c r="AA1365" s="21" t="n">
        <f>535</f>
        <v>535.0</v>
      </c>
      <c r="AB1365" s="4" t="s">
        <v>119</v>
      </c>
      <c r="AC1365" s="22" t="n">
        <f>5981</f>
        <v>5981.0</v>
      </c>
      <c r="AD1365" s="5" t="s">
        <v>61</v>
      </c>
      <c r="AE1365" s="23" t="n">
        <f>199</f>
        <v>199.0</v>
      </c>
    </row>
    <row r="1366">
      <c r="A1366" s="24" t="s">
        <v>2478</v>
      </c>
      <c r="B1366" s="25" t="s">
        <v>2479</v>
      </c>
      <c r="C1366" s="26" t="s">
        <v>1748</v>
      </c>
      <c r="D1366" s="27" t="s">
        <v>1749</v>
      </c>
      <c r="E1366" s="28" t="s">
        <v>316</v>
      </c>
      <c r="F1366" s="20" t="n">
        <f>50</f>
        <v>50.0</v>
      </c>
      <c r="G1366" s="21" t="n">
        <f>38619</f>
        <v>38619.0</v>
      </c>
      <c r="H1366" s="21"/>
      <c r="I1366" s="21" t="str">
        <f>"－"</f>
        <v>－</v>
      </c>
      <c r="J1366" s="21" t="n">
        <f>772</f>
        <v>772.0</v>
      </c>
      <c r="K1366" s="21" t="str">
        <f>"－"</f>
        <v>－</v>
      </c>
      <c r="L1366" s="4" t="s">
        <v>717</v>
      </c>
      <c r="M1366" s="22" t="n">
        <f>3564</f>
        <v>3564.0</v>
      </c>
      <c r="N1366" s="5" t="s">
        <v>631</v>
      </c>
      <c r="O1366" s="23" t="n">
        <f>4</f>
        <v>4.0</v>
      </c>
      <c r="P1366" s="3" t="s">
        <v>2481</v>
      </c>
      <c r="Q1366" s="21"/>
      <c r="R1366" s="3" t="s">
        <v>247</v>
      </c>
      <c r="S1366" s="21" t="n">
        <f>34872860</f>
        <v>3.487286E7</v>
      </c>
      <c r="T1366" s="21" t="str">
        <f>"－"</f>
        <v>－</v>
      </c>
      <c r="U1366" s="5" t="s">
        <v>481</v>
      </c>
      <c r="V1366" s="23" t="n">
        <f>149671500</f>
        <v>1.496715E8</v>
      </c>
      <c r="W1366" s="5" t="s">
        <v>631</v>
      </c>
      <c r="X1366" s="23" t="n">
        <f>1048000</f>
        <v>1048000.0</v>
      </c>
      <c r="Y1366" s="23" t="n">
        <f>414</f>
        <v>414.0</v>
      </c>
      <c r="Z1366" s="21" t="str">
        <f>"－"</f>
        <v>－</v>
      </c>
      <c r="AA1366" s="21" t="n">
        <f>4146</f>
        <v>4146.0</v>
      </c>
      <c r="AB1366" s="4" t="s">
        <v>129</v>
      </c>
      <c r="AC1366" s="22" t="n">
        <f>11780</f>
        <v>11780.0</v>
      </c>
      <c r="AD1366" s="5" t="s">
        <v>61</v>
      </c>
      <c r="AE1366" s="23" t="n">
        <f>385</f>
        <v>385.0</v>
      </c>
    </row>
    <row r="1367">
      <c r="A1367" s="24" t="s">
        <v>2478</v>
      </c>
      <c r="B1367" s="25" t="s">
        <v>2479</v>
      </c>
      <c r="C1367" s="26" t="s">
        <v>1752</v>
      </c>
      <c r="D1367" s="27" t="s">
        <v>1753</v>
      </c>
      <c r="E1367" s="28" t="s">
        <v>316</v>
      </c>
      <c r="F1367" s="20" t="n">
        <f>50</f>
        <v>50.0</v>
      </c>
      <c r="G1367" s="21" t="n">
        <f>56142</f>
        <v>56142.0</v>
      </c>
      <c r="H1367" s="21"/>
      <c r="I1367" s="21" t="str">
        <f>"－"</f>
        <v>－</v>
      </c>
      <c r="J1367" s="21" t="n">
        <f>1123</f>
        <v>1123.0</v>
      </c>
      <c r="K1367" s="21" t="str">
        <f>"－"</f>
        <v>－</v>
      </c>
      <c r="L1367" s="4" t="s">
        <v>717</v>
      </c>
      <c r="M1367" s="22" t="n">
        <f>4989</f>
        <v>4989.0</v>
      </c>
      <c r="N1367" s="5" t="s">
        <v>631</v>
      </c>
      <c r="O1367" s="23" t="n">
        <f>17</f>
        <v>17.0</v>
      </c>
      <c r="P1367" s="3" t="s">
        <v>2482</v>
      </c>
      <c r="Q1367" s="21"/>
      <c r="R1367" s="3" t="s">
        <v>247</v>
      </c>
      <c r="S1367" s="21" t="n">
        <f>51134470</f>
        <v>5.113447E7</v>
      </c>
      <c r="T1367" s="21" t="str">
        <f>"－"</f>
        <v>－</v>
      </c>
      <c r="U1367" s="5" t="s">
        <v>481</v>
      </c>
      <c r="V1367" s="23" t="n">
        <f>163713000</f>
        <v>1.63713E8</v>
      </c>
      <c r="W1367" s="5" t="s">
        <v>631</v>
      </c>
      <c r="X1367" s="23" t="n">
        <f>1748000</f>
        <v>1748000.0</v>
      </c>
      <c r="Y1367" s="23" t="n">
        <f>2611</f>
        <v>2611.0</v>
      </c>
      <c r="Z1367" s="21" t="str">
        <f>"－"</f>
        <v>－</v>
      </c>
      <c r="AA1367" s="21" t="n">
        <f>4681</f>
        <v>4681.0</v>
      </c>
      <c r="AB1367" s="4" t="s">
        <v>129</v>
      </c>
      <c r="AC1367" s="22" t="n">
        <f>17496</f>
        <v>17496.0</v>
      </c>
      <c r="AD1367" s="5" t="s">
        <v>61</v>
      </c>
      <c r="AE1367" s="23" t="n">
        <f>584</f>
        <v>584.0</v>
      </c>
    </row>
    <row r="1368">
      <c r="A1368" s="24" t="s">
        <v>2478</v>
      </c>
      <c r="B1368" s="25" t="s">
        <v>2479</v>
      </c>
      <c r="C1368" s="26" t="s">
        <v>1744</v>
      </c>
      <c r="D1368" s="27" t="s">
        <v>1745</v>
      </c>
      <c r="E1368" s="28" t="s">
        <v>320</v>
      </c>
      <c r="F1368" s="20" t="n">
        <f>121</f>
        <v>121.0</v>
      </c>
      <c r="G1368" s="21" t="n">
        <f>8780</f>
        <v>8780.0</v>
      </c>
      <c r="H1368" s="21"/>
      <c r="I1368" s="21" t="str">
        <f>"－"</f>
        <v>－</v>
      </c>
      <c r="J1368" s="21" t="n">
        <f>73</f>
        <v>73.0</v>
      </c>
      <c r="K1368" s="21" t="str">
        <f>"－"</f>
        <v>－</v>
      </c>
      <c r="L1368" s="4" t="s">
        <v>644</v>
      </c>
      <c r="M1368" s="22" t="n">
        <f>3037</f>
        <v>3037.0</v>
      </c>
      <c r="N1368" s="5" t="s">
        <v>178</v>
      </c>
      <c r="O1368" s="23" t="n">
        <f>1</f>
        <v>1.0</v>
      </c>
      <c r="P1368" s="3" t="s">
        <v>2483</v>
      </c>
      <c r="Q1368" s="21"/>
      <c r="R1368" s="3" t="s">
        <v>247</v>
      </c>
      <c r="S1368" s="21" t="n">
        <f>4947393</f>
        <v>4947393.0</v>
      </c>
      <c r="T1368" s="21" t="str">
        <f>"－"</f>
        <v>－</v>
      </c>
      <c r="U1368" s="5" t="s">
        <v>81</v>
      </c>
      <c r="V1368" s="23" t="n">
        <f>74695000</f>
        <v>7.4695E7</v>
      </c>
      <c r="W1368" s="5" t="s">
        <v>511</v>
      </c>
      <c r="X1368" s="23" t="n">
        <f>5000</f>
        <v>5000.0</v>
      </c>
      <c r="Y1368" s="23" t="n">
        <f>775</f>
        <v>775.0</v>
      </c>
      <c r="Z1368" s="21" t="str">
        <f>"－"</f>
        <v>－</v>
      </c>
      <c r="AA1368" s="21" t="n">
        <f>3558</f>
        <v>3558.0</v>
      </c>
      <c r="AB1368" s="4" t="s">
        <v>276</v>
      </c>
      <c r="AC1368" s="22" t="n">
        <f>4414</f>
        <v>4414.0</v>
      </c>
      <c r="AD1368" s="5" t="s">
        <v>69</v>
      </c>
      <c r="AE1368" s="23" t="n">
        <f>172</f>
        <v>172.0</v>
      </c>
    </row>
    <row r="1369">
      <c r="A1369" s="24" t="s">
        <v>2478</v>
      </c>
      <c r="B1369" s="25" t="s">
        <v>2479</v>
      </c>
      <c r="C1369" s="26" t="s">
        <v>1748</v>
      </c>
      <c r="D1369" s="27" t="s">
        <v>1749</v>
      </c>
      <c r="E1369" s="28" t="s">
        <v>320</v>
      </c>
      <c r="F1369" s="20" t="n">
        <f>121</f>
        <v>121.0</v>
      </c>
      <c r="G1369" s="21" t="n">
        <f>10877</f>
        <v>10877.0</v>
      </c>
      <c r="H1369" s="21"/>
      <c r="I1369" s="21" t="str">
        <f>"－"</f>
        <v>－</v>
      </c>
      <c r="J1369" s="21" t="n">
        <f>90</f>
        <v>90.0</v>
      </c>
      <c r="K1369" s="21" t="str">
        <f>"－"</f>
        <v>－</v>
      </c>
      <c r="L1369" s="4" t="s">
        <v>432</v>
      </c>
      <c r="M1369" s="22" t="n">
        <f>646</f>
        <v>646.0</v>
      </c>
      <c r="N1369" s="5" t="s">
        <v>197</v>
      </c>
      <c r="O1369" s="23" t="n">
        <f>1</f>
        <v>1.0</v>
      </c>
      <c r="P1369" s="3" t="s">
        <v>2484</v>
      </c>
      <c r="Q1369" s="21"/>
      <c r="R1369" s="3" t="s">
        <v>247</v>
      </c>
      <c r="S1369" s="21" t="n">
        <f>5025744</f>
        <v>5025744.0</v>
      </c>
      <c r="T1369" s="21" t="str">
        <f>"－"</f>
        <v>－</v>
      </c>
      <c r="U1369" s="5" t="s">
        <v>432</v>
      </c>
      <c r="V1369" s="23" t="n">
        <f>85559000</f>
        <v>8.5559E7</v>
      </c>
      <c r="W1369" s="5" t="s">
        <v>270</v>
      </c>
      <c r="X1369" s="23" t="n">
        <f>6000</f>
        <v>6000.0</v>
      </c>
      <c r="Y1369" s="23" t="n">
        <f>395</f>
        <v>395.0</v>
      </c>
      <c r="Z1369" s="21" t="str">
        <f>"－"</f>
        <v>－</v>
      </c>
      <c r="AA1369" s="21" t="n">
        <f>191</f>
        <v>191.0</v>
      </c>
      <c r="AB1369" s="4" t="s">
        <v>81</v>
      </c>
      <c r="AC1369" s="22" t="n">
        <f>4462</f>
        <v>4462.0</v>
      </c>
      <c r="AD1369" s="5" t="s">
        <v>187</v>
      </c>
      <c r="AE1369" s="23" t="n">
        <f>48</f>
        <v>48.0</v>
      </c>
    </row>
    <row r="1370">
      <c r="A1370" s="24" t="s">
        <v>2478</v>
      </c>
      <c r="B1370" s="25" t="s">
        <v>2479</v>
      </c>
      <c r="C1370" s="26" t="s">
        <v>1752</v>
      </c>
      <c r="D1370" s="27" t="s">
        <v>1753</v>
      </c>
      <c r="E1370" s="28" t="s">
        <v>320</v>
      </c>
      <c r="F1370" s="20" t="n">
        <f>121</f>
        <v>121.0</v>
      </c>
      <c r="G1370" s="21" t="n">
        <f>19657</f>
        <v>19657.0</v>
      </c>
      <c r="H1370" s="21"/>
      <c r="I1370" s="21" t="str">
        <f>"－"</f>
        <v>－</v>
      </c>
      <c r="J1370" s="21" t="n">
        <f>162</f>
        <v>162.0</v>
      </c>
      <c r="K1370" s="21" t="str">
        <f>"－"</f>
        <v>－</v>
      </c>
      <c r="L1370" s="4" t="s">
        <v>644</v>
      </c>
      <c r="M1370" s="22" t="n">
        <f>3072</f>
        <v>3072.0</v>
      </c>
      <c r="N1370" s="5" t="s">
        <v>102</v>
      </c>
      <c r="O1370" s="23" t="n">
        <f>4</f>
        <v>4.0</v>
      </c>
      <c r="P1370" s="3" t="s">
        <v>2485</v>
      </c>
      <c r="Q1370" s="21"/>
      <c r="R1370" s="3" t="s">
        <v>247</v>
      </c>
      <c r="S1370" s="21" t="n">
        <f>9973136</f>
        <v>9973136.0</v>
      </c>
      <c r="T1370" s="21" t="str">
        <f>"－"</f>
        <v>－</v>
      </c>
      <c r="U1370" s="5" t="s">
        <v>432</v>
      </c>
      <c r="V1370" s="23" t="n">
        <f>151614500</f>
        <v>1.516145E8</v>
      </c>
      <c r="W1370" s="5" t="s">
        <v>270</v>
      </c>
      <c r="X1370" s="23" t="n">
        <f>32500</f>
        <v>32500.0</v>
      </c>
      <c r="Y1370" s="23" t="n">
        <f>1170</f>
        <v>1170.0</v>
      </c>
      <c r="Z1370" s="21" t="str">
        <f>"－"</f>
        <v>－</v>
      </c>
      <c r="AA1370" s="21" t="n">
        <f>3749</f>
        <v>3749.0</v>
      </c>
      <c r="AB1370" s="4" t="s">
        <v>292</v>
      </c>
      <c r="AC1370" s="22" t="n">
        <f>8828</f>
        <v>8828.0</v>
      </c>
      <c r="AD1370" s="5" t="s">
        <v>187</v>
      </c>
      <c r="AE1370" s="23" t="n">
        <f>3513</f>
        <v>3513.0</v>
      </c>
    </row>
    <row r="1371">
      <c r="A1371" s="24" t="s">
        <v>2478</v>
      </c>
      <c r="B1371" s="25" t="s">
        <v>2479</v>
      </c>
      <c r="C1371" s="26" t="s">
        <v>1744</v>
      </c>
      <c r="D1371" s="27" t="s">
        <v>1745</v>
      </c>
      <c r="E1371" s="28" t="s">
        <v>324</v>
      </c>
      <c r="F1371" s="20" t="n">
        <f>125</f>
        <v>125.0</v>
      </c>
      <c r="G1371" s="21" t="n">
        <f>13605</f>
        <v>13605.0</v>
      </c>
      <c r="H1371" s="21"/>
      <c r="I1371" s="21" t="str">
        <f>"－"</f>
        <v>－</v>
      </c>
      <c r="J1371" s="21" t="n">
        <f>109</f>
        <v>109.0</v>
      </c>
      <c r="K1371" s="21" t="str">
        <f>"－"</f>
        <v>－</v>
      </c>
      <c r="L1371" s="4" t="s">
        <v>1758</v>
      </c>
      <c r="M1371" s="22" t="n">
        <f>1002</f>
        <v>1002.0</v>
      </c>
      <c r="N1371" s="5" t="s">
        <v>666</v>
      </c>
      <c r="O1371" s="23" t="n">
        <f>1</f>
        <v>1.0</v>
      </c>
      <c r="P1371" s="3" t="s">
        <v>2486</v>
      </c>
      <c r="Q1371" s="21"/>
      <c r="R1371" s="3" t="s">
        <v>247</v>
      </c>
      <c r="S1371" s="21" t="n">
        <f>3149519</f>
        <v>3149519.0</v>
      </c>
      <c r="T1371" s="21" t="str">
        <f>"－"</f>
        <v>－</v>
      </c>
      <c r="U1371" s="5" t="s">
        <v>398</v>
      </c>
      <c r="V1371" s="23" t="n">
        <f>21406000</f>
        <v>2.1406E7</v>
      </c>
      <c r="W1371" s="5" t="s">
        <v>274</v>
      </c>
      <c r="X1371" s="23" t="n">
        <f>2000</f>
        <v>2000.0</v>
      </c>
      <c r="Y1371" s="23" t="n">
        <f>1601</f>
        <v>1601.0</v>
      </c>
      <c r="Z1371" s="21" t="str">
        <f>"－"</f>
        <v>－</v>
      </c>
      <c r="AA1371" s="21" t="n">
        <f>2512</f>
        <v>2512.0</v>
      </c>
      <c r="AB1371" s="4" t="s">
        <v>88</v>
      </c>
      <c r="AC1371" s="22" t="n">
        <f>5896</f>
        <v>5896.0</v>
      </c>
      <c r="AD1371" s="5" t="s">
        <v>193</v>
      </c>
      <c r="AE1371" s="23" t="n">
        <f>1029</f>
        <v>1029.0</v>
      </c>
    </row>
    <row r="1372">
      <c r="A1372" s="24" t="s">
        <v>2478</v>
      </c>
      <c r="B1372" s="25" t="s">
        <v>2479</v>
      </c>
      <c r="C1372" s="26" t="s">
        <v>1748</v>
      </c>
      <c r="D1372" s="27" t="s">
        <v>1749</v>
      </c>
      <c r="E1372" s="28" t="s">
        <v>324</v>
      </c>
      <c r="F1372" s="20" t="n">
        <f>125</f>
        <v>125.0</v>
      </c>
      <c r="G1372" s="21" t="n">
        <f>31832</f>
        <v>31832.0</v>
      </c>
      <c r="H1372" s="21"/>
      <c r="I1372" s="21" t="str">
        <f>"－"</f>
        <v>－</v>
      </c>
      <c r="J1372" s="21" t="n">
        <f>255</f>
        <v>255.0</v>
      </c>
      <c r="K1372" s="21" t="str">
        <f>"－"</f>
        <v>－</v>
      </c>
      <c r="L1372" s="4" t="s">
        <v>735</v>
      </c>
      <c r="M1372" s="22" t="n">
        <f>3204</f>
        <v>3204.0</v>
      </c>
      <c r="N1372" s="5" t="s">
        <v>263</v>
      </c>
      <c r="O1372" s="23" t="n">
        <f>2</f>
        <v>2.0</v>
      </c>
      <c r="P1372" s="3" t="s">
        <v>2487</v>
      </c>
      <c r="Q1372" s="21"/>
      <c r="R1372" s="3" t="s">
        <v>247</v>
      </c>
      <c r="S1372" s="21" t="n">
        <f>4771917</f>
        <v>4771917.0</v>
      </c>
      <c r="T1372" s="21" t="str">
        <f>"－"</f>
        <v>－</v>
      </c>
      <c r="U1372" s="5" t="s">
        <v>262</v>
      </c>
      <c r="V1372" s="23" t="n">
        <f>71622000</f>
        <v>7.1622E7</v>
      </c>
      <c r="W1372" s="5" t="s">
        <v>1003</v>
      </c>
      <c r="X1372" s="23" t="n">
        <f>2000</f>
        <v>2000.0</v>
      </c>
      <c r="Y1372" s="23" t="n">
        <f>3774</f>
        <v>3774.0</v>
      </c>
      <c r="Z1372" s="21" t="str">
        <f>"－"</f>
        <v>－</v>
      </c>
      <c r="AA1372" s="21" t="n">
        <f>2452</f>
        <v>2452.0</v>
      </c>
      <c r="AB1372" s="4" t="s">
        <v>75</v>
      </c>
      <c r="AC1372" s="22" t="n">
        <f>11534</f>
        <v>11534.0</v>
      </c>
      <c r="AD1372" s="5" t="s">
        <v>1546</v>
      </c>
      <c r="AE1372" s="23" t="n">
        <f>189</f>
        <v>189.0</v>
      </c>
    </row>
    <row r="1373">
      <c r="A1373" s="24" t="s">
        <v>2478</v>
      </c>
      <c r="B1373" s="25" t="s">
        <v>2479</v>
      </c>
      <c r="C1373" s="26" t="s">
        <v>1752</v>
      </c>
      <c r="D1373" s="27" t="s">
        <v>1753</v>
      </c>
      <c r="E1373" s="28" t="s">
        <v>324</v>
      </c>
      <c r="F1373" s="20" t="n">
        <f>125</f>
        <v>125.0</v>
      </c>
      <c r="G1373" s="21" t="n">
        <f>45437</f>
        <v>45437.0</v>
      </c>
      <c r="H1373" s="21"/>
      <c r="I1373" s="21" t="str">
        <f>"－"</f>
        <v>－</v>
      </c>
      <c r="J1373" s="21" t="n">
        <f>363</f>
        <v>363.0</v>
      </c>
      <c r="K1373" s="21" t="str">
        <f>"－"</f>
        <v>－</v>
      </c>
      <c r="L1373" s="4" t="s">
        <v>735</v>
      </c>
      <c r="M1373" s="22" t="n">
        <f>3443</f>
        <v>3443.0</v>
      </c>
      <c r="N1373" s="5" t="s">
        <v>510</v>
      </c>
      <c r="O1373" s="23" t="n">
        <f>3</f>
        <v>3.0</v>
      </c>
      <c r="P1373" s="3" t="s">
        <v>2488</v>
      </c>
      <c r="Q1373" s="21"/>
      <c r="R1373" s="3" t="s">
        <v>247</v>
      </c>
      <c r="S1373" s="21" t="n">
        <f>7921436</f>
        <v>7921436.0</v>
      </c>
      <c r="T1373" s="21" t="str">
        <f>"－"</f>
        <v>－</v>
      </c>
      <c r="U1373" s="5" t="s">
        <v>262</v>
      </c>
      <c r="V1373" s="23" t="n">
        <f>76024000</f>
        <v>7.6024E7</v>
      </c>
      <c r="W1373" s="5" t="s">
        <v>461</v>
      </c>
      <c r="X1373" s="23" t="n">
        <f>33000</f>
        <v>33000.0</v>
      </c>
      <c r="Y1373" s="23" t="n">
        <f>5375</f>
        <v>5375.0</v>
      </c>
      <c r="Z1373" s="21" t="str">
        <f>"－"</f>
        <v>－</v>
      </c>
      <c r="AA1373" s="21" t="n">
        <f>4964</f>
        <v>4964.0</v>
      </c>
      <c r="AB1373" s="4" t="s">
        <v>75</v>
      </c>
      <c r="AC1373" s="22" t="n">
        <f>17429</f>
        <v>17429.0</v>
      </c>
      <c r="AD1373" s="5" t="s">
        <v>281</v>
      </c>
      <c r="AE1373" s="23" t="n">
        <f>2175</f>
        <v>2175.0</v>
      </c>
    </row>
    <row r="1374">
      <c r="A1374" s="24" t="s">
        <v>2478</v>
      </c>
      <c r="B1374" s="25" t="s">
        <v>2479</v>
      </c>
      <c r="C1374" s="26" t="s">
        <v>1744</v>
      </c>
      <c r="D1374" s="27" t="s">
        <v>1745</v>
      </c>
      <c r="E1374" s="28" t="s">
        <v>327</v>
      </c>
      <c r="F1374" s="20" t="n">
        <f>122</f>
        <v>122.0</v>
      </c>
      <c r="G1374" s="21" t="n">
        <f>41102</f>
        <v>41102.0</v>
      </c>
      <c r="H1374" s="21"/>
      <c r="I1374" s="21" t="str">
        <f>"－"</f>
        <v>－</v>
      </c>
      <c r="J1374" s="21" t="n">
        <f>337</f>
        <v>337.0</v>
      </c>
      <c r="K1374" s="21" t="str">
        <f>"－"</f>
        <v>－</v>
      </c>
      <c r="L1374" s="4" t="s">
        <v>757</v>
      </c>
      <c r="M1374" s="22" t="n">
        <f>2808</f>
        <v>2808.0</v>
      </c>
      <c r="N1374" s="5" t="s">
        <v>285</v>
      </c>
      <c r="O1374" s="23" t="n">
        <f>1</f>
        <v>1.0</v>
      </c>
      <c r="P1374" s="3" t="s">
        <v>2489</v>
      </c>
      <c r="Q1374" s="21"/>
      <c r="R1374" s="3" t="s">
        <v>247</v>
      </c>
      <c r="S1374" s="21" t="n">
        <f>17275810</f>
        <v>1.727581E7</v>
      </c>
      <c r="T1374" s="21" t="str">
        <f>"－"</f>
        <v>－</v>
      </c>
      <c r="U1374" s="5" t="s">
        <v>757</v>
      </c>
      <c r="V1374" s="23" t="n">
        <f>120952750</f>
        <v>1.2095275E8</v>
      </c>
      <c r="W1374" s="5" t="s">
        <v>285</v>
      </c>
      <c r="X1374" s="23" t="n">
        <f>15000</f>
        <v>15000.0</v>
      </c>
      <c r="Y1374" s="23" t="n">
        <f>1927</f>
        <v>1927.0</v>
      </c>
      <c r="Z1374" s="21" t="str">
        <f>"－"</f>
        <v>－</v>
      </c>
      <c r="AA1374" s="21" t="n">
        <f>5081</f>
        <v>5081.0</v>
      </c>
      <c r="AB1374" s="4" t="s">
        <v>68</v>
      </c>
      <c r="AC1374" s="22" t="n">
        <f>6028</f>
        <v>6028.0</v>
      </c>
      <c r="AD1374" s="5" t="s">
        <v>69</v>
      </c>
      <c r="AE1374" s="23" t="n">
        <f>2125</f>
        <v>2125.0</v>
      </c>
    </row>
    <row r="1375">
      <c r="A1375" s="24" t="s">
        <v>2478</v>
      </c>
      <c r="B1375" s="25" t="s">
        <v>2479</v>
      </c>
      <c r="C1375" s="26" t="s">
        <v>1748</v>
      </c>
      <c r="D1375" s="27" t="s">
        <v>1749</v>
      </c>
      <c r="E1375" s="28" t="s">
        <v>327</v>
      </c>
      <c r="F1375" s="20" t="n">
        <f>122</f>
        <v>122.0</v>
      </c>
      <c r="G1375" s="21" t="n">
        <f>31139</f>
        <v>31139.0</v>
      </c>
      <c r="H1375" s="21"/>
      <c r="I1375" s="21" t="str">
        <f>"－"</f>
        <v>－</v>
      </c>
      <c r="J1375" s="21" t="n">
        <f>255</f>
        <v>255.0</v>
      </c>
      <c r="K1375" s="21" t="str">
        <f>"－"</f>
        <v>－</v>
      </c>
      <c r="L1375" s="4" t="s">
        <v>1012</v>
      </c>
      <c r="M1375" s="22" t="n">
        <f>6286</f>
        <v>6286.0</v>
      </c>
      <c r="N1375" s="5" t="s">
        <v>285</v>
      </c>
      <c r="O1375" s="23" t="n">
        <f>1</f>
        <v>1.0</v>
      </c>
      <c r="P1375" s="3" t="s">
        <v>2490</v>
      </c>
      <c r="Q1375" s="21"/>
      <c r="R1375" s="3" t="s">
        <v>247</v>
      </c>
      <c r="S1375" s="21" t="n">
        <f>5906593</f>
        <v>5906593.0</v>
      </c>
      <c r="T1375" s="21" t="str">
        <f>"－"</f>
        <v>－</v>
      </c>
      <c r="U1375" s="5" t="s">
        <v>270</v>
      </c>
      <c r="V1375" s="23" t="n">
        <f>50761200</f>
        <v>5.07612E7</v>
      </c>
      <c r="W1375" s="5" t="s">
        <v>519</v>
      </c>
      <c r="X1375" s="23" t="n">
        <f>14500</f>
        <v>14500.0</v>
      </c>
      <c r="Y1375" s="23" t="n">
        <f>1980</f>
        <v>1980.0</v>
      </c>
      <c r="Z1375" s="21" t="str">
        <f>"－"</f>
        <v>－</v>
      </c>
      <c r="AA1375" s="21" t="n">
        <f>6218</f>
        <v>6218.0</v>
      </c>
      <c r="AB1375" s="4" t="s">
        <v>81</v>
      </c>
      <c r="AC1375" s="22" t="n">
        <f>9168</f>
        <v>9168.0</v>
      </c>
      <c r="AD1375" s="5" t="s">
        <v>69</v>
      </c>
      <c r="AE1375" s="23" t="n">
        <f>1050</f>
        <v>1050.0</v>
      </c>
    </row>
    <row r="1376">
      <c r="A1376" s="24" t="s">
        <v>2478</v>
      </c>
      <c r="B1376" s="25" t="s">
        <v>2479</v>
      </c>
      <c r="C1376" s="26" t="s">
        <v>1752</v>
      </c>
      <c r="D1376" s="27" t="s">
        <v>1753</v>
      </c>
      <c r="E1376" s="28" t="s">
        <v>327</v>
      </c>
      <c r="F1376" s="20" t="n">
        <f>122</f>
        <v>122.0</v>
      </c>
      <c r="G1376" s="21" t="n">
        <f>72241</f>
        <v>72241.0</v>
      </c>
      <c r="H1376" s="21"/>
      <c r="I1376" s="21" t="str">
        <f>"－"</f>
        <v>－</v>
      </c>
      <c r="J1376" s="21" t="n">
        <f>592</f>
        <v>592.0</v>
      </c>
      <c r="K1376" s="21" t="str">
        <f>"－"</f>
        <v>－</v>
      </c>
      <c r="L1376" s="4" t="s">
        <v>1012</v>
      </c>
      <c r="M1376" s="22" t="n">
        <f>6646</f>
        <v>6646.0</v>
      </c>
      <c r="N1376" s="5" t="s">
        <v>285</v>
      </c>
      <c r="O1376" s="23" t="n">
        <f>2</f>
        <v>2.0</v>
      </c>
      <c r="P1376" s="3" t="s">
        <v>2491</v>
      </c>
      <c r="Q1376" s="21"/>
      <c r="R1376" s="3" t="s">
        <v>247</v>
      </c>
      <c r="S1376" s="21" t="n">
        <f>23182403</f>
        <v>2.3182403E7</v>
      </c>
      <c r="T1376" s="21" t="str">
        <f>"－"</f>
        <v>－</v>
      </c>
      <c r="U1376" s="5" t="s">
        <v>757</v>
      </c>
      <c r="V1376" s="23" t="n">
        <f>131760250</f>
        <v>1.3176025E8</v>
      </c>
      <c r="W1376" s="5" t="s">
        <v>285</v>
      </c>
      <c r="X1376" s="23" t="n">
        <f>51000</f>
        <v>51000.0</v>
      </c>
      <c r="Y1376" s="23" t="n">
        <f>3907</f>
        <v>3907.0</v>
      </c>
      <c r="Z1376" s="21" t="str">
        <f>"－"</f>
        <v>－</v>
      </c>
      <c r="AA1376" s="21" t="n">
        <f>11299</f>
        <v>11299.0</v>
      </c>
      <c r="AB1376" s="4" t="s">
        <v>137</v>
      </c>
      <c r="AC1376" s="22" t="n">
        <f>15094</f>
        <v>15094.0</v>
      </c>
      <c r="AD1376" s="5" t="s">
        <v>69</v>
      </c>
      <c r="AE1376" s="23" t="n">
        <f>3175</f>
        <v>3175.0</v>
      </c>
    </row>
    <row r="1377">
      <c r="A1377" s="24" t="s">
        <v>2478</v>
      </c>
      <c r="B1377" s="25" t="s">
        <v>2479</v>
      </c>
      <c r="C1377" s="26" t="s">
        <v>1744</v>
      </c>
      <c r="D1377" s="27" t="s">
        <v>1745</v>
      </c>
      <c r="E1377" s="28" t="s">
        <v>331</v>
      </c>
      <c r="F1377" s="20" t="n">
        <f>124</f>
        <v>124.0</v>
      </c>
      <c r="G1377" s="21" t="n">
        <f>45823</f>
        <v>45823.0</v>
      </c>
      <c r="H1377" s="21"/>
      <c r="I1377" s="21" t="str">
        <f>"－"</f>
        <v>－</v>
      </c>
      <c r="J1377" s="21" t="n">
        <f>370</f>
        <v>370.0</v>
      </c>
      <c r="K1377" s="21" t="str">
        <f>"－"</f>
        <v>－</v>
      </c>
      <c r="L1377" s="4" t="s">
        <v>2042</v>
      </c>
      <c r="M1377" s="22" t="n">
        <f>7633</f>
        <v>7633.0</v>
      </c>
      <c r="N1377" s="5" t="s">
        <v>282</v>
      </c>
      <c r="O1377" s="23" t="n">
        <f>1</f>
        <v>1.0</v>
      </c>
      <c r="P1377" s="3" t="s">
        <v>2492</v>
      </c>
      <c r="Q1377" s="21"/>
      <c r="R1377" s="3" t="s">
        <v>247</v>
      </c>
      <c r="S1377" s="21" t="n">
        <f>10097964</f>
        <v>1.0097964E7</v>
      </c>
      <c r="T1377" s="21" t="str">
        <f>"－"</f>
        <v>－</v>
      </c>
      <c r="U1377" s="5" t="s">
        <v>62</v>
      </c>
      <c r="V1377" s="23" t="n">
        <f>91658500</f>
        <v>9.16585E7</v>
      </c>
      <c r="W1377" s="5" t="s">
        <v>282</v>
      </c>
      <c r="X1377" s="23" t="n">
        <f>9000</f>
        <v>9000.0</v>
      </c>
      <c r="Y1377" s="23" t="n">
        <f>4951</f>
        <v>4951.0</v>
      </c>
      <c r="Z1377" s="21" t="str">
        <f>"－"</f>
        <v>－</v>
      </c>
      <c r="AA1377" s="21" t="n">
        <f>6577</f>
        <v>6577.0</v>
      </c>
      <c r="AB1377" s="4" t="s">
        <v>88</v>
      </c>
      <c r="AC1377" s="22" t="n">
        <f>18652</f>
        <v>18652.0</v>
      </c>
      <c r="AD1377" s="5" t="s">
        <v>119</v>
      </c>
      <c r="AE1377" s="23" t="n">
        <f>3744</f>
        <v>3744.0</v>
      </c>
    </row>
    <row r="1378">
      <c r="A1378" s="24" t="s">
        <v>2478</v>
      </c>
      <c r="B1378" s="25" t="s">
        <v>2479</v>
      </c>
      <c r="C1378" s="26" t="s">
        <v>1748</v>
      </c>
      <c r="D1378" s="27" t="s">
        <v>1749</v>
      </c>
      <c r="E1378" s="28" t="s">
        <v>331</v>
      </c>
      <c r="F1378" s="20" t="n">
        <f>124</f>
        <v>124.0</v>
      </c>
      <c r="G1378" s="21" t="n">
        <f>57600</f>
        <v>57600.0</v>
      </c>
      <c r="H1378" s="21"/>
      <c r="I1378" s="21" t="str">
        <f>"－"</f>
        <v>－</v>
      </c>
      <c r="J1378" s="21" t="n">
        <f>465</f>
        <v>465.0</v>
      </c>
      <c r="K1378" s="21" t="str">
        <f>"－"</f>
        <v>－</v>
      </c>
      <c r="L1378" s="4" t="s">
        <v>520</v>
      </c>
      <c r="M1378" s="22" t="n">
        <f>4939</f>
        <v>4939.0</v>
      </c>
      <c r="N1378" s="5" t="s">
        <v>166</v>
      </c>
      <c r="O1378" s="23" t="n">
        <f>1</f>
        <v>1.0</v>
      </c>
      <c r="P1378" s="3" t="s">
        <v>2493</v>
      </c>
      <c r="Q1378" s="21"/>
      <c r="R1378" s="3" t="s">
        <v>247</v>
      </c>
      <c r="S1378" s="21" t="n">
        <f>15818188</f>
        <v>1.5818188E7</v>
      </c>
      <c r="T1378" s="21" t="str">
        <f>"－"</f>
        <v>－</v>
      </c>
      <c r="U1378" s="5" t="s">
        <v>119</v>
      </c>
      <c r="V1378" s="23" t="n">
        <f>172082650</f>
        <v>1.7208265E8</v>
      </c>
      <c r="W1378" s="5" t="s">
        <v>166</v>
      </c>
      <c r="X1378" s="23" t="n">
        <f>8500</f>
        <v>8500.0</v>
      </c>
      <c r="Y1378" s="23" t="n">
        <f>8809</f>
        <v>8809.0</v>
      </c>
      <c r="Z1378" s="21" t="str">
        <f>"－"</f>
        <v>－</v>
      </c>
      <c r="AA1378" s="21" t="n">
        <f>12631</f>
        <v>12631.0</v>
      </c>
      <c r="AB1378" s="4" t="s">
        <v>84</v>
      </c>
      <c r="AC1378" s="22" t="n">
        <f>19366</f>
        <v>19366.0</v>
      </c>
      <c r="AD1378" s="5" t="s">
        <v>119</v>
      </c>
      <c r="AE1378" s="23" t="n">
        <f>5584</f>
        <v>5584.0</v>
      </c>
    </row>
    <row r="1379">
      <c r="A1379" s="24" t="s">
        <v>2478</v>
      </c>
      <c r="B1379" s="25" t="s">
        <v>2479</v>
      </c>
      <c r="C1379" s="26" t="s">
        <v>1752</v>
      </c>
      <c r="D1379" s="27" t="s">
        <v>1753</v>
      </c>
      <c r="E1379" s="28" t="s">
        <v>331</v>
      </c>
      <c r="F1379" s="20" t="n">
        <f>124</f>
        <v>124.0</v>
      </c>
      <c r="G1379" s="21" t="n">
        <f>103423</f>
        <v>103423.0</v>
      </c>
      <c r="H1379" s="21"/>
      <c r="I1379" s="21" t="str">
        <f>"－"</f>
        <v>－</v>
      </c>
      <c r="J1379" s="21" t="n">
        <f>834</f>
        <v>834.0</v>
      </c>
      <c r="K1379" s="21" t="str">
        <f>"－"</f>
        <v>－</v>
      </c>
      <c r="L1379" s="4" t="s">
        <v>2042</v>
      </c>
      <c r="M1379" s="22" t="n">
        <f>8781</f>
        <v>8781.0</v>
      </c>
      <c r="N1379" s="5" t="s">
        <v>188</v>
      </c>
      <c r="O1379" s="23" t="n">
        <f>7</f>
        <v>7.0</v>
      </c>
      <c r="P1379" s="3" t="s">
        <v>2494</v>
      </c>
      <c r="Q1379" s="21"/>
      <c r="R1379" s="3" t="s">
        <v>247</v>
      </c>
      <c r="S1379" s="21" t="n">
        <f>25916152</f>
        <v>2.5916152E7</v>
      </c>
      <c r="T1379" s="21" t="str">
        <f>"－"</f>
        <v>－</v>
      </c>
      <c r="U1379" s="5" t="s">
        <v>119</v>
      </c>
      <c r="V1379" s="23" t="n">
        <f>203885750</f>
        <v>2.0388575E8</v>
      </c>
      <c r="W1379" s="5" t="s">
        <v>188</v>
      </c>
      <c r="X1379" s="23" t="n">
        <f>221000</f>
        <v>221000.0</v>
      </c>
      <c r="Y1379" s="23" t="n">
        <f>13760</f>
        <v>13760.0</v>
      </c>
      <c r="Z1379" s="21" t="str">
        <f>"－"</f>
        <v>－</v>
      </c>
      <c r="AA1379" s="21" t="n">
        <f>19208</f>
        <v>19208.0</v>
      </c>
      <c r="AB1379" s="4" t="s">
        <v>88</v>
      </c>
      <c r="AC1379" s="22" t="n">
        <f>36754</f>
        <v>36754.0</v>
      </c>
      <c r="AD1379" s="5" t="s">
        <v>119</v>
      </c>
      <c r="AE1379" s="23" t="n">
        <f>9328</f>
        <v>9328.0</v>
      </c>
    </row>
    <row r="1380">
      <c r="A1380" s="24" t="s">
        <v>2478</v>
      </c>
      <c r="B1380" s="25" t="s">
        <v>2479</v>
      </c>
      <c r="C1380" s="26" t="s">
        <v>1744</v>
      </c>
      <c r="D1380" s="27" t="s">
        <v>1745</v>
      </c>
      <c r="E1380" s="28" t="s">
        <v>336</v>
      </c>
      <c r="F1380" s="20" t="n">
        <f>122</f>
        <v>122.0</v>
      </c>
      <c r="G1380" s="21" t="n">
        <f>150985</f>
        <v>150985.0</v>
      </c>
      <c r="H1380" s="21"/>
      <c r="I1380" s="21" t="str">
        <f>"－"</f>
        <v>－</v>
      </c>
      <c r="J1380" s="21" t="n">
        <f>1238</f>
        <v>1238.0</v>
      </c>
      <c r="K1380" s="21" t="str">
        <f>"－"</f>
        <v>－</v>
      </c>
      <c r="L1380" s="4" t="s">
        <v>585</v>
      </c>
      <c r="M1380" s="22" t="n">
        <f>27272</f>
        <v>27272.0</v>
      </c>
      <c r="N1380" s="5" t="s">
        <v>1002</v>
      </c>
      <c r="O1380" s="23" t="n">
        <f>1</f>
        <v>1.0</v>
      </c>
      <c r="P1380" s="3" t="s">
        <v>2495</v>
      </c>
      <c r="Q1380" s="21"/>
      <c r="R1380" s="3" t="s">
        <v>247</v>
      </c>
      <c r="S1380" s="21" t="n">
        <f>78257774</f>
        <v>7.8257774E7</v>
      </c>
      <c r="T1380" s="21" t="str">
        <f>"－"</f>
        <v>－</v>
      </c>
      <c r="U1380" s="5" t="s">
        <v>1064</v>
      </c>
      <c r="V1380" s="23" t="n">
        <f>781841000</f>
        <v>7.81841E8</v>
      </c>
      <c r="W1380" s="5" t="s">
        <v>484</v>
      </c>
      <c r="X1380" s="23" t="n">
        <f>11000</f>
        <v>11000.0</v>
      </c>
      <c r="Y1380" s="23" t="n">
        <f>12445</f>
        <v>12445.0</v>
      </c>
      <c r="Z1380" s="21" t="str">
        <f>"－"</f>
        <v>－</v>
      </c>
      <c r="AA1380" s="21" t="n">
        <f>48019</f>
        <v>48019.0</v>
      </c>
      <c r="AB1380" s="4" t="s">
        <v>585</v>
      </c>
      <c r="AC1380" s="22" t="n">
        <f>52748</f>
        <v>52748.0</v>
      </c>
      <c r="AD1380" s="5" t="s">
        <v>221</v>
      </c>
      <c r="AE1380" s="23" t="n">
        <f>5174</f>
        <v>5174.0</v>
      </c>
    </row>
    <row r="1381">
      <c r="A1381" s="24" t="s">
        <v>2478</v>
      </c>
      <c r="B1381" s="25" t="s">
        <v>2479</v>
      </c>
      <c r="C1381" s="26" t="s">
        <v>1748</v>
      </c>
      <c r="D1381" s="27" t="s">
        <v>1749</v>
      </c>
      <c r="E1381" s="28" t="s">
        <v>336</v>
      </c>
      <c r="F1381" s="20" t="n">
        <f>122</f>
        <v>122.0</v>
      </c>
      <c r="G1381" s="21" t="n">
        <f>69364</f>
        <v>69364.0</v>
      </c>
      <c r="H1381" s="21"/>
      <c r="I1381" s="21" t="str">
        <f>"－"</f>
        <v>－</v>
      </c>
      <c r="J1381" s="21" t="n">
        <f>569</f>
        <v>569.0</v>
      </c>
      <c r="K1381" s="21" t="str">
        <f>"－"</f>
        <v>－</v>
      </c>
      <c r="L1381" s="4" t="s">
        <v>585</v>
      </c>
      <c r="M1381" s="22" t="n">
        <f>26358</f>
        <v>26358.0</v>
      </c>
      <c r="N1381" s="5" t="s">
        <v>314</v>
      </c>
      <c r="O1381" s="23" t="str">
        <f>"－"</f>
        <v>－</v>
      </c>
      <c r="P1381" s="3" t="s">
        <v>2496</v>
      </c>
      <c r="Q1381" s="21"/>
      <c r="R1381" s="3" t="s">
        <v>247</v>
      </c>
      <c r="S1381" s="21" t="n">
        <f>38376795</f>
        <v>3.8376795E7</v>
      </c>
      <c r="T1381" s="21" t="str">
        <f>"－"</f>
        <v>－</v>
      </c>
      <c r="U1381" s="5" t="s">
        <v>901</v>
      </c>
      <c r="V1381" s="23" t="n">
        <f>884588500</f>
        <v>8.845885E8</v>
      </c>
      <c r="W1381" s="5" t="s">
        <v>314</v>
      </c>
      <c r="X1381" s="23" t="str">
        <f>"－"</f>
        <v>－</v>
      </c>
      <c r="Y1381" s="23" t="n">
        <f>7771</f>
        <v>7771.0</v>
      </c>
      <c r="Z1381" s="21" t="str">
        <f>"－"</f>
        <v>－</v>
      </c>
      <c r="AA1381" s="21" t="n">
        <f>35523</f>
        <v>35523.0</v>
      </c>
      <c r="AB1381" s="4" t="s">
        <v>698</v>
      </c>
      <c r="AC1381" s="22" t="n">
        <f>35528</f>
        <v>35528.0</v>
      </c>
      <c r="AD1381" s="5" t="s">
        <v>68</v>
      </c>
      <c r="AE1381" s="23" t="n">
        <f>2048</f>
        <v>2048.0</v>
      </c>
    </row>
    <row r="1382">
      <c r="A1382" s="24" t="s">
        <v>2478</v>
      </c>
      <c r="B1382" s="25" t="s">
        <v>2479</v>
      </c>
      <c r="C1382" s="26" t="s">
        <v>1752</v>
      </c>
      <c r="D1382" s="27" t="s">
        <v>1753</v>
      </c>
      <c r="E1382" s="28" t="s">
        <v>336</v>
      </c>
      <c r="F1382" s="20" t="n">
        <f>122</f>
        <v>122.0</v>
      </c>
      <c r="G1382" s="21" t="n">
        <f>220349</f>
        <v>220349.0</v>
      </c>
      <c r="H1382" s="21"/>
      <c r="I1382" s="21" t="str">
        <f>"－"</f>
        <v>－</v>
      </c>
      <c r="J1382" s="21" t="n">
        <f>1806</f>
        <v>1806.0</v>
      </c>
      <c r="K1382" s="21" t="str">
        <f>"－"</f>
        <v>－</v>
      </c>
      <c r="L1382" s="4" t="s">
        <v>585</v>
      </c>
      <c r="M1382" s="22" t="n">
        <f>53630</f>
        <v>53630.0</v>
      </c>
      <c r="N1382" s="5" t="s">
        <v>455</v>
      </c>
      <c r="O1382" s="23" t="n">
        <f>3</f>
        <v>3.0</v>
      </c>
      <c r="P1382" s="3" t="s">
        <v>2497</v>
      </c>
      <c r="Q1382" s="21"/>
      <c r="R1382" s="3" t="s">
        <v>247</v>
      </c>
      <c r="S1382" s="21" t="n">
        <f>116634569</f>
        <v>1.16634569E8</v>
      </c>
      <c r="T1382" s="21" t="str">
        <f>"－"</f>
        <v>－</v>
      </c>
      <c r="U1382" s="5" t="s">
        <v>901</v>
      </c>
      <c r="V1382" s="23" t="n">
        <f>1584738500</f>
        <v>1.5847385E9</v>
      </c>
      <c r="W1382" s="5" t="s">
        <v>484</v>
      </c>
      <c r="X1382" s="23" t="n">
        <f>34000</f>
        <v>34000.0</v>
      </c>
      <c r="Y1382" s="23" t="n">
        <f>20216</f>
        <v>20216.0</v>
      </c>
      <c r="Z1382" s="21" t="str">
        <f>"－"</f>
        <v>－</v>
      </c>
      <c r="AA1382" s="21" t="n">
        <f>83542</f>
        <v>83542.0</v>
      </c>
      <c r="AB1382" s="4" t="s">
        <v>585</v>
      </c>
      <c r="AC1382" s="22" t="n">
        <f>87253</f>
        <v>87253.0</v>
      </c>
      <c r="AD1382" s="5" t="s">
        <v>81</v>
      </c>
      <c r="AE1382" s="23" t="n">
        <f>15057</f>
        <v>15057.0</v>
      </c>
    </row>
    <row r="1383">
      <c r="A1383" s="24" t="s">
        <v>2478</v>
      </c>
      <c r="B1383" s="25" t="s">
        <v>2479</v>
      </c>
      <c r="C1383" s="26" t="s">
        <v>1744</v>
      </c>
      <c r="D1383" s="27" t="s">
        <v>1745</v>
      </c>
      <c r="E1383" s="28" t="s">
        <v>340</v>
      </c>
      <c r="F1383" s="20" t="n">
        <f>125</f>
        <v>125.0</v>
      </c>
      <c r="G1383" s="21" t="n">
        <f>62927</f>
        <v>62927.0</v>
      </c>
      <c r="H1383" s="21"/>
      <c r="I1383" s="21" t="str">
        <f>"－"</f>
        <v>－</v>
      </c>
      <c r="J1383" s="21" t="n">
        <f>503</f>
        <v>503.0</v>
      </c>
      <c r="K1383" s="21" t="str">
        <f>"－"</f>
        <v>－</v>
      </c>
      <c r="L1383" s="4" t="s">
        <v>419</v>
      </c>
      <c r="M1383" s="22" t="n">
        <f>9186</f>
        <v>9186.0</v>
      </c>
      <c r="N1383" s="5" t="s">
        <v>442</v>
      </c>
      <c r="O1383" s="23" t="n">
        <f>1</f>
        <v>1.0</v>
      </c>
      <c r="P1383" s="3" t="s">
        <v>2498</v>
      </c>
      <c r="Q1383" s="21"/>
      <c r="R1383" s="3" t="s">
        <v>247</v>
      </c>
      <c r="S1383" s="21" t="n">
        <f>46505878</f>
        <v>4.6505878E7</v>
      </c>
      <c r="T1383" s="21" t="str">
        <f>"－"</f>
        <v>－</v>
      </c>
      <c r="U1383" s="5" t="s">
        <v>781</v>
      </c>
      <c r="V1383" s="23" t="n">
        <f>1088195000</f>
        <v>1.088195E9</v>
      </c>
      <c r="W1383" s="5" t="s">
        <v>1021</v>
      </c>
      <c r="X1383" s="23" t="n">
        <f>100000</f>
        <v>100000.0</v>
      </c>
      <c r="Y1383" s="23" t="n">
        <f>40954</f>
        <v>40954.0</v>
      </c>
      <c r="Z1383" s="21" t="str">
        <f>"－"</f>
        <v>－</v>
      </c>
      <c r="AA1383" s="21" t="n">
        <f>16351</f>
        <v>16351.0</v>
      </c>
      <c r="AB1383" s="4" t="s">
        <v>224</v>
      </c>
      <c r="AC1383" s="22" t="n">
        <f>50712</f>
        <v>50712.0</v>
      </c>
      <c r="AD1383" s="5" t="s">
        <v>143</v>
      </c>
      <c r="AE1383" s="23" t="n">
        <f>9900</f>
        <v>9900.0</v>
      </c>
    </row>
    <row r="1384">
      <c r="A1384" s="24" t="s">
        <v>2478</v>
      </c>
      <c r="B1384" s="25" t="s">
        <v>2479</v>
      </c>
      <c r="C1384" s="26" t="s">
        <v>1748</v>
      </c>
      <c r="D1384" s="27" t="s">
        <v>1749</v>
      </c>
      <c r="E1384" s="28" t="s">
        <v>340</v>
      </c>
      <c r="F1384" s="20" t="n">
        <f>125</f>
        <v>125.0</v>
      </c>
      <c r="G1384" s="21" t="n">
        <f>68295</f>
        <v>68295.0</v>
      </c>
      <c r="H1384" s="21"/>
      <c r="I1384" s="21" t="str">
        <f>"－"</f>
        <v>－</v>
      </c>
      <c r="J1384" s="21" t="n">
        <f>546</f>
        <v>546.0</v>
      </c>
      <c r="K1384" s="21" t="str">
        <f>"－"</f>
        <v>－</v>
      </c>
      <c r="L1384" s="4" t="s">
        <v>419</v>
      </c>
      <c r="M1384" s="22" t="n">
        <f>9136</f>
        <v>9136.0</v>
      </c>
      <c r="N1384" s="5" t="s">
        <v>549</v>
      </c>
      <c r="O1384" s="23" t="n">
        <f>1</f>
        <v>1.0</v>
      </c>
      <c r="P1384" s="3" t="s">
        <v>2499</v>
      </c>
      <c r="Q1384" s="21"/>
      <c r="R1384" s="3" t="s">
        <v>247</v>
      </c>
      <c r="S1384" s="21" t="n">
        <f>34564454</f>
        <v>3.4564454E7</v>
      </c>
      <c r="T1384" s="21" t="str">
        <f>"－"</f>
        <v>－</v>
      </c>
      <c r="U1384" s="5" t="s">
        <v>84</v>
      </c>
      <c r="V1384" s="23" t="n">
        <f>580023400</f>
        <v>5.800234E8</v>
      </c>
      <c r="W1384" s="5" t="s">
        <v>549</v>
      </c>
      <c r="X1384" s="23" t="n">
        <f>6000</f>
        <v>6000.0</v>
      </c>
      <c r="Y1384" s="23" t="n">
        <f>16380</f>
        <v>16380.0</v>
      </c>
      <c r="Z1384" s="21" t="str">
        <f>"－"</f>
        <v>－</v>
      </c>
      <c r="AA1384" s="21" t="n">
        <f>9696</f>
        <v>9696.0</v>
      </c>
      <c r="AB1384" s="4" t="s">
        <v>224</v>
      </c>
      <c r="AC1384" s="22" t="n">
        <f>36380</f>
        <v>36380.0</v>
      </c>
      <c r="AD1384" s="5" t="s">
        <v>128</v>
      </c>
      <c r="AE1384" s="23" t="n">
        <f>4680</f>
        <v>4680.0</v>
      </c>
    </row>
    <row r="1385">
      <c r="A1385" s="24" t="s">
        <v>2478</v>
      </c>
      <c r="B1385" s="25" t="s">
        <v>2479</v>
      </c>
      <c r="C1385" s="26" t="s">
        <v>1752</v>
      </c>
      <c r="D1385" s="27" t="s">
        <v>1753</v>
      </c>
      <c r="E1385" s="28" t="s">
        <v>340</v>
      </c>
      <c r="F1385" s="20" t="n">
        <f>125</f>
        <v>125.0</v>
      </c>
      <c r="G1385" s="21" t="n">
        <f>131222</f>
        <v>131222.0</v>
      </c>
      <c r="H1385" s="21"/>
      <c r="I1385" s="21" t="str">
        <f>"－"</f>
        <v>－</v>
      </c>
      <c r="J1385" s="21" t="n">
        <f>1050</f>
        <v>1050.0</v>
      </c>
      <c r="K1385" s="21" t="str">
        <f>"－"</f>
        <v>－</v>
      </c>
      <c r="L1385" s="4" t="s">
        <v>419</v>
      </c>
      <c r="M1385" s="22" t="n">
        <f>18322</f>
        <v>18322.0</v>
      </c>
      <c r="N1385" s="5" t="s">
        <v>1021</v>
      </c>
      <c r="O1385" s="23" t="n">
        <f>4</f>
        <v>4.0</v>
      </c>
      <c r="P1385" s="3" t="s">
        <v>2500</v>
      </c>
      <c r="Q1385" s="21"/>
      <c r="R1385" s="3" t="s">
        <v>247</v>
      </c>
      <c r="S1385" s="21" t="n">
        <f>81070331</f>
        <v>8.1070331E7</v>
      </c>
      <c r="T1385" s="21" t="str">
        <f>"－"</f>
        <v>－</v>
      </c>
      <c r="U1385" s="5" t="s">
        <v>781</v>
      </c>
      <c r="V1385" s="23" t="n">
        <f>1091527500</f>
        <v>1.0915275E9</v>
      </c>
      <c r="W1385" s="5" t="s">
        <v>1021</v>
      </c>
      <c r="X1385" s="23" t="n">
        <f>118000</f>
        <v>118000.0</v>
      </c>
      <c r="Y1385" s="23" t="n">
        <f>57334</f>
        <v>57334.0</v>
      </c>
      <c r="Z1385" s="21" t="str">
        <f>"－"</f>
        <v>－</v>
      </c>
      <c r="AA1385" s="21" t="n">
        <f>26047</f>
        <v>26047.0</v>
      </c>
      <c r="AB1385" s="4" t="s">
        <v>224</v>
      </c>
      <c r="AC1385" s="22" t="n">
        <f>87092</f>
        <v>87092.0</v>
      </c>
      <c r="AD1385" s="5" t="s">
        <v>143</v>
      </c>
      <c r="AE1385" s="23" t="n">
        <f>15853</f>
        <v>15853.0</v>
      </c>
    </row>
    <row r="1386">
      <c r="A1386" s="24" t="s">
        <v>2478</v>
      </c>
      <c r="B1386" s="25" t="s">
        <v>2479</v>
      </c>
      <c r="C1386" s="26" t="s">
        <v>1744</v>
      </c>
      <c r="D1386" s="27" t="s">
        <v>1745</v>
      </c>
      <c r="E1386" s="28" t="s">
        <v>344</v>
      </c>
      <c r="F1386" s="20" t="n">
        <f>121</f>
        <v>121.0</v>
      </c>
      <c r="G1386" s="21" t="n">
        <f>72416</f>
        <v>72416.0</v>
      </c>
      <c r="H1386" s="21"/>
      <c r="I1386" s="21" t="str">
        <f>"－"</f>
        <v>－</v>
      </c>
      <c r="J1386" s="21" t="n">
        <f>598</f>
        <v>598.0</v>
      </c>
      <c r="K1386" s="21" t="str">
        <f>"－"</f>
        <v>－</v>
      </c>
      <c r="L1386" s="4" t="s">
        <v>78</v>
      </c>
      <c r="M1386" s="22" t="n">
        <f>9153</f>
        <v>9153.0</v>
      </c>
      <c r="N1386" s="5" t="s">
        <v>138</v>
      </c>
      <c r="O1386" s="23" t="str">
        <f>"－"</f>
        <v>－</v>
      </c>
      <c r="P1386" s="3" t="s">
        <v>2501</v>
      </c>
      <c r="Q1386" s="21"/>
      <c r="R1386" s="3" t="s">
        <v>247</v>
      </c>
      <c r="S1386" s="21" t="n">
        <f>46171326</f>
        <v>4.6171326E7</v>
      </c>
      <c r="T1386" s="21" t="str">
        <f>"－"</f>
        <v>－</v>
      </c>
      <c r="U1386" s="5" t="s">
        <v>93</v>
      </c>
      <c r="V1386" s="23" t="n">
        <f>832125500</f>
        <v>8.321255E8</v>
      </c>
      <c r="W1386" s="5" t="s">
        <v>138</v>
      </c>
      <c r="X1386" s="23" t="str">
        <f>"－"</f>
        <v>－</v>
      </c>
      <c r="Y1386" s="23" t="n">
        <f>7823</f>
        <v>7823.0</v>
      </c>
      <c r="Z1386" s="21" t="str">
        <f>"－"</f>
        <v>－</v>
      </c>
      <c r="AA1386" s="21" t="n">
        <f>10278</f>
        <v>10278.0</v>
      </c>
      <c r="AB1386" s="4" t="s">
        <v>298</v>
      </c>
      <c r="AC1386" s="22" t="n">
        <f>31865</f>
        <v>31865.0</v>
      </c>
      <c r="AD1386" s="5" t="s">
        <v>93</v>
      </c>
      <c r="AE1386" s="23" t="n">
        <f>4909</f>
        <v>4909.0</v>
      </c>
    </row>
    <row r="1387">
      <c r="A1387" s="24" t="s">
        <v>2478</v>
      </c>
      <c r="B1387" s="25" t="s">
        <v>2479</v>
      </c>
      <c r="C1387" s="26" t="s">
        <v>1748</v>
      </c>
      <c r="D1387" s="27" t="s">
        <v>1749</v>
      </c>
      <c r="E1387" s="28" t="s">
        <v>344</v>
      </c>
      <c r="F1387" s="20" t="n">
        <f>121</f>
        <v>121.0</v>
      </c>
      <c r="G1387" s="21" t="n">
        <f>78629</f>
        <v>78629.0</v>
      </c>
      <c r="H1387" s="21"/>
      <c r="I1387" s="21" t="str">
        <f>"－"</f>
        <v>－</v>
      </c>
      <c r="J1387" s="21" t="n">
        <f>650</f>
        <v>650.0</v>
      </c>
      <c r="K1387" s="21" t="str">
        <f>"－"</f>
        <v>－</v>
      </c>
      <c r="L1387" s="4" t="s">
        <v>872</v>
      </c>
      <c r="M1387" s="22" t="n">
        <f>5082</f>
        <v>5082.0</v>
      </c>
      <c r="N1387" s="5" t="s">
        <v>257</v>
      </c>
      <c r="O1387" s="23" t="str">
        <f>"－"</f>
        <v>－</v>
      </c>
      <c r="P1387" s="3" t="s">
        <v>2502</v>
      </c>
      <c r="Q1387" s="21"/>
      <c r="R1387" s="3" t="s">
        <v>247</v>
      </c>
      <c r="S1387" s="21" t="n">
        <f>20308281</f>
        <v>2.0308281E7</v>
      </c>
      <c r="T1387" s="21" t="str">
        <f>"－"</f>
        <v>－</v>
      </c>
      <c r="U1387" s="5" t="s">
        <v>82</v>
      </c>
      <c r="V1387" s="23" t="n">
        <f>196761000</f>
        <v>1.96761E8</v>
      </c>
      <c r="W1387" s="5" t="s">
        <v>257</v>
      </c>
      <c r="X1387" s="23" t="str">
        <f>"－"</f>
        <v>－</v>
      </c>
      <c r="Y1387" s="23" t="n">
        <f>7495</f>
        <v>7495.0</v>
      </c>
      <c r="Z1387" s="21" t="str">
        <f>"－"</f>
        <v>－</v>
      </c>
      <c r="AA1387" s="21" t="n">
        <f>7913</f>
        <v>7913.0</v>
      </c>
      <c r="AB1387" s="4" t="s">
        <v>276</v>
      </c>
      <c r="AC1387" s="22" t="n">
        <f>29835</f>
        <v>29835.0</v>
      </c>
      <c r="AD1387" s="5" t="s">
        <v>93</v>
      </c>
      <c r="AE1387" s="23" t="n">
        <f>3098</f>
        <v>3098.0</v>
      </c>
    </row>
    <row r="1388">
      <c r="A1388" s="24" t="s">
        <v>2478</v>
      </c>
      <c r="B1388" s="25" t="s">
        <v>2479</v>
      </c>
      <c r="C1388" s="26" t="s">
        <v>1752</v>
      </c>
      <c r="D1388" s="27" t="s">
        <v>1753</v>
      </c>
      <c r="E1388" s="28" t="s">
        <v>344</v>
      </c>
      <c r="F1388" s="20" t="n">
        <f>121</f>
        <v>121.0</v>
      </c>
      <c r="G1388" s="21" t="n">
        <f>151045</f>
        <v>151045.0</v>
      </c>
      <c r="H1388" s="21"/>
      <c r="I1388" s="21" t="str">
        <f>"－"</f>
        <v>－</v>
      </c>
      <c r="J1388" s="21" t="n">
        <f>1248</f>
        <v>1248.0</v>
      </c>
      <c r="K1388" s="21" t="str">
        <f>"－"</f>
        <v>－</v>
      </c>
      <c r="L1388" s="4" t="s">
        <v>872</v>
      </c>
      <c r="M1388" s="22" t="n">
        <f>10861</f>
        <v>10861.0</v>
      </c>
      <c r="N1388" s="5" t="s">
        <v>187</v>
      </c>
      <c r="O1388" s="23" t="n">
        <f>4</f>
        <v>4.0</v>
      </c>
      <c r="P1388" s="3" t="s">
        <v>2503</v>
      </c>
      <c r="Q1388" s="21"/>
      <c r="R1388" s="3" t="s">
        <v>247</v>
      </c>
      <c r="S1388" s="21" t="n">
        <f>66479607</f>
        <v>6.6479607E7</v>
      </c>
      <c r="T1388" s="21" t="str">
        <f>"－"</f>
        <v>－</v>
      </c>
      <c r="U1388" s="5" t="s">
        <v>93</v>
      </c>
      <c r="V1388" s="23" t="n">
        <f>869250000</f>
        <v>8.6925E8</v>
      </c>
      <c r="W1388" s="5" t="s">
        <v>187</v>
      </c>
      <c r="X1388" s="23" t="n">
        <f>160000</f>
        <v>160000.0</v>
      </c>
      <c r="Y1388" s="23" t="n">
        <f>15318</f>
        <v>15318.0</v>
      </c>
      <c r="Z1388" s="21" t="str">
        <f>"－"</f>
        <v>－</v>
      </c>
      <c r="AA1388" s="21" t="n">
        <f>18191</f>
        <v>18191.0</v>
      </c>
      <c r="AB1388" s="4" t="s">
        <v>298</v>
      </c>
      <c r="AC1388" s="22" t="n">
        <f>61516</f>
        <v>61516.0</v>
      </c>
      <c r="AD1388" s="5" t="s">
        <v>93</v>
      </c>
      <c r="AE1388" s="23" t="n">
        <f>8007</f>
        <v>8007.0</v>
      </c>
    </row>
    <row r="1389">
      <c r="A1389" s="24" t="s">
        <v>2478</v>
      </c>
      <c r="B1389" s="25" t="s">
        <v>2479</v>
      </c>
      <c r="C1389" s="26" t="s">
        <v>1744</v>
      </c>
      <c r="D1389" s="27" t="s">
        <v>1745</v>
      </c>
      <c r="E1389" s="28" t="s">
        <v>347</v>
      </c>
      <c r="F1389" s="20" t="n">
        <f>125</f>
        <v>125.0</v>
      </c>
      <c r="G1389" s="21" t="n">
        <f>44430</f>
        <v>44430.0</v>
      </c>
      <c r="H1389" s="21"/>
      <c r="I1389" s="21" t="str">
        <f>"－"</f>
        <v>－</v>
      </c>
      <c r="J1389" s="21" t="n">
        <f>355</f>
        <v>355.0</v>
      </c>
      <c r="K1389" s="21" t="str">
        <f>"－"</f>
        <v>－</v>
      </c>
      <c r="L1389" s="4" t="s">
        <v>1614</v>
      </c>
      <c r="M1389" s="22" t="n">
        <f>1750</f>
        <v>1750.0</v>
      </c>
      <c r="N1389" s="5" t="s">
        <v>993</v>
      </c>
      <c r="O1389" s="23" t="str">
        <f>"－"</f>
        <v>－</v>
      </c>
      <c r="P1389" s="3" t="s">
        <v>2504</v>
      </c>
      <c r="Q1389" s="21"/>
      <c r="R1389" s="3" t="s">
        <v>247</v>
      </c>
      <c r="S1389" s="21" t="n">
        <f>10293275</f>
        <v>1.0293275E7</v>
      </c>
      <c r="T1389" s="21" t="str">
        <f>"－"</f>
        <v>－</v>
      </c>
      <c r="U1389" s="5" t="s">
        <v>302</v>
      </c>
      <c r="V1389" s="23" t="n">
        <f>138668100</f>
        <v>1.386681E8</v>
      </c>
      <c r="W1389" s="5" t="s">
        <v>993</v>
      </c>
      <c r="X1389" s="23" t="str">
        <f>"－"</f>
        <v>－</v>
      </c>
      <c r="Y1389" s="23" t="n">
        <f>12957</f>
        <v>12957.0</v>
      </c>
      <c r="Z1389" s="21" t="str">
        <f>"－"</f>
        <v>－</v>
      </c>
      <c r="AA1389" s="21" t="n">
        <f>5021</f>
        <v>5021.0</v>
      </c>
      <c r="AB1389" s="4" t="s">
        <v>289</v>
      </c>
      <c r="AC1389" s="22" t="n">
        <f>16300</f>
        <v>16300.0</v>
      </c>
      <c r="AD1389" s="5" t="s">
        <v>76</v>
      </c>
      <c r="AE1389" s="23" t="n">
        <f>2469</f>
        <v>2469.0</v>
      </c>
    </row>
    <row r="1390">
      <c r="A1390" s="24" t="s">
        <v>2478</v>
      </c>
      <c r="B1390" s="25" t="s">
        <v>2479</v>
      </c>
      <c r="C1390" s="26" t="s">
        <v>1748</v>
      </c>
      <c r="D1390" s="27" t="s">
        <v>1749</v>
      </c>
      <c r="E1390" s="28" t="s">
        <v>347</v>
      </c>
      <c r="F1390" s="20" t="n">
        <f>125</f>
        <v>125.0</v>
      </c>
      <c r="G1390" s="21" t="n">
        <f>184356</f>
        <v>184356.0</v>
      </c>
      <c r="H1390" s="21"/>
      <c r="I1390" s="21" t="str">
        <f>"－"</f>
        <v>－</v>
      </c>
      <c r="J1390" s="21" t="n">
        <f>1475</f>
        <v>1475.0</v>
      </c>
      <c r="K1390" s="21" t="str">
        <f>"－"</f>
        <v>－</v>
      </c>
      <c r="L1390" s="4" t="s">
        <v>217</v>
      </c>
      <c r="M1390" s="22" t="n">
        <f>25823</f>
        <v>25823.0</v>
      </c>
      <c r="N1390" s="5" t="s">
        <v>281</v>
      </c>
      <c r="O1390" s="23" t="str">
        <f>"－"</f>
        <v>－</v>
      </c>
      <c r="P1390" s="3" t="s">
        <v>2505</v>
      </c>
      <c r="Q1390" s="21"/>
      <c r="R1390" s="3" t="s">
        <v>247</v>
      </c>
      <c r="S1390" s="21" t="n">
        <f>27720257</f>
        <v>2.7720257E7</v>
      </c>
      <c r="T1390" s="21" t="str">
        <f>"－"</f>
        <v>－</v>
      </c>
      <c r="U1390" s="5" t="s">
        <v>217</v>
      </c>
      <c r="V1390" s="23" t="n">
        <f>569040000</f>
        <v>5.6904E8</v>
      </c>
      <c r="W1390" s="5" t="s">
        <v>281</v>
      </c>
      <c r="X1390" s="23" t="str">
        <f>"－"</f>
        <v>－</v>
      </c>
      <c r="Y1390" s="23" t="n">
        <f>6001</f>
        <v>6001.0</v>
      </c>
      <c r="Z1390" s="21" t="str">
        <f>"－"</f>
        <v>－</v>
      </c>
      <c r="AA1390" s="21" t="n">
        <f>20919</f>
        <v>20919.0</v>
      </c>
      <c r="AB1390" s="4" t="s">
        <v>217</v>
      </c>
      <c r="AC1390" s="22" t="n">
        <f>82319</f>
        <v>82319.0</v>
      </c>
      <c r="AD1390" s="5" t="s">
        <v>71</v>
      </c>
      <c r="AE1390" s="23" t="n">
        <f>5878</f>
        <v>5878.0</v>
      </c>
    </row>
    <row r="1391">
      <c r="A1391" s="24" t="s">
        <v>2478</v>
      </c>
      <c r="B1391" s="25" t="s">
        <v>2479</v>
      </c>
      <c r="C1391" s="26" t="s">
        <v>1752</v>
      </c>
      <c r="D1391" s="27" t="s">
        <v>1753</v>
      </c>
      <c r="E1391" s="28" t="s">
        <v>347</v>
      </c>
      <c r="F1391" s="20" t="n">
        <f>125</f>
        <v>125.0</v>
      </c>
      <c r="G1391" s="21" t="n">
        <f>228786</f>
        <v>228786.0</v>
      </c>
      <c r="H1391" s="21"/>
      <c r="I1391" s="21" t="str">
        <f>"－"</f>
        <v>－</v>
      </c>
      <c r="J1391" s="21" t="n">
        <f>1830</f>
        <v>1830.0</v>
      </c>
      <c r="K1391" s="21" t="str">
        <f>"－"</f>
        <v>－</v>
      </c>
      <c r="L1391" s="4" t="s">
        <v>217</v>
      </c>
      <c r="M1391" s="22" t="n">
        <f>26570</f>
        <v>26570.0</v>
      </c>
      <c r="N1391" s="5" t="s">
        <v>281</v>
      </c>
      <c r="O1391" s="23" t="str">
        <f>"－"</f>
        <v>－</v>
      </c>
      <c r="P1391" s="3" t="s">
        <v>2506</v>
      </c>
      <c r="Q1391" s="21"/>
      <c r="R1391" s="3" t="s">
        <v>247</v>
      </c>
      <c r="S1391" s="21" t="n">
        <f>38013532</f>
        <v>3.8013532E7</v>
      </c>
      <c r="T1391" s="21" t="str">
        <f>"－"</f>
        <v>－</v>
      </c>
      <c r="U1391" s="5" t="s">
        <v>217</v>
      </c>
      <c r="V1391" s="23" t="n">
        <f>574740000</f>
        <v>5.7474E8</v>
      </c>
      <c r="W1391" s="5" t="s">
        <v>281</v>
      </c>
      <c r="X1391" s="23" t="str">
        <f>"－"</f>
        <v>－</v>
      </c>
      <c r="Y1391" s="23" t="n">
        <f>18958</f>
        <v>18958.0</v>
      </c>
      <c r="Z1391" s="21" t="str">
        <f>"－"</f>
        <v>－</v>
      </c>
      <c r="AA1391" s="21" t="n">
        <f>25940</f>
        <v>25940.0</v>
      </c>
      <c r="AB1391" s="4" t="s">
        <v>180</v>
      </c>
      <c r="AC1391" s="22" t="n">
        <f>96033</f>
        <v>96033.0</v>
      </c>
      <c r="AD1391" s="5" t="s">
        <v>71</v>
      </c>
      <c r="AE1391" s="23" t="n">
        <f>8819</f>
        <v>8819.0</v>
      </c>
    </row>
    <row r="1392">
      <c r="A1392" s="24" t="s">
        <v>2478</v>
      </c>
      <c r="B1392" s="25" t="s">
        <v>2479</v>
      </c>
      <c r="C1392" s="26" t="s">
        <v>1744</v>
      </c>
      <c r="D1392" s="27" t="s">
        <v>1745</v>
      </c>
      <c r="E1392" s="28" t="s">
        <v>351</v>
      </c>
      <c r="F1392" s="20" t="n">
        <f>120</f>
        <v>120.0</v>
      </c>
      <c r="G1392" s="21" t="n">
        <f>70944</f>
        <v>70944.0</v>
      </c>
      <c r="H1392" s="21"/>
      <c r="I1392" s="21" t="str">
        <f>"－"</f>
        <v>－</v>
      </c>
      <c r="J1392" s="21" t="n">
        <f>591</f>
        <v>591.0</v>
      </c>
      <c r="K1392" s="21" t="str">
        <f>"－"</f>
        <v>－</v>
      </c>
      <c r="L1392" s="4" t="s">
        <v>1524</v>
      </c>
      <c r="M1392" s="22" t="n">
        <f>4737</f>
        <v>4737.0</v>
      </c>
      <c r="N1392" s="5" t="s">
        <v>1495</v>
      </c>
      <c r="O1392" s="23" t="str">
        <f>"－"</f>
        <v>－</v>
      </c>
      <c r="P1392" s="3" t="s">
        <v>2507</v>
      </c>
      <c r="Q1392" s="21"/>
      <c r="R1392" s="3" t="s">
        <v>247</v>
      </c>
      <c r="S1392" s="21" t="n">
        <f>20232051</f>
        <v>2.0232051E7</v>
      </c>
      <c r="T1392" s="21" t="str">
        <f>"－"</f>
        <v>－</v>
      </c>
      <c r="U1392" s="5" t="s">
        <v>1075</v>
      </c>
      <c r="V1392" s="23" t="n">
        <f>356738000</f>
        <v>3.56738E8</v>
      </c>
      <c r="W1392" s="5" t="s">
        <v>1495</v>
      </c>
      <c r="X1392" s="23" t="str">
        <f>"－"</f>
        <v>－</v>
      </c>
      <c r="Y1392" s="23" t="n">
        <f>11289</f>
        <v>11289.0</v>
      </c>
      <c r="Z1392" s="21" t="str">
        <f>"－"</f>
        <v>－</v>
      </c>
      <c r="AA1392" s="21" t="n">
        <f>5113</f>
        <v>5113.0</v>
      </c>
      <c r="AB1392" s="4" t="s">
        <v>1524</v>
      </c>
      <c r="AC1392" s="22" t="n">
        <f>28807</f>
        <v>28807.0</v>
      </c>
      <c r="AD1392" s="5" t="s">
        <v>146</v>
      </c>
      <c r="AE1392" s="23" t="n">
        <f>1035</f>
        <v>1035.0</v>
      </c>
    </row>
    <row r="1393">
      <c r="A1393" s="24" t="s">
        <v>2478</v>
      </c>
      <c r="B1393" s="25" t="s">
        <v>2479</v>
      </c>
      <c r="C1393" s="26" t="s">
        <v>1748</v>
      </c>
      <c r="D1393" s="27" t="s">
        <v>1749</v>
      </c>
      <c r="E1393" s="28" t="s">
        <v>351</v>
      </c>
      <c r="F1393" s="20" t="n">
        <f>120</f>
        <v>120.0</v>
      </c>
      <c r="G1393" s="21" t="n">
        <f>99326</f>
        <v>99326.0</v>
      </c>
      <c r="H1393" s="21"/>
      <c r="I1393" s="21" t="str">
        <f>"－"</f>
        <v>－</v>
      </c>
      <c r="J1393" s="21" t="n">
        <f>828</f>
        <v>828.0</v>
      </c>
      <c r="K1393" s="21" t="str">
        <f>"－"</f>
        <v>－</v>
      </c>
      <c r="L1393" s="4" t="s">
        <v>260</v>
      </c>
      <c r="M1393" s="22" t="n">
        <f>12138</f>
        <v>12138.0</v>
      </c>
      <c r="N1393" s="5" t="s">
        <v>65</v>
      </c>
      <c r="O1393" s="23" t="str">
        <f>"－"</f>
        <v>－</v>
      </c>
      <c r="P1393" s="3" t="s">
        <v>2508</v>
      </c>
      <c r="Q1393" s="21"/>
      <c r="R1393" s="3" t="s">
        <v>247</v>
      </c>
      <c r="S1393" s="21" t="n">
        <f>25274373</f>
        <v>2.5274373E7</v>
      </c>
      <c r="T1393" s="21" t="str">
        <f>"－"</f>
        <v>－</v>
      </c>
      <c r="U1393" s="5" t="s">
        <v>828</v>
      </c>
      <c r="V1393" s="23" t="n">
        <f>861999500</f>
        <v>8.619995E8</v>
      </c>
      <c r="W1393" s="5" t="s">
        <v>65</v>
      </c>
      <c r="X1393" s="23" t="str">
        <f>"－"</f>
        <v>－</v>
      </c>
      <c r="Y1393" s="23" t="n">
        <f>13929</f>
        <v>13929.0</v>
      </c>
      <c r="Z1393" s="21" t="str">
        <f>"－"</f>
        <v>－</v>
      </c>
      <c r="AA1393" s="21" t="n">
        <f>9149</f>
        <v>9149.0</v>
      </c>
      <c r="AB1393" s="4" t="s">
        <v>54</v>
      </c>
      <c r="AC1393" s="22" t="n">
        <f>57082</f>
        <v>57082.0</v>
      </c>
      <c r="AD1393" s="5" t="s">
        <v>146</v>
      </c>
      <c r="AE1393" s="23" t="n">
        <f>4756</f>
        <v>4756.0</v>
      </c>
    </row>
    <row r="1394">
      <c r="A1394" s="24" t="s">
        <v>2478</v>
      </c>
      <c r="B1394" s="25" t="s">
        <v>2479</v>
      </c>
      <c r="C1394" s="26" t="s">
        <v>1752</v>
      </c>
      <c r="D1394" s="27" t="s">
        <v>1753</v>
      </c>
      <c r="E1394" s="28" t="s">
        <v>351</v>
      </c>
      <c r="F1394" s="20" t="n">
        <f>120</f>
        <v>120.0</v>
      </c>
      <c r="G1394" s="21" t="n">
        <f>170270</f>
        <v>170270.0</v>
      </c>
      <c r="H1394" s="21"/>
      <c r="I1394" s="21" t="str">
        <f>"－"</f>
        <v>－</v>
      </c>
      <c r="J1394" s="21" t="n">
        <f>1419</f>
        <v>1419.0</v>
      </c>
      <c r="K1394" s="21" t="str">
        <f>"－"</f>
        <v>－</v>
      </c>
      <c r="L1394" s="4" t="s">
        <v>260</v>
      </c>
      <c r="M1394" s="22" t="n">
        <f>12228</f>
        <v>12228.0</v>
      </c>
      <c r="N1394" s="5" t="s">
        <v>65</v>
      </c>
      <c r="O1394" s="23" t="str">
        <f>"－"</f>
        <v>－</v>
      </c>
      <c r="P1394" s="3" t="s">
        <v>2509</v>
      </c>
      <c r="Q1394" s="21"/>
      <c r="R1394" s="3" t="s">
        <v>247</v>
      </c>
      <c r="S1394" s="21" t="n">
        <f>45506424</f>
        <v>4.5506424E7</v>
      </c>
      <c r="T1394" s="21" t="str">
        <f>"－"</f>
        <v>－</v>
      </c>
      <c r="U1394" s="5" t="s">
        <v>828</v>
      </c>
      <c r="V1394" s="23" t="n">
        <f>862804500</f>
        <v>8.628045E8</v>
      </c>
      <c r="W1394" s="5" t="s">
        <v>65</v>
      </c>
      <c r="X1394" s="23" t="str">
        <f>"－"</f>
        <v>－</v>
      </c>
      <c r="Y1394" s="23" t="n">
        <f>25218</f>
        <v>25218.0</v>
      </c>
      <c r="Z1394" s="21" t="str">
        <f>"－"</f>
        <v>－</v>
      </c>
      <c r="AA1394" s="21" t="n">
        <f>14262</f>
        <v>14262.0</v>
      </c>
      <c r="AB1394" s="4" t="s">
        <v>54</v>
      </c>
      <c r="AC1394" s="22" t="n">
        <f>77373</f>
        <v>77373.0</v>
      </c>
      <c r="AD1394" s="5" t="s">
        <v>146</v>
      </c>
      <c r="AE1394" s="23" t="n">
        <f>5791</f>
        <v>5791.0</v>
      </c>
    </row>
    <row r="1395">
      <c r="A1395" s="24" t="s">
        <v>2478</v>
      </c>
      <c r="B1395" s="25" t="s">
        <v>2479</v>
      </c>
      <c r="C1395" s="26" t="s">
        <v>1744</v>
      </c>
      <c r="D1395" s="27" t="s">
        <v>1745</v>
      </c>
      <c r="E1395" s="28" t="s">
        <v>355</v>
      </c>
      <c r="F1395" s="20" t="n">
        <f>126</f>
        <v>126.0</v>
      </c>
      <c r="G1395" s="21" t="n">
        <f>51568</f>
        <v>51568.0</v>
      </c>
      <c r="H1395" s="21"/>
      <c r="I1395" s="21" t="str">
        <f>"－"</f>
        <v>－</v>
      </c>
      <c r="J1395" s="21" t="n">
        <f>409</f>
        <v>409.0</v>
      </c>
      <c r="K1395" s="21" t="str">
        <f>"－"</f>
        <v>－</v>
      </c>
      <c r="L1395" s="4" t="s">
        <v>1162</v>
      </c>
      <c r="M1395" s="22" t="n">
        <f>4527</f>
        <v>4527.0</v>
      </c>
      <c r="N1395" s="5" t="s">
        <v>151</v>
      </c>
      <c r="O1395" s="23" t="str">
        <f>"－"</f>
        <v>－</v>
      </c>
      <c r="P1395" s="3" t="s">
        <v>2510</v>
      </c>
      <c r="Q1395" s="21"/>
      <c r="R1395" s="3" t="s">
        <v>247</v>
      </c>
      <c r="S1395" s="21" t="n">
        <f>7278112</f>
        <v>7278112.0</v>
      </c>
      <c r="T1395" s="21" t="str">
        <f>"－"</f>
        <v>－</v>
      </c>
      <c r="U1395" s="5" t="s">
        <v>848</v>
      </c>
      <c r="V1395" s="23" t="n">
        <f>61764500</f>
        <v>6.17645E7</v>
      </c>
      <c r="W1395" s="5" t="s">
        <v>151</v>
      </c>
      <c r="X1395" s="23" t="str">
        <f>"－"</f>
        <v>－</v>
      </c>
      <c r="Y1395" s="23" t="n">
        <f>12677</f>
        <v>12677.0</v>
      </c>
      <c r="Z1395" s="21" t="str">
        <f>"－"</f>
        <v>－</v>
      </c>
      <c r="AA1395" s="21" t="n">
        <f>5529</f>
        <v>5529.0</v>
      </c>
      <c r="AB1395" s="4" t="s">
        <v>213</v>
      </c>
      <c r="AC1395" s="22" t="n">
        <f>23094</f>
        <v>23094.0</v>
      </c>
      <c r="AD1395" s="5" t="s">
        <v>144</v>
      </c>
      <c r="AE1395" s="23" t="n">
        <f>965</f>
        <v>965.0</v>
      </c>
    </row>
    <row r="1396">
      <c r="A1396" s="24" t="s">
        <v>2478</v>
      </c>
      <c r="B1396" s="25" t="s">
        <v>2479</v>
      </c>
      <c r="C1396" s="26" t="s">
        <v>1748</v>
      </c>
      <c r="D1396" s="27" t="s">
        <v>1749</v>
      </c>
      <c r="E1396" s="28" t="s">
        <v>355</v>
      </c>
      <c r="F1396" s="20" t="n">
        <f>126</f>
        <v>126.0</v>
      </c>
      <c r="G1396" s="21" t="n">
        <f>116922</f>
        <v>116922.0</v>
      </c>
      <c r="H1396" s="21"/>
      <c r="I1396" s="21" t="str">
        <f>"－"</f>
        <v>－</v>
      </c>
      <c r="J1396" s="21" t="n">
        <f>928</f>
        <v>928.0</v>
      </c>
      <c r="K1396" s="21" t="str">
        <f>"－"</f>
        <v>－</v>
      </c>
      <c r="L1396" s="4" t="s">
        <v>931</v>
      </c>
      <c r="M1396" s="22" t="n">
        <f>13081</f>
        <v>13081.0</v>
      </c>
      <c r="N1396" s="5" t="s">
        <v>1546</v>
      </c>
      <c r="O1396" s="23" t="str">
        <f>"－"</f>
        <v>－</v>
      </c>
      <c r="P1396" s="3" t="s">
        <v>2511</v>
      </c>
      <c r="Q1396" s="21"/>
      <c r="R1396" s="3" t="s">
        <v>247</v>
      </c>
      <c r="S1396" s="21" t="n">
        <f>10432068</f>
        <v>1.0432068E7</v>
      </c>
      <c r="T1396" s="21" t="str">
        <f>"－"</f>
        <v>－</v>
      </c>
      <c r="U1396" s="5" t="s">
        <v>1295</v>
      </c>
      <c r="V1396" s="23" t="n">
        <f>248285000</f>
        <v>2.48285E8</v>
      </c>
      <c r="W1396" s="5" t="s">
        <v>1546</v>
      </c>
      <c r="X1396" s="23" t="str">
        <f>"－"</f>
        <v>－</v>
      </c>
      <c r="Y1396" s="23" t="n">
        <f>5462</f>
        <v>5462.0</v>
      </c>
      <c r="Z1396" s="21" t="str">
        <f>"－"</f>
        <v>－</v>
      </c>
      <c r="AA1396" s="21" t="n">
        <f>32211</f>
        <v>32211.0</v>
      </c>
      <c r="AB1396" s="4" t="s">
        <v>227</v>
      </c>
      <c r="AC1396" s="22" t="n">
        <f>50683</f>
        <v>50683.0</v>
      </c>
      <c r="AD1396" s="5" t="s">
        <v>319</v>
      </c>
      <c r="AE1396" s="23" t="n">
        <f>4972</f>
        <v>4972.0</v>
      </c>
    </row>
    <row r="1397">
      <c r="A1397" s="24" t="s">
        <v>2478</v>
      </c>
      <c r="B1397" s="25" t="s">
        <v>2479</v>
      </c>
      <c r="C1397" s="26" t="s">
        <v>1752</v>
      </c>
      <c r="D1397" s="27" t="s">
        <v>1753</v>
      </c>
      <c r="E1397" s="28" t="s">
        <v>355</v>
      </c>
      <c r="F1397" s="20" t="n">
        <f>126</f>
        <v>126.0</v>
      </c>
      <c r="G1397" s="21" t="n">
        <f>168490</f>
        <v>168490.0</v>
      </c>
      <c r="H1397" s="21"/>
      <c r="I1397" s="21" t="str">
        <f>"－"</f>
        <v>－</v>
      </c>
      <c r="J1397" s="21" t="n">
        <f>1337</f>
        <v>1337.0</v>
      </c>
      <c r="K1397" s="21" t="str">
        <f>"－"</f>
        <v>－</v>
      </c>
      <c r="L1397" s="4" t="s">
        <v>931</v>
      </c>
      <c r="M1397" s="22" t="n">
        <f>13520</f>
        <v>13520.0</v>
      </c>
      <c r="N1397" s="5" t="s">
        <v>1137</v>
      </c>
      <c r="O1397" s="23" t="str">
        <f>"－"</f>
        <v>－</v>
      </c>
      <c r="P1397" s="3" t="s">
        <v>2512</v>
      </c>
      <c r="Q1397" s="21"/>
      <c r="R1397" s="3" t="s">
        <v>247</v>
      </c>
      <c r="S1397" s="21" t="n">
        <f>17710180</f>
        <v>1.771018E7</v>
      </c>
      <c r="T1397" s="21" t="str">
        <f>"－"</f>
        <v>－</v>
      </c>
      <c r="U1397" s="5" t="s">
        <v>1295</v>
      </c>
      <c r="V1397" s="23" t="n">
        <f>269095000</f>
        <v>2.69095E8</v>
      </c>
      <c r="W1397" s="5" t="s">
        <v>1137</v>
      </c>
      <c r="X1397" s="23" t="str">
        <f>"－"</f>
        <v>－</v>
      </c>
      <c r="Y1397" s="23" t="n">
        <f>18139</f>
        <v>18139.0</v>
      </c>
      <c r="Z1397" s="21" t="str">
        <f>"－"</f>
        <v>－</v>
      </c>
      <c r="AA1397" s="21" t="n">
        <f>37740</f>
        <v>37740.0</v>
      </c>
      <c r="AB1397" s="4" t="s">
        <v>525</v>
      </c>
      <c r="AC1397" s="22" t="n">
        <f>60779</f>
        <v>60779.0</v>
      </c>
      <c r="AD1397" s="5" t="s">
        <v>319</v>
      </c>
      <c r="AE1397" s="23" t="n">
        <f>13952</f>
        <v>13952.0</v>
      </c>
    </row>
    <row r="1398">
      <c r="A1398" s="24" t="s">
        <v>2478</v>
      </c>
      <c r="B1398" s="25" t="s">
        <v>2479</v>
      </c>
      <c r="C1398" s="26" t="s">
        <v>1744</v>
      </c>
      <c r="D1398" s="27" t="s">
        <v>1745</v>
      </c>
      <c r="E1398" s="28" t="s">
        <v>358</v>
      </c>
      <c r="F1398" s="20" t="n">
        <f>120</f>
        <v>120.0</v>
      </c>
      <c r="G1398" s="21" t="n">
        <f>33609</f>
        <v>33609.0</v>
      </c>
      <c r="H1398" s="21"/>
      <c r="I1398" s="21" t="str">
        <f>"－"</f>
        <v>－</v>
      </c>
      <c r="J1398" s="21" t="n">
        <f>280</f>
        <v>280.0</v>
      </c>
      <c r="K1398" s="21" t="str">
        <f>"－"</f>
        <v>－</v>
      </c>
      <c r="L1398" s="4" t="s">
        <v>1524</v>
      </c>
      <c r="M1398" s="22" t="n">
        <f>3100</f>
        <v>3100.0</v>
      </c>
      <c r="N1398" s="5" t="s">
        <v>828</v>
      </c>
      <c r="O1398" s="23" t="str">
        <f>"－"</f>
        <v>－</v>
      </c>
      <c r="P1398" s="3" t="s">
        <v>2513</v>
      </c>
      <c r="Q1398" s="21"/>
      <c r="R1398" s="3" t="s">
        <v>247</v>
      </c>
      <c r="S1398" s="21" t="n">
        <f>4175962</f>
        <v>4175962.0</v>
      </c>
      <c r="T1398" s="21" t="str">
        <f>"－"</f>
        <v>－</v>
      </c>
      <c r="U1398" s="5" t="s">
        <v>582</v>
      </c>
      <c r="V1398" s="23" t="n">
        <f>99685000</f>
        <v>9.9685E7</v>
      </c>
      <c r="W1398" s="5" t="s">
        <v>828</v>
      </c>
      <c r="X1398" s="23" t="str">
        <f>"－"</f>
        <v>－</v>
      </c>
      <c r="Y1398" s="23" t="n">
        <f>10443</f>
        <v>10443.0</v>
      </c>
      <c r="Z1398" s="21" t="str">
        <f>"－"</f>
        <v>－</v>
      </c>
      <c r="AA1398" s="21" t="n">
        <f>5536</f>
        <v>5536.0</v>
      </c>
      <c r="AB1398" s="4" t="s">
        <v>90</v>
      </c>
      <c r="AC1398" s="22" t="n">
        <f>10655</f>
        <v>10655.0</v>
      </c>
      <c r="AD1398" s="5" t="s">
        <v>54</v>
      </c>
      <c r="AE1398" s="23" t="n">
        <f>2450</f>
        <v>2450.0</v>
      </c>
    </row>
    <row r="1399">
      <c r="A1399" s="24" t="s">
        <v>2478</v>
      </c>
      <c r="B1399" s="25" t="s">
        <v>2479</v>
      </c>
      <c r="C1399" s="26" t="s">
        <v>1748</v>
      </c>
      <c r="D1399" s="27" t="s">
        <v>1749</v>
      </c>
      <c r="E1399" s="28" t="s">
        <v>358</v>
      </c>
      <c r="F1399" s="20" t="n">
        <f>120</f>
        <v>120.0</v>
      </c>
      <c r="G1399" s="21" t="n">
        <f>98662</f>
        <v>98662.0</v>
      </c>
      <c r="H1399" s="21"/>
      <c r="I1399" s="21" t="str">
        <f>"－"</f>
        <v>－</v>
      </c>
      <c r="J1399" s="21" t="n">
        <f>822</f>
        <v>822.0</v>
      </c>
      <c r="K1399" s="21" t="str">
        <f>"－"</f>
        <v>－</v>
      </c>
      <c r="L1399" s="4" t="s">
        <v>138</v>
      </c>
      <c r="M1399" s="22" t="n">
        <f>10212</f>
        <v>10212.0</v>
      </c>
      <c r="N1399" s="5" t="s">
        <v>221</v>
      </c>
      <c r="O1399" s="23" t="str">
        <f>"－"</f>
        <v>－</v>
      </c>
      <c r="P1399" s="3" t="s">
        <v>2514</v>
      </c>
      <c r="Q1399" s="21"/>
      <c r="R1399" s="3" t="s">
        <v>247</v>
      </c>
      <c r="S1399" s="21" t="n">
        <f>4842117</f>
        <v>4842117.0</v>
      </c>
      <c r="T1399" s="21" t="str">
        <f>"－"</f>
        <v>－</v>
      </c>
      <c r="U1399" s="5" t="s">
        <v>603</v>
      </c>
      <c r="V1399" s="23" t="n">
        <f>47519600</f>
        <v>4.75196E7</v>
      </c>
      <c r="W1399" s="5" t="s">
        <v>221</v>
      </c>
      <c r="X1399" s="23" t="str">
        <f>"－"</f>
        <v>－</v>
      </c>
      <c r="Y1399" s="23" t="n">
        <f>11223</f>
        <v>11223.0</v>
      </c>
      <c r="Z1399" s="21" t="str">
        <f>"－"</f>
        <v>－</v>
      </c>
      <c r="AA1399" s="21" t="n">
        <f>7503</f>
        <v>7503.0</v>
      </c>
      <c r="AB1399" s="4" t="s">
        <v>241</v>
      </c>
      <c r="AC1399" s="22" t="n">
        <f>50183</f>
        <v>50183.0</v>
      </c>
      <c r="AD1399" s="5" t="s">
        <v>116</v>
      </c>
      <c r="AE1399" s="23" t="n">
        <f>2076</f>
        <v>2076.0</v>
      </c>
    </row>
    <row r="1400">
      <c r="A1400" s="24" t="s">
        <v>2478</v>
      </c>
      <c r="B1400" s="25" t="s">
        <v>2479</v>
      </c>
      <c r="C1400" s="26" t="s">
        <v>1752</v>
      </c>
      <c r="D1400" s="27" t="s">
        <v>1753</v>
      </c>
      <c r="E1400" s="28" t="s">
        <v>358</v>
      </c>
      <c r="F1400" s="20" t="n">
        <f>120</f>
        <v>120.0</v>
      </c>
      <c r="G1400" s="21" t="n">
        <f>132271</f>
        <v>132271.0</v>
      </c>
      <c r="H1400" s="21"/>
      <c r="I1400" s="21" t="str">
        <f>"－"</f>
        <v>－</v>
      </c>
      <c r="J1400" s="21" t="n">
        <f>1102</f>
        <v>1102.0</v>
      </c>
      <c r="K1400" s="21" t="str">
        <f>"－"</f>
        <v>－</v>
      </c>
      <c r="L1400" s="4" t="s">
        <v>138</v>
      </c>
      <c r="M1400" s="22" t="n">
        <f>11022</f>
        <v>11022.0</v>
      </c>
      <c r="N1400" s="5" t="s">
        <v>250</v>
      </c>
      <c r="O1400" s="23" t="str">
        <f>"－"</f>
        <v>－</v>
      </c>
      <c r="P1400" s="3" t="s">
        <v>2515</v>
      </c>
      <c r="Q1400" s="21"/>
      <c r="R1400" s="3" t="s">
        <v>247</v>
      </c>
      <c r="S1400" s="21" t="n">
        <f>9018078</f>
        <v>9018078.0</v>
      </c>
      <c r="T1400" s="21" t="str">
        <f>"－"</f>
        <v>－</v>
      </c>
      <c r="U1400" s="5" t="s">
        <v>582</v>
      </c>
      <c r="V1400" s="23" t="n">
        <f>107031000</f>
        <v>1.07031E8</v>
      </c>
      <c r="W1400" s="5" t="s">
        <v>250</v>
      </c>
      <c r="X1400" s="23" t="str">
        <f>"－"</f>
        <v>－</v>
      </c>
      <c r="Y1400" s="23" t="n">
        <f>21666</f>
        <v>21666.0</v>
      </c>
      <c r="Z1400" s="21" t="str">
        <f>"－"</f>
        <v>－</v>
      </c>
      <c r="AA1400" s="21" t="n">
        <f>13039</f>
        <v>13039.0</v>
      </c>
      <c r="AB1400" s="4" t="s">
        <v>241</v>
      </c>
      <c r="AC1400" s="22" t="n">
        <f>59412</f>
        <v>59412.0</v>
      </c>
      <c r="AD1400" s="5" t="s">
        <v>116</v>
      </c>
      <c r="AE1400" s="23" t="n">
        <f>5537</f>
        <v>5537.0</v>
      </c>
    </row>
    <row r="1401">
      <c r="A1401" s="24" t="s">
        <v>2478</v>
      </c>
      <c r="B1401" s="25" t="s">
        <v>2479</v>
      </c>
      <c r="C1401" s="26" t="s">
        <v>1744</v>
      </c>
      <c r="D1401" s="27" t="s">
        <v>1745</v>
      </c>
      <c r="E1401" s="28" t="s">
        <v>361</v>
      </c>
      <c r="F1401" s="20" t="n">
        <f>126</f>
        <v>126.0</v>
      </c>
      <c r="G1401" s="21" t="n">
        <f>64974</f>
        <v>64974.0</v>
      </c>
      <c r="H1401" s="21"/>
      <c r="I1401" s="21" t="str">
        <f>"－"</f>
        <v>－</v>
      </c>
      <c r="J1401" s="21" t="n">
        <f>516</f>
        <v>516.0</v>
      </c>
      <c r="K1401" s="21" t="str">
        <f>"－"</f>
        <v>－</v>
      </c>
      <c r="L1401" s="4" t="s">
        <v>317</v>
      </c>
      <c r="M1401" s="22" t="n">
        <f>15555</f>
        <v>15555.0</v>
      </c>
      <c r="N1401" s="5" t="s">
        <v>58</v>
      </c>
      <c r="O1401" s="23" t="str">
        <f>"－"</f>
        <v>－</v>
      </c>
      <c r="P1401" s="3" t="s">
        <v>2516</v>
      </c>
      <c r="Q1401" s="21"/>
      <c r="R1401" s="3" t="s">
        <v>247</v>
      </c>
      <c r="S1401" s="21" t="n">
        <f>3366040</f>
        <v>3366040.0</v>
      </c>
      <c r="T1401" s="21" t="str">
        <f>"－"</f>
        <v>－</v>
      </c>
      <c r="U1401" s="5" t="s">
        <v>936</v>
      </c>
      <c r="V1401" s="23" t="n">
        <f>120966550</f>
        <v>1.2096655E8</v>
      </c>
      <c r="W1401" s="5" t="s">
        <v>58</v>
      </c>
      <c r="X1401" s="23" t="str">
        <f>"－"</f>
        <v>－</v>
      </c>
      <c r="Y1401" s="23" t="n">
        <f>4992</f>
        <v>4992.0</v>
      </c>
      <c r="Z1401" s="21" t="str">
        <f>"－"</f>
        <v>－</v>
      </c>
      <c r="AA1401" s="21" t="n">
        <f>3104</f>
        <v>3104.0</v>
      </c>
      <c r="AB1401" s="4" t="s">
        <v>1295</v>
      </c>
      <c r="AC1401" s="22" t="n">
        <f>23663</f>
        <v>23663.0</v>
      </c>
      <c r="AD1401" s="5" t="s">
        <v>61</v>
      </c>
      <c r="AE1401" s="23" t="n">
        <f>1622</f>
        <v>1622.0</v>
      </c>
    </row>
    <row r="1402">
      <c r="A1402" s="24" t="s">
        <v>2478</v>
      </c>
      <c r="B1402" s="25" t="s">
        <v>2479</v>
      </c>
      <c r="C1402" s="26" t="s">
        <v>1748</v>
      </c>
      <c r="D1402" s="27" t="s">
        <v>1749</v>
      </c>
      <c r="E1402" s="28" t="s">
        <v>361</v>
      </c>
      <c r="F1402" s="20" t="n">
        <f>126</f>
        <v>126.0</v>
      </c>
      <c r="G1402" s="21" t="n">
        <f>123562</f>
        <v>123562.0</v>
      </c>
      <c r="H1402" s="21"/>
      <c r="I1402" s="21" t="str">
        <f>"－"</f>
        <v>－</v>
      </c>
      <c r="J1402" s="21" t="n">
        <f>981</f>
        <v>981.0</v>
      </c>
      <c r="K1402" s="21" t="str">
        <f>"－"</f>
        <v>－</v>
      </c>
      <c r="L1402" s="4" t="s">
        <v>936</v>
      </c>
      <c r="M1402" s="22" t="n">
        <f>15180</f>
        <v>15180.0</v>
      </c>
      <c r="N1402" s="5" t="s">
        <v>364</v>
      </c>
      <c r="O1402" s="23" t="str">
        <f>"－"</f>
        <v>－</v>
      </c>
      <c r="P1402" s="3" t="s">
        <v>2517</v>
      </c>
      <c r="Q1402" s="21"/>
      <c r="R1402" s="3" t="s">
        <v>247</v>
      </c>
      <c r="S1402" s="21" t="n">
        <f>6392873</f>
        <v>6392873.0</v>
      </c>
      <c r="T1402" s="21" t="str">
        <f>"－"</f>
        <v>－</v>
      </c>
      <c r="U1402" s="5" t="s">
        <v>317</v>
      </c>
      <c r="V1402" s="23" t="n">
        <f>129352950</f>
        <v>1.2935295E8</v>
      </c>
      <c r="W1402" s="5" t="s">
        <v>364</v>
      </c>
      <c r="X1402" s="23" t="str">
        <f>"－"</f>
        <v>－</v>
      </c>
      <c r="Y1402" s="23" t="n">
        <f>18445</f>
        <v>18445.0</v>
      </c>
      <c r="Z1402" s="21" t="str">
        <f>"－"</f>
        <v>－</v>
      </c>
      <c r="AA1402" s="21" t="n">
        <f>28320</f>
        <v>28320.0</v>
      </c>
      <c r="AB1402" s="4" t="s">
        <v>213</v>
      </c>
      <c r="AC1402" s="22" t="n">
        <f>37664</f>
        <v>37664.0</v>
      </c>
      <c r="AD1402" s="5" t="s">
        <v>335</v>
      </c>
      <c r="AE1402" s="23" t="n">
        <f>7932</f>
        <v>7932.0</v>
      </c>
    </row>
    <row r="1403">
      <c r="A1403" s="24" t="s">
        <v>2478</v>
      </c>
      <c r="B1403" s="25" t="s">
        <v>2479</v>
      </c>
      <c r="C1403" s="26" t="s">
        <v>1752</v>
      </c>
      <c r="D1403" s="27" t="s">
        <v>1753</v>
      </c>
      <c r="E1403" s="28" t="s">
        <v>361</v>
      </c>
      <c r="F1403" s="20" t="n">
        <f>126</f>
        <v>126.0</v>
      </c>
      <c r="G1403" s="21" t="n">
        <f>188536</f>
        <v>188536.0</v>
      </c>
      <c r="H1403" s="21"/>
      <c r="I1403" s="21" t="str">
        <f>"－"</f>
        <v>－</v>
      </c>
      <c r="J1403" s="21" t="n">
        <f>1496</f>
        <v>1496.0</v>
      </c>
      <c r="K1403" s="21" t="str">
        <f>"－"</f>
        <v>－</v>
      </c>
      <c r="L1403" s="4" t="s">
        <v>317</v>
      </c>
      <c r="M1403" s="22" t="n">
        <f>30684</f>
        <v>30684.0</v>
      </c>
      <c r="N1403" s="5" t="s">
        <v>398</v>
      </c>
      <c r="O1403" s="23" t="str">
        <f>"－"</f>
        <v>－</v>
      </c>
      <c r="P1403" s="3" t="s">
        <v>2518</v>
      </c>
      <c r="Q1403" s="21"/>
      <c r="R1403" s="3" t="s">
        <v>247</v>
      </c>
      <c r="S1403" s="21" t="n">
        <f>9758912</f>
        <v>9758912.0</v>
      </c>
      <c r="T1403" s="21" t="str">
        <f>"－"</f>
        <v>－</v>
      </c>
      <c r="U1403" s="5" t="s">
        <v>936</v>
      </c>
      <c r="V1403" s="23" t="n">
        <f>248335150</f>
        <v>2.4833515E8</v>
      </c>
      <c r="W1403" s="5" t="s">
        <v>398</v>
      </c>
      <c r="X1403" s="23" t="str">
        <f>"－"</f>
        <v>－</v>
      </c>
      <c r="Y1403" s="23" t="n">
        <f>23437</f>
        <v>23437.0</v>
      </c>
      <c r="Z1403" s="21" t="str">
        <f>"－"</f>
        <v>－</v>
      </c>
      <c r="AA1403" s="21" t="n">
        <f>31424</f>
        <v>31424.0</v>
      </c>
      <c r="AB1403" s="4" t="s">
        <v>213</v>
      </c>
      <c r="AC1403" s="22" t="n">
        <f>61327</f>
        <v>61327.0</v>
      </c>
      <c r="AD1403" s="5" t="s">
        <v>335</v>
      </c>
      <c r="AE1403" s="23" t="n">
        <f>13802</f>
        <v>13802.0</v>
      </c>
    </row>
    <row r="1404">
      <c r="A1404" s="24" t="s">
        <v>2478</v>
      </c>
      <c r="B1404" s="25" t="s">
        <v>2479</v>
      </c>
      <c r="C1404" s="26" t="s">
        <v>1744</v>
      </c>
      <c r="D1404" s="27" t="s">
        <v>1745</v>
      </c>
      <c r="E1404" s="28" t="s">
        <v>365</v>
      </c>
      <c r="F1404" s="20" t="n">
        <f>122</f>
        <v>122.0</v>
      </c>
      <c r="G1404" s="21" t="n">
        <f>28088</f>
        <v>28088.0</v>
      </c>
      <c r="H1404" s="21"/>
      <c r="I1404" s="21" t="str">
        <f>"－"</f>
        <v>－</v>
      </c>
      <c r="J1404" s="21" t="n">
        <f>230</f>
        <v>230.0</v>
      </c>
      <c r="K1404" s="21" t="str">
        <f>"－"</f>
        <v>－</v>
      </c>
      <c r="L1404" s="4" t="s">
        <v>1147</v>
      </c>
      <c r="M1404" s="22" t="n">
        <f>2020</f>
        <v>2020.0</v>
      </c>
      <c r="N1404" s="5" t="s">
        <v>277</v>
      </c>
      <c r="O1404" s="23" t="str">
        <f>"－"</f>
        <v>－</v>
      </c>
      <c r="P1404" s="3" t="s">
        <v>2519</v>
      </c>
      <c r="Q1404" s="21"/>
      <c r="R1404" s="3" t="s">
        <v>247</v>
      </c>
      <c r="S1404" s="21" t="n">
        <f>2676117</f>
        <v>2676117.0</v>
      </c>
      <c r="T1404" s="21" t="str">
        <f>"－"</f>
        <v>－</v>
      </c>
      <c r="U1404" s="5" t="s">
        <v>1147</v>
      </c>
      <c r="V1404" s="23" t="n">
        <f>33120000</f>
        <v>3.312E7</v>
      </c>
      <c r="W1404" s="5" t="s">
        <v>277</v>
      </c>
      <c r="X1404" s="23" t="str">
        <f>"－"</f>
        <v>－</v>
      </c>
      <c r="Y1404" s="23" t="n">
        <f>2860</f>
        <v>2860.0</v>
      </c>
      <c r="Z1404" s="21" t="str">
        <f>"－"</f>
        <v>－</v>
      </c>
      <c r="AA1404" s="21" t="n">
        <f>4046</f>
        <v>4046.0</v>
      </c>
      <c r="AB1404" s="4" t="s">
        <v>641</v>
      </c>
      <c r="AC1404" s="22" t="n">
        <f>8370</f>
        <v>8370.0</v>
      </c>
      <c r="AD1404" s="5" t="s">
        <v>197</v>
      </c>
      <c r="AE1404" s="23" t="n">
        <f>1657</f>
        <v>1657.0</v>
      </c>
    </row>
    <row r="1405">
      <c r="A1405" s="24" t="s">
        <v>2478</v>
      </c>
      <c r="B1405" s="25" t="s">
        <v>2479</v>
      </c>
      <c r="C1405" s="26" t="s">
        <v>1748</v>
      </c>
      <c r="D1405" s="27" t="s">
        <v>1749</v>
      </c>
      <c r="E1405" s="28" t="s">
        <v>365</v>
      </c>
      <c r="F1405" s="20" t="n">
        <f>122</f>
        <v>122.0</v>
      </c>
      <c r="G1405" s="21" t="n">
        <f>79514</f>
        <v>79514.0</v>
      </c>
      <c r="H1405" s="21"/>
      <c r="I1405" s="21" t="str">
        <f>"－"</f>
        <v>－</v>
      </c>
      <c r="J1405" s="21" t="n">
        <f>652</f>
        <v>652.0</v>
      </c>
      <c r="K1405" s="21" t="str">
        <f>"－"</f>
        <v>－</v>
      </c>
      <c r="L1405" s="4" t="s">
        <v>2074</v>
      </c>
      <c r="M1405" s="22" t="n">
        <f>23520</f>
        <v>23520.0</v>
      </c>
      <c r="N1405" s="5" t="s">
        <v>221</v>
      </c>
      <c r="O1405" s="23" t="str">
        <f>"－"</f>
        <v>－</v>
      </c>
      <c r="P1405" s="3" t="s">
        <v>2520</v>
      </c>
      <c r="Q1405" s="21"/>
      <c r="R1405" s="3" t="s">
        <v>247</v>
      </c>
      <c r="S1405" s="21" t="n">
        <f>9792935</f>
        <v>9792935.0</v>
      </c>
      <c r="T1405" s="21" t="str">
        <f>"－"</f>
        <v>－</v>
      </c>
      <c r="U1405" s="5" t="s">
        <v>2074</v>
      </c>
      <c r="V1405" s="23" t="n">
        <f>408671500</f>
        <v>4.086715E8</v>
      </c>
      <c r="W1405" s="5" t="s">
        <v>221</v>
      </c>
      <c r="X1405" s="23" t="str">
        <f>"－"</f>
        <v>－</v>
      </c>
      <c r="Y1405" s="23" t="n">
        <f>9621</f>
        <v>9621.0</v>
      </c>
      <c r="Z1405" s="21" t="str">
        <f>"－"</f>
        <v>－</v>
      </c>
      <c r="AA1405" s="21" t="n">
        <f>37456</f>
        <v>37456.0</v>
      </c>
      <c r="AB1405" s="4" t="s">
        <v>64</v>
      </c>
      <c r="AC1405" s="22" t="n">
        <f>46039</f>
        <v>46039.0</v>
      </c>
      <c r="AD1405" s="5" t="s">
        <v>241</v>
      </c>
      <c r="AE1405" s="23" t="n">
        <f>4340</f>
        <v>4340.0</v>
      </c>
    </row>
    <row r="1406">
      <c r="A1406" s="24" t="s">
        <v>2478</v>
      </c>
      <c r="B1406" s="25" t="s">
        <v>2479</v>
      </c>
      <c r="C1406" s="26" t="s">
        <v>1752</v>
      </c>
      <c r="D1406" s="27" t="s">
        <v>1753</v>
      </c>
      <c r="E1406" s="28" t="s">
        <v>365</v>
      </c>
      <c r="F1406" s="20" t="n">
        <f>122</f>
        <v>122.0</v>
      </c>
      <c r="G1406" s="21" t="n">
        <f>107602</f>
        <v>107602.0</v>
      </c>
      <c r="H1406" s="21"/>
      <c r="I1406" s="21" t="str">
        <f>"－"</f>
        <v>－</v>
      </c>
      <c r="J1406" s="21" t="n">
        <f>882</f>
        <v>882.0</v>
      </c>
      <c r="K1406" s="21" t="str">
        <f>"－"</f>
        <v>－</v>
      </c>
      <c r="L1406" s="4" t="s">
        <v>2074</v>
      </c>
      <c r="M1406" s="22" t="n">
        <f>23770</f>
        <v>23770.0</v>
      </c>
      <c r="N1406" s="5" t="s">
        <v>987</v>
      </c>
      <c r="O1406" s="23" t="str">
        <f>"－"</f>
        <v>－</v>
      </c>
      <c r="P1406" s="3" t="s">
        <v>2521</v>
      </c>
      <c r="Q1406" s="21"/>
      <c r="R1406" s="3" t="s">
        <v>247</v>
      </c>
      <c r="S1406" s="21" t="n">
        <f>12469052</f>
        <v>1.2469052E7</v>
      </c>
      <c r="T1406" s="21" t="str">
        <f>"－"</f>
        <v>－</v>
      </c>
      <c r="U1406" s="5" t="s">
        <v>2074</v>
      </c>
      <c r="V1406" s="23" t="n">
        <f>412021500</f>
        <v>4.120215E8</v>
      </c>
      <c r="W1406" s="5" t="s">
        <v>987</v>
      </c>
      <c r="X1406" s="23" t="str">
        <f>"－"</f>
        <v>－</v>
      </c>
      <c r="Y1406" s="23" t="n">
        <f>12481</f>
        <v>12481.0</v>
      </c>
      <c r="Z1406" s="21" t="str">
        <f>"－"</f>
        <v>－</v>
      </c>
      <c r="AA1406" s="21" t="n">
        <f>41502</f>
        <v>41502.0</v>
      </c>
      <c r="AB1406" s="4" t="s">
        <v>81</v>
      </c>
      <c r="AC1406" s="22" t="n">
        <f>52499</f>
        <v>52499.0</v>
      </c>
      <c r="AD1406" s="5" t="s">
        <v>241</v>
      </c>
      <c r="AE1406" s="23" t="n">
        <f>7823</f>
        <v>7823.0</v>
      </c>
    </row>
    <row r="1407">
      <c r="A1407" s="24" t="s">
        <v>2478</v>
      </c>
      <c r="B1407" s="25" t="s">
        <v>2479</v>
      </c>
      <c r="C1407" s="26" t="s">
        <v>1744</v>
      </c>
      <c r="D1407" s="27" t="s">
        <v>1745</v>
      </c>
      <c r="E1407" s="28" t="s">
        <v>368</v>
      </c>
      <c r="F1407" s="20" t="n">
        <f>124</f>
        <v>124.0</v>
      </c>
      <c r="G1407" s="21" t="n">
        <f>46708</f>
        <v>46708.0</v>
      </c>
      <c r="H1407" s="21"/>
      <c r="I1407" s="21" t="str">
        <f>"－"</f>
        <v>－</v>
      </c>
      <c r="J1407" s="21" t="n">
        <f>377</f>
        <v>377.0</v>
      </c>
      <c r="K1407" s="21" t="str">
        <f>"－"</f>
        <v>－</v>
      </c>
      <c r="L1407" s="4" t="s">
        <v>999</v>
      </c>
      <c r="M1407" s="22" t="n">
        <f>15704</f>
        <v>15704.0</v>
      </c>
      <c r="N1407" s="5" t="s">
        <v>216</v>
      </c>
      <c r="O1407" s="23" t="str">
        <f>"－"</f>
        <v>－</v>
      </c>
      <c r="P1407" s="3" t="s">
        <v>2522</v>
      </c>
      <c r="Q1407" s="21"/>
      <c r="R1407" s="3" t="s">
        <v>247</v>
      </c>
      <c r="S1407" s="21" t="n">
        <f>9756766</f>
        <v>9756766.0</v>
      </c>
      <c r="T1407" s="21" t="str">
        <f>"－"</f>
        <v>－</v>
      </c>
      <c r="U1407" s="5" t="s">
        <v>999</v>
      </c>
      <c r="V1407" s="23" t="n">
        <f>815874000</f>
        <v>8.15874E8</v>
      </c>
      <c r="W1407" s="5" t="s">
        <v>216</v>
      </c>
      <c r="X1407" s="23" t="str">
        <f>"－"</f>
        <v>－</v>
      </c>
      <c r="Y1407" s="23" t="n">
        <f>6656</f>
        <v>6656.0</v>
      </c>
      <c r="Z1407" s="21" t="str">
        <f>"－"</f>
        <v>－</v>
      </c>
      <c r="AA1407" s="21" t="n">
        <f>17897</f>
        <v>17897.0</v>
      </c>
      <c r="AB1407" s="4" t="s">
        <v>754</v>
      </c>
      <c r="AC1407" s="22" t="n">
        <f>17897</f>
        <v>17897.0</v>
      </c>
      <c r="AD1407" s="5" t="s">
        <v>119</v>
      </c>
      <c r="AE1407" s="23" t="n">
        <f>720</f>
        <v>720.0</v>
      </c>
    </row>
    <row r="1408">
      <c r="A1408" s="24" t="s">
        <v>2478</v>
      </c>
      <c r="B1408" s="25" t="s">
        <v>2479</v>
      </c>
      <c r="C1408" s="26" t="s">
        <v>1748</v>
      </c>
      <c r="D1408" s="27" t="s">
        <v>1749</v>
      </c>
      <c r="E1408" s="28" t="s">
        <v>368</v>
      </c>
      <c r="F1408" s="20" t="n">
        <f>124</f>
        <v>124.0</v>
      </c>
      <c r="G1408" s="21" t="n">
        <f>47432</f>
        <v>47432.0</v>
      </c>
      <c r="H1408" s="21"/>
      <c r="I1408" s="21" t="str">
        <f>"－"</f>
        <v>－</v>
      </c>
      <c r="J1408" s="21" t="n">
        <f>383</f>
        <v>383.0</v>
      </c>
      <c r="K1408" s="21" t="str">
        <f>"－"</f>
        <v>－</v>
      </c>
      <c r="L1408" s="4" t="s">
        <v>999</v>
      </c>
      <c r="M1408" s="22" t="n">
        <f>15699</f>
        <v>15699.0</v>
      </c>
      <c r="N1408" s="5" t="s">
        <v>978</v>
      </c>
      <c r="O1408" s="23" t="str">
        <f>"－"</f>
        <v>－</v>
      </c>
      <c r="P1408" s="3" t="s">
        <v>2523</v>
      </c>
      <c r="Q1408" s="21"/>
      <c r="R1408" s="3" t="s">
        <v>247</v>
      </c>
      <c r="S1408" s="21" t="n">
        <f>9447244</f>
        <v>9447244.0</v>
      </c>
      <c r="T1408" s="21" t="str">
        <f>"－"</f>
        <v>－</v>
      </c>
      <c r="U1408" s="5" t="s">
        <v>999</v>
      </c>
      <c r="V1408" s="23" t="n">
        <f>871215500</f>
        <v>8.712155E8</v>
      </c>
      <c r="W1408" s="5" t="s">
        <v>978</v>
      </c>
      <c r="X1408" s="23" t="str">
        <f>"－"</f>
        <v>－</v>
      </c>
      <c r="Y1408" s="23" t="n">
        <f>6004</f>
        <v>6004.0</v>
      </c>
      <c r="Z1408" s="21" t="str">
        <f>"－"</f>
        <v>－</v>
      </c>
      <c r="AA1408" s="21" t="n">
        <f>19581</f>
        <v>19581.0</v>
      </c>
      <c r="AB1408" s="4" t="s">
        <v>856</v>
      </c>
      <c r="AC1408" s="22" t="n">
        <f>50088</f>
        <v>50088.0</v>
      </c>
      <c r="AD1408" s="5" t="s">
        <v>119</v>
      </c>
      <c r="AE1408" s="23" t="n">
        <f>1944</f>
        <v>1944.0</v>
      </c>
    </row>
    <row r="1409">
      <c r="A1409" s="24" t="s">
        <v>2478</v>
      </c>
      <c r="B1409" s="25" t="s">
        <v>2479</v>
      </c>
      <c r="C1409" s="26" t="s">
        <v>1752</v>
      </c>
      <c r="D1409" s="27" t="s">
        <v>1753</v>
      </c>
      <c r="E1409" s="28" t="s">
        <v>368</v>
      </c>
      <c r="F1409" s="20" t="n">
        <f>124</f>
        <v>124.0</v>
      </c>
      <c r="G1409" s="21" t="n">
        <f>94140</f>
        <v>94140.0</v>
      </c>
      <c r="H1409" s="21"/>
      <c r="I1409" s="21" t="str">
        <f>"－"</f>
        <v>－</v>
      </c>
      <c r="J1409" s="21" t="n">
        <f>759</f>
        <v>759.0</v>
      </c>
      <c r="K1409" s="21" t="str">
        <f>"－"</f>
        <v>－</v>
      </c>
      <c r="L1409" s="4" t="s">
        <v>999</v>
      </c>
      <c r="M1409" s="22" t="n">
        <f>31403</f>
        <v>31403.0</v>
      </c>
      <c r="N1409" s="5" t="s">
        <v>216</v>
      </c>
      <c r="O1409" s="23" t="str">
        <f>"－"</f>
        <v>－</v>
      </c>
      <c r="P1409" s="3" t="s">
        <v>2524</v>
      </c>
      <c r="Q1409" s="21"/>
      <c r="R1409" s="3" t="s">
        <v>247</v>
      </c>
      <c r="S1409" s="21" t="n">
        <f>19204010</f>
        <v>1.920401E7</v>
      </c>
      <c r="T1409" s="21" t="str">
        <f>"－"</f>
        <v>－</v>
      </c>
      <c r="U1409" s="5" t="s">
        <v>999</v>
      </c>
      <c r="V1409" s="23" t="n">
        <f>1687089500</f>
        <v>1.6870895E9</v>
      </c>
      <c r="W1409" s="5" t="s">
        <v>216</v>
      </c>
      <c r="X1409" s="23" t="str">
        <f>"－"</f>
        <v>－</v>
      </c>
      <c r="Y1409" s="23" t="n">
        <f>12660</f>
        <v>12660.0</v>
      </c>
      <c r="Z1409" s="21" t="str">
        <f>"－"</f>
        <v>－</v>
      </c>
      <c r="AA1409" s="21" t="n">
        <f>37478</f>
        <v>37478.0</v>
      </c>
      <c r="AB1409" s="4" t="s">
        <v>1306</v>
      </c>
      <c r="AC1409" s="22" t="n">
        <f>60890</f>
        <v>60890.0</v>
      </c>
      <c r="AD1409" s="5" t="s">
        <v>119</v>
      </c>
      <c r="AE1409" s="23" t="n">
        <f>2664</f>
        <v>2664.0</v>
      </c>
    </row>
    <row r="1410">
      <c r="A1410" s="24" t="s">
        <v>2478</v>
      </c>
      <c r="B1410" s="25" t="s">
        <v>2479</v>
      </c>
      <c r="C1410" s="26" t="s">
        <v>1744</v>
      </c>
      <c r="D1410" s="27" t="s">
        <v>1745</v>
      </c>
      <c r="E1410" s="28" t="s">
        <v>371</v>
      </c>
      <c r="F1410" s="20" t="n">
        <f>121</f>
        <v>121.0</v>
      </c>
      <c r="G1410" s="21" t="n">
        <f>63067</f>
        <v>63067.0</v>
      </c>
      <c r="H1410" s="21"/>
      <c r="I1410" s="21" t="str">
        <f>"－"</f>
        <v>－</v>
      </c>
      <c r="J1410" s="21" t="n">
        <f>521</f>
        <v>521.0</v>
      </c>
      <c r="K1410" s="21" t="str">
        <f>"－"</f>
        <v>－</v>
      </c>
      <c r="L1410" s="4" t="s">
        <v>68</v>
      </c>
      <c r="M1410" s="22" t="n">
        <f>29536</f>
        <v>29536.0</v>
      </c>
      <c r="N1410" s="5" t="s">
        <v>260</v>
      </c>
      <c r="O1410" s="23" t="str">
        <f>"－"</f>
        <v>－</v>
      </c>
      <c r="P1410" s="3" t="s">
        <v>2525</v>
      </c>
      <c r="Q1410" s="21"/>
      <c r="R1410" s="3" t="s">
        <v>247</v>
      </c>
      <c r="S1410" s="21" t="n">
        <f>4928617</f>
        <v>4928617.0</v>
      </c>
      <c r="T1410" s="21" t="str">
        <f>"－"</f>
        <v>－</v>
      </c>
      <c r="U1410" s="5" t="s">
        <v>68</v>
      </c>
      <c r="V1410" s="23" t="n">
        <f>223970000</f>
        <v>2.2397E8</v>
      </c>
      <c r="W1410" s="5" t="s">
        <v>260</v>
      </c>
      <c r="X1410" s="23" t="str">
        <f>"－"</f>
        <v>－</v>
      </c>
      <c r="Y1410" s="23" t="n">
        <f>1081</f>
        <v>1081.0</v>
      </c>
      <c r="Z1410" s="21" t="str">
        <f>"－"</f>
        <v>－</v>
      </c>
      <c r="AA1410" s="21" t="n">
        <f>19541</f>
        <v>19541.0</v>
      </c>
      <c r="AB1410" s="4" t="s">
        <v>974</v>
      </c>
      <c r="AC1410" s="22" t="n">
        <f>23203</f>
        <v>23203.0</v>
      </c>
      <c r="AD1410" s="5" t="s">
        <v>53</v>
      </c>
      <c r="AE1410" s="23" t="n">
        <f>16372</f>
        <v>16372.0</v>
      </c>
    </row>
    <row r="1411">
      <c r="A1411" s="24" t="s">
        <v>2478</v>
      </c>
      <c r="B1411" s="25" t="s">
        <v>2479</v>
      </c>
      <c r="C1411" s="26" t="s">
        <v>1748</v>
      </c>
      <c r="D1411" s="27" t="s">
        <v>1749</v>
      </c>
      <c r="E1411" s="28" t="s">
        <v>371</v>
      </c>
      <c r="F1411" s="20" t="n">
        <f>121</f>
        <v>121.0</v>
      </c>
      <c r="G1411" s="21" t="n">
        <f>45185</f>
        <v>45185.0</v>
      </c>
      <c r="H1411" s="21"/>
      <c r="I1411" s="21" t="str">
        <f>"－"</f>
        <v>－</v>
      </c>
      <c r="J1411" s="21" t="n">
        <f>373</f>
        <v>373.0</v>
      </c>
      <c r="K1411" s="21" t="str">
        <f>"－"</f>
        <v>－</v>
      </c>
      <c r="L1411" s="4" t="s">
        <v>68</v>
      </c>
      <c r="M1411" s="22" t="n">
        <f>29536</f>
        <v>29536.0</v>
      </c>
      <c r="N1411" s="5" t="s">
        <v>221</v>
      </c>
      <c r="O1411" s="23" t="str">
        <f>"－"</f>
        <v>－</v>
      </c>
      <c r="P1411" s="3" t="s">
        <v>2526</v>
      </c>
      <c r="Q1411" s="21"/>
      <c r="R1411" s="3" t="s">
        <v>247</v>
      </c>
      <c r="S1411" s="21" t="n">
        <f>15556793</f>
        <v>1.5556793E7</v>
      </c>
      <c r="T1411" s="21" t="str">
        <f>"－"</f>
        <v>－</v>
      </c>
      <c r="U1411" s="5" t="s">
        <v>68</v>
      </c>
      <c r="V1411" s="23" t="n">
        <f>1652917000</f>
        <v>1.652917E9</v>
      </c>
      <c r="W1411" s="5" t="s">
        <v>221</v>
      </c>
      <c r="X1411" s="23" t="str">
        <f>"－"</f>
        <v>－</v>
      </c>
      <c r="Y1411" s="23" t="n">
        <f>1290</f>
        <v>1290.0</v>
      </c>
      <c r="Z1411" s="21" t="str">
        <f>"－"</f>
        <v>－</v>
      </c>
      <c r="AA1411" s="21" t="n">
        <f>18130</f>
        <v>18130.0</v>
      </c>
      <c r="AB1411" s="4" t="s">
        <v>339</v>
      </c>
      <c r="AC1411" s="22" t="n">
        <f>21454</f>
        <v>21454.0</v>
      </c>
      <c r="AD1411" s="5" t="s">
        <v>1140</v>
      </c>
      <c r="AE1411" s="23" t="n">
        <f>16588</f>
        <v>16588.0</v>
      </c>
    </row>
    <row r="1412">
      <c r="A1412" s="24" t="s">
        <v>2478</v>
      </c>
      <c r="B1412" s="25" t="s">
        <v>2479</v>
      </c>
      <c r="C1412" s="26" t="s">
        <v>1752</v>
      </c>
      <c r="D1412" s="27" t="s">
        <v>1753</v>
      </c>
      <c r="E1412" s="28" t="s">
        <v>371</v>
      </c>
      <c r="F1412" s="20" t="n">
        <f>121</f>
        <v>121.0</v>
      </c>
      <c r="G1412" s="21" t="n">
        <f>108252</f>
        <v>108252.0</v>
      </c>
      <c r="H1412" s="21"/>
      <c r="I1412" s="21" t="str">
        <f>"－"</f>
        <v>－</v>
      </c>
      <c r="J1412" s="21" t="n">
        <f>895</f>
        <v>895.0</v>
      </c>
      <c r="K1412" s="21" t="str">
        <f>"－"</f>
        <v>－</v>
      </c>
      <c r="L1412" s="4" t="s">
        <v>68</v>
      </c>
      <c r="M1412" s="22" t="n">
        <f>59072</f>
        <v>59072.0</v>
      </c>
      <c r="N1412" s="5" t="s">
        <v>603</v>
      </c>
      <c r="O1412" s="23" t="str">
        <f>"－"</f>
        <v>－</v>
      </c>
      <c r="P1412" s="3" t="s">
        <v>2527</v>
      </c>
      <c r="Q1412" s="21"/>
      <c r="R1412" s="3" t="s">
        <v>247</v>
      </c>
      <c r="S1412" s="21" t="n">
        <f>20485409</f>
        <v>2.0485409E7</v>
      </c>
      <c r="T1412" s="21" t="str">
        <f>"－"</f>
        <v>－</v>
      </c>
      <c r="U1412" s="5" t="s">
        <v>68</v>
      </c>
      <c r="V1412" s="23" t="n">
        <f>1876887000</f>
        <v>1.876887E9</v>
      </c>
      <c r="W1412" s="5" t="s">
        <v>603</v>
      </c>
      <c r="X1412" s="23" t="str">
        <f>"－"</f>
        <v>－</v>
      </c>
      <c r="Y1412" s="23" t="n">
        <f>2371</f>
        <v>2371.0</v>
      </c>
      <c r="Z1412" s="21" t="str">
        <f>"－"</f>
        <v>－</v>
      </c>
      <c r="AA1412" s="21" t="n">
        <f>37671</f>
        <v>37671.0</v>
      </c>
      <c r="AB1412" s="4" t="s">
        <v>974</v>
      </c>
      <c r="AC1412" s="22" t="n">
        <f>42581</f>
        <v>42581.0</v>
      </c>
      <c r="AD1412" s="5" t="s">
        <v>53</v>
      </c>
      <c r="AE1412" s="23" t="n">
        <f>33503</f>
        <v>33503.0</v>
      </c>
    </row>
    <row r="1413">
      <c r="A1413" s="24" t="s">
        <v>2478</v>
      </c>
      <c r="B1413" s="25" t="s">
        <v>2479</v>
      </c>
      <c r="C1413" s="26" t="s">
        <v>1744</v>
      </c>
      <c r="D1413" s="27" t="s">
        <v>1745</v>
      </c>
      <c r="E1413" s="28" t="s">
        <v>375</v>
      </c>
      <c r="F1413" s="20" t="n">
        <f>124</f>
        <v>124.0</v>
      </c>
      <c r="G1413" s="21" t="n">
        <f>47004</f>
        <v>47004.0</v>
      </c>
      <c r="H1413" s="21"/>
      <c r="I1413" s="21" t="str">
        <f>"－"</f>
        <v>－</v>
      </c>
      <c r="J1413" s="21" t="n">
        <f>379</f>
        <v>379.0</v>
      </c>
      <c r="K1413" s="21" t="str">
        <f>"－"</f>
        <v>－</v>
      </c>
      <c r="L1413" s="4" t="s">
        <v>784</v>
      </c>
      <c r="M1413" s="22" t="n">
        <f>15004</f>
        <v>15004.0</v>
      </c>
      <c r="N1413" s="5" t="s">
        <v>737</v>
      </c>
      <c r="O1413" s="23" t="str">
        <f>"－"</f>
        <v>－</v>
      </c>
      <c r="P1413" s="3" t="s">
        <v>2528</v>
      </c>
      <c r="Q1413" s="21"/>
      <c r="R1413" s="3" t="s">
        <v>247</v>
      </c>
      <c r="S1413" s="21" t="n">
        <f>3077950</f>
        <v>3077950.0</v>
      </c>
      <c r="T1413" s="21" t="str">
        <f>"－"</f>
        <v>－</v>
      </c>
      <c r="U1413" s="5" t="s">
        <v>784</v>
      </c>
      <c r="V1413" s="23" t="n">
        <f>43607500</f>
        <v>4.36075E7</v>
      </c>
      <c r="W1413" s="5" t="s">
        <v>737</v>
      </c>
      <c r="X1413" s="23" t="str">
        <f>"－"</f>
        <v>－</v>
      </c>
      <c r="Y1413" s="23" t="n">
        <f>2329</f>
        <v>2329.0</v>
      </c>
      <c r="Z1413" s="21" t="str">
        <f>"－"</f>
        <v>－</v>
      </c>
      <c r="AA1413" s="21" t="n">
        <f>4139</f>
        <v>4139.0</v>
      </c>
      <c r="AB1413" s="4" t="s">
        <v>672</v>
      </c>
      <c r="AC1413" s="22" t="n">
        <f>20690</f>
        <v>20690.0</v>
      </c>
      <c r="AD1413" s="5" t="s">
        <v>1416</v>
      </c>
      <c r="AE1413" s="23" t="n">
        <f>1497</f>
        <v>1497.0</v>
      </c>
    </row>
    <row r="1414">
      <c r="A1414" s="24" t="s">
        <v>2478</v>
      </c>
      <c r="B1414" s="25" t="s">
        <v>2479</v>
      </c>
      <c r="C1414" s="26" t="s">
        <v>1748</v>
      </c>
      <c r="D1414" s="27" t="s">
        <v>1749</v>
      </c>
      <c r="E1414" s="28" t="s">
        <v>375</v>
      </c>
      <c r="F1414" s="20" t="n">
        <f>124</f>
        <v>124.0</v>
      </c>
      <c r="G1414" s="21" t="n">
        <f>33133</f>
        <v>33133.0</v>
      </c>
      <c r="H1414" s="21"/>
      <c r="I1414" s="21" t="str">
        <f>"－"</f>
        <v>－</v>
      </c>
      <c r="J1414" s="21" t="n">
        <f>267</f>
        <v>267.0</v>
      </c>
      <c r="K1414" s="21" t="str">
        <f>"－"</f>
        <v>－</v>
      </c>
      <c r="L1414" s="4" t="s">
        <v>784</v>
      </c>
      <c r="M1414" s="22" t="n">
        <f>14788</f>
        <v>14788.0</v>
      </c>
      <c r="N1414" s="5" t="s">
        <v>672</v>
      </c>
      <c r="O1414" s="23" t="str">
        <f>"－"</f>
        <v>－</v>
      </c>
      <c r="P1414" s="3" t="s">
        <v>2529</v>
      </c>
      <c r="Q1414" s="21"/>
      <c r="R1414" s="3" t="s">
        <v>247</v>
      </c>
      <c r="S1414" s="21" t="n">
        <f>6782956</f>
        <v>6782956.0</v>
      </c>
      <c r="T1414" s="21" t="str">
        <f>"－"</f>
        <v>－</v>
      </c>
      <c r="U1414" s="5" t="s">
        <v>784</v>
      </c>
      <c r="V1414" s="23" t="n">
        <f>721662500</f>
        <v>7.216625E8</v>
      </c>
      <c r="W1414" s="5" t="s">
        <v>672</v>
      </c>
      <c r="X1414" s="23" t="str">
        <f>"－"</f>
        <v>－</v>
      </c>
      <c r="Y1414" s="23" t="n">
        <f>6793</f>
        <v>6793.0</v>
      </c>
      <c r="Z1414" s="21" t="str">
        <f>"－"</f>
        <v>－</v>
      </c>
      <c r="AA1414" s="21" t="n">
        <f>4350</f>
        <v>4350.0</v>
      </c>
      <c r="AB1414" s="4" t="s">
        <v>751</v>
      </c>
      <c r="AC1414" s="22" t="n">
        <f>18465</f>
        <v>18465.0</v>
      </c>
      <c r="AD1414" s="5" t="s">
        <v>88</v>
      </c>
      <c r="AE1414" s="23" t="n">
        <f>1922</f>
        <v>1922.0</v>
      </c>
    </row>
    <row r="1415">
      <c r="A1415" s="24" t="s">
        <v>2478</v>
      </c>
      <c r="B1415" s="25" t="s">
        <v>2479</v>
      </c>
      <c r="C1415" s="26" t="s">
        <v>1752</v>
      </c>
      <c r="D1415" s="27" t="s">
        <v>1753</v>
      </c>
      <c r="E1415" s="28" t="s">
        <v>375</v>
      </c>
      <c r="F1415" s="20" t="n">
        <f>124</f>
        <v>124.0</v>
      </c>
      <c r="G1415" s="21" t="n">
        <f>80137</f>
        <v>80137.0</v>
      </c>
      <c r="H1415" s="21"/>
      <c r="I1415" s="21" t="str">
        <f>"－"</f>
        <v>－</v>
      </c>
      <c r="J1415" s="21" t="n">
        <f>646</f>
        <v>646.0</v>
      </c>
      <c r="K1415" s="21" t="str">
        <f>"－"</f>
        <v>－</v>
      </c>
      <c r="L1415" s="4" t="s">
        <v>784</v>
      </c>
      <c r="M1415" s="22" t="n">
        <f>29792</f>
        <v>29792.0</v>
      </c>
      <c r="N1415" s="5" t="s">
        <v>737</v>
      </c>
      <c r="O1415" s="23" t="str">
        <f>"－"</f>
        <v>－</v>
      </c>
      <c r="P1415" s="3" t="s">
        <v>2530</v>
      </c>
      <c r="Q1415" s="21"/>
      <c r="R1415" s="3" t="s">
        <v>247</v>
      </c>
      <c r="S1415" s="21" t="n">
        <f>9860907</f>
        <v>9860907.0</v>
      </c>
      <c r="T1415" s="21" t="str">
        <f>"－"</f>
        <v>－</v>
      </c>
      <c r="U1415" s="5" t="s">
        <v>784</v>
      </c>
      <c r="V1415" s="23" t="n">
        <f>765270000</f>
        <v>7.6527E8</v>
      </c>
      <c r="W1415" s="5" t="s">
        <v>737</v>
      </c>
      <c r="X1415" s="23" t="str">
        <f>"－"</f>
        <v>－</v>
      </c>
      <c r="Y1415" s="23" t="n">
        <f>9122</f>
        <v>9122.0</v>
      </c>
      <c r="Z1415" s="21" t="str">
        <f>"－"</f>
        <v>－</v>
      </c>
      <c r="AA1415" s="21" t="n">
        <f>8489</f>
        <v>8489.0</v>
      </c>
      <c r="AB1415" s="4" t="s">
        <v>672</v>
      </c>
      <c r="AC1415" s="22" t="n">
        <f>39155</f>
        <v>39155.0</v>
      </c>
      <c r="AD1415" s="5" t="s">
        <v>183</v>
      </c>
      <c r="AE1415" s="23" t="n">
        <f>3676</f>
        <v>3676.0</v>
      </c>
    </row>
    <row r="1416">
      <c r="A1416" s="24" t="s">
        <v>2478</v>
      </c>
      <c r="B1416" s="25" t="s">
        <v>2479</v>
      </c>
      <c r="C1416" s="26" t="s">
        <v>1744</v>
      </c>
      <c r="D1416" s="27" t="s">
        <v>1745</v>
      </c>
      <c r="E1416" s="28" t="s">
        <v>378</v>
      </c>
      <c r="F1416" s="20" t="n">
        <f>122</f>
        <v>122.0</v>
      </c>
      <c r="G1416" s="21" t="n">
        <f>50612</f>
        <v>50612.0</v>
      </c>
      <c r="H1416" s="21"/>
      <c r="I1416" s="21" t="str">
        <f>"－"</f>
        <v>－</v>
      </c>
      <c r="J1416" s="21" t="n">
        <f>415</f>
        <v>415.0</v>
      </c>
      <c r="K1416" s="21" t="str">
        <f>"－"</f>
        <v>－</v>
      </c>
      <c r="L1416" s="4" t="s">
        <v>208</v>
      </c>
      <c r="M1416" s="22" t="n">
        <f>3650</f>
        <v>3650.0</v>
      </c>
      <c r="N1416" s="5" t="s">
        <v>221</v>
      </c>
      <c r="O1416" s="23" t="str">
        <f>"－"</f>
        <v>－</v>
      </c>
      <c r="P1416" s="3" t="s">
        <v>2531</v>
      </c>
      <c r="Q1416" s="21"/>
      <c r="R1416" s="3" t="s">
        <v>247</v>
      </c>
      <c r="S1416" s="21" t="n">
        <f>5496676</f>
        <v>5496676.0</v>
      </c>
      <c r="T1416" s="21" t="str">
        <f>"－"</f>
        <v>－</v>
      </c>
      <c r="U1416" s="5" t="s">
        <v>396</v>
      </c>
      <c r="V1416" s="23" t="n">
        <f>90000000</f>
        <v>9.0E7</v>
      </c>
      <c r="W1416" s="5" t="s">
        <v>221</v>
      </c>
      <c r="X1416" s="23" t="str">
        <f>"－"</f>
        <v>－</v>
      </c>
      <c r="Y1416" s="23" t="n">
        <f>3218</f>
        <v>3218.0</v>
      </c>
      <c r="Z1416" s="21" t="str">
        <f>"－"</f>
        <v>－</v>
      </c>
      <c r="AA1416" s="21" t="n">
        <f>10216</f>
        <v>10216.0</v>
      </c>
      <c r="AB1416" s="4" t="s">
        <v>78</v>
      </c>
      <c r="AC1416" s="22" t="n">
        <f>11250</f>
        <v>11250.0</v>
      </c>
      <c r="AD1416" s="5" t="s">
        <v>68</v>
      </c>
      <c r="AE1416" s="23" t="n">
        <f>992</f>
        <v>992.0</v>
      </c>
    </row>
    <row r="1417">
      <c r="A1417" s="24" t="s">
        <v>2478</v>
      </c>
      <c r="B1417" s="25" t="s">
        <v>2479</v>
      </c>
      <c r="C1417" s="26" t="s">
        <v>1748</v>
      </c>
      <c r="D1417" s="27" t="s">
        <v>1749</v>
      </c>
      <c r="E1417" s="28" t="s">
        <v>378</v>
      </c>
      <c r="F1417" s="20" t="n">
        <f>122</f>
        <v>122.0</v>
      </c>
      <c r="G1417" s="21" t="n">
        <f>17877</f>
        <v>17877.0</v>
      </c>
      <c r="H1417" s="21"/>
      <c r="I1417" s="21" t="str">
        <f>"－"</f>
        <v>－</v>
      </c>
      <c r="J1417" s="21" t="n">
        <f>147</f>
        <v>147.0</v>
      </c>
      <c r="K1417" s="21" t="str">
        <f>"－"</f>
        <v>－</v>
      </c>
      <c r="L1417" s="4" t="s">
        <v>396</v>
      </c>
      <c r="M1417" s="22" t="n">
        <f>3050</f>
        <v>3050.0</v>
      </c>
      <c r="N1417" s="5" t="s">
        <v>82</v>
      </c>
      <c r="O1417" s="23" t="str">
        <f>"－"</f>
        <v>－</v>
      </c>
      <c r="P1417" s="3" t="s">
        <v>2532</v>
      </c>
      <c r="Q1417" s="21"/>
      <c r="R1417" s="3" t="s">
        <v>247</v>
      </c>
      <c r="S1417" s="21" t="n">
        <f>1161992</f>
        <v>1161992.0</v>
      </c>
      <c r="T1417" s="21" t="str">
        <f>"－"</f>
        <v>－</v>
      </c>
      <c r="U1417" s="5" t="s">
        <v>1112</v>
      </c>
      <c r="V1417" s="23" t="n">
        <f>31673000</f>
        <v>3.1673E7</v>
      </c>
      <c r="W1417" s="5" t="s">
        <v>82</v>
      </c>
      <c r="X1417" s="23" t="str">
        <f>"－"</f>
        <v>－</v>
      </c>
      <c r="Y1417" s="23" t="n">
        <f>6063</f>
        <v>6063.0</v>
      </c>
      <c r="Z1417" s="21" t="str">
        <f>"－"</f>
        <v>－</v>
      </c>
      <c r="AA1417" s="21" t="n">
        <f>7639</f>
        <v>7639.0</v>
      </c>
      <c r="AB1417" s="4" t="s">
        <v>698</v>
      </c>
      <c r="AC1417" s="22" t="n">
        <f>7639</f>
        <v>7639.0</v>
      </c>
      <c r="AD1417" s="5" t="s">
        <v>68</v>
      </c>
      <c r="AE1417" s="23" t="n">
        <f>1084</f>
        <v>1084.0</v>
      </c>
    </row>
    <row r="1418">
      <c r="A1418" s="24" t="s">
        <v>2478</v>
      </c>
      <c r="B1418" s="25" t="s">
        <v>2479</v>
      </c>
      <c r="C1418" s="26" t="s">
        <v>1752</v>
      </c>
      <c r="D1418" s="27" t="s">
        <v>1753</v>
      </c>
      <c r="E1418" s="28" t="s">
        <v>378</v>
      </c>
      <c r="F1418" s="20" t="n">
        <f>122</f>
        <v>122.0</v>
      </c>
      <c r="G1418" s="21" t="n">
        <f>68489</f>
        <v>68489.0</v>
      </c>
      <c r="H1418" s="21"/>
      <c r="I1418" s="21" t="str">
        <f>"－"</f>
        <v>－</v>
      </c>
      <c r="J1418" s="21" t="n">
        <f>561</f>
        <v>561.0</v>
      </c>
      <c r="K1418" s="21" t="str">
        <f>"－"</f>
        <v>－</v>
      </c>
      <c r="L1418" s="4" t="s">
        <v>396</v>
      </c>
      <c r="M1418" s="22" t="n">
        <f>6050</f>
        <v>6050.0</v>
      </c>
      <c r="N1418" s="5" t="s">
        <v>221</v>
      </c>
      <c r="O1418" s="23" t="str">
        <f>"－"</f>
        <v>－</v>
      </c>
      <c r="P1418" s="3" t="s">
        <v>2533</v>
      </c>
      <c r="Q1418" s="21"/>
      <c r="R1418" s="3" t="s">
        <v>247</v>
      </c>
      <c r="S1418" s="21" t="n">
        <f>6658668</f>
        <v>6658668.0</v>
      </c>
      <c r="T1418" s="21" t="str">
        <f>"－"</f>
        <v>－</v>
      </c>
      <c r="U1418" s="5" t="s">
        <v>396</v>
      </c>
      <c r="V1418" s="23" t="n">
        <f>116015000</f>
        <v>1.16015E8</v>
      </c>
      <c r="W1418" s="5" t="s">
        <v>221</v>
      </c>
      <c r="X1418" s="23" t="str">
        <f>"－"</f>
        <v>－</v>
      </c>
      <c r="Y1418" s="23" t="n">
        <f>9281</f>
        <v>9281.0</v>
      </c>
      <c r="Z1418" s="21" t="str">
        <f>"－"</f>
        <v>－</v>
      </c>
      <c r="AA1418" s="21" t="n">
        <f>17855</f>
        <v>17855.0</v>
      </c>
      <c r="AB1418" s="4" t="s">
        <v>698</v>
      </c>
      <c r="AC1418" s="22" t="n">
        <f>17855</f>
        <v>17855.0</v>
      </c>
      <c r="AD1418" s="5" t="s">
        <v>68</v>
      </c>
      <c r="AE1418" s="23" t="n">
        <f>2076</f>
        <v>2076.0</v>
      </c>
    </row>
    <row r="1419">
      <c r="A1419" s="24" t="s">
        <v>2478</v>
      </c>
      <c r="B1419" s="25" t="s">
        <v>2479</v>
      </c>
      <c r="C1419" s="26" t="s">
        <v>1744</v>
      </c>
      <c r="D1419" s="27" t="s">
        <v>1745</v>
      </c>
      <c r="E1419" s="28" t="s">
        <v>383</v>
      </c>
      <c r="F1419" s="20" t="n">
        <f>125</f>
        <v>125.0</v>
      </c>
      <c r="G1419" s="21" t="n">
        <f>63592</f>
        <v>63592.0</v>
      </c>
      <c r="H1419" s="21"/>
      <c r="I1419" s="21" t="str">
        <f>"－"</f>
        <v>－</v>
      </c>
      <c r="J1419" s="21" t="n">
        <f>509</f>
        <v>509.0</v>
      </c>
      <c r="K1419" s="21" t="str">
        <f>"－"</f>
        <v>－</v>
      </c>
      <c r="L1419" s="4" t="s">
        <v>1013</v>
      </c>
      <c r="M1419" s="22" t="n">
        <f>5572</f>
        <v>5572.0</v>
      </c>
      <c r="N1419" s="5" t="s">
        <v>751</v>
      </c>
      <c r="O1419" s="23" t="str">
        <f>"－"</f>
        <v>－</v>
      </c>
      <c r="P1419" s="3" t="s">
        <v>2534</v>
      </c>
      <c r="Q1419" s="21"/>
      <c r="R1419" s="3" t="s">
        <v>247</v>
      </c>
      <c r="S1419" s="21" t="n">
        <f>9118913</f>
        <v>9118913.0</v>
      </c>
      <c r="T1419" s="21" t="str">
        <f>"－"</f>
        <v>－</v>
      </c>
      <c r="U1419" s="5" t="s">
        <v>143</v>
      </c>
      <c r="V1419" s="23" t="n">
        <f>187076500</f>
        <v>1.870765E8</v>
      </c>
      <c r="W1419" s="5" t="s">
        <v>751</v>
      </c>
      <c r="X1419" s="23" t="str">
        <f>"－"</f>
        <v>－</v>
      </c>
      <c r="Y1419" s="23" t="n">
        <f>4536</f>
        <v>4536.0</v>
      </c>
      <c r="Z1419" s="21" t="str">
        <f>"－"</f>
        <v>－</v>
      </c>
      <c r="AA1419" s="21" t="n">
        <f>16002</f>
        <v>16002.0</v>
      </c>
      <c r="AB1419" s="4" t="s">
        <v>84</v>
      </c>
      <c r="AC1419" s="22" t="n">
        <f>16460</f>
        <v>16460.0</v>
      </c>
      <c r="AD1419" s="5" t="s">
        <v>143</v>
      </c>
      <c r="AE1419" s="23" t="n">
        <f>3964</f>
        <v>3964.0</v>
      </c>
    </row>
    <row r="1420">
      <c r="A1420" s="24" t="s">
        <v>2478</v>
      </c>
      <c r="B1420" s="25" t="s">
        <v>2479</v>
      </c>
      <c r="C1420" s="26" t="s">
        <v>1748</v>
      </c>
      <c r="D1420" s="27" t="s">
        <v>1749</v>
      </c>
      <c r="E1420" s="28" t="s">
        <v>383</v>
      </c>
      <c r="F1420" s="20" t="n">
        <f>125</f>
        <v>125.0</v>
      </c>
      <c r="G1420" s="21" t="n">
        <f>35012</f>
        <v>35012.0</v>
      </c>
      <c r="H1420" s="21"/>
      <c r="I1420" s="21" t="str">
        <f>"－"</f>
        <v>－</v>
      </c>
      <c r="J1420" s="21" t="n">
        <f>280</f>
        <v>280.0</v>
      </c>
      <c r="K1420" s="21" t="str">
        <f>"－"</f>
        <v>－</v>
      </c>
      <c r="L1420" s="4" t="s">
        <v>76</v>
      </c>
      <c r="M1420" s="22" t="n">
        <f>5862</f>
        <v>5862.0</v>
      </c>
      <c r="N1420" s="5" t="s">
        <v>666</v>
      </c>
      <c r="O1420" s="23" t="str">
        <f>"－"</f>
        <v>－</v>
      </c>
      <c r="P1420" s="3" t="s">
        <v>2535</v>
      </c>
      <c r="Q1420" s="21"/>
      <c r="R1420" s="3" t="s">
        <v>247</v>
      </c>
      <c r="S1420" s="21" t="n">
        <f>3546453</f>
        <v>3546453.0</v>
      </c>
      <c r="T1420" s="21" t="str">
        <f>"－"</f>
        <v>－</v>
      </c>
      <c r="U1420" s="5" t="s">
        <v>1013</v>
      </c>
      <c r="V1420" s="23" t="n">
        <f>96598500</f>
        <v>9.65985E7</v>
      </c>
      <c r="W1420" s="5" t="s">
        <v>666</v>
      </c>
      <c r="X1420" s="23" t="str">
        <f>"－"</f>
        <v>－</v>
      </c>
      <c r="Y1420" s="23" t="n">
        <f>8319</f>
        <v>8319.0</v>
      </c>
      <c r="Z1420" s="21" t="str">
        <f>"－"</f>
        <v>－</v>
      </c>
      <c r="AA1420" s="21" t="n">
        <f>19911</f>
        <v>19911.0</v>
      </c>
      <c r="AB1420" s="4" t="s">
        <v>927</v>
      </c>
      <c r="AC1420" s="22" t="n">
        <f>19911</f>
        <v>19911.0</v>
      </c>
      <c r="AD1420" s="5" t="s">
        <v>143</v>
      </c>
      <c r="AE1420" s="23" t="n">
        <f>1130</f>
        <v>1130.0</v>
      </c>
    </row>
    <row r="1421">
      <c r="A1421" s="24" t="s">
        <v>2478</v>
      </c>
      <c r="B1421" s="25" t="s">
        <v>2479</v>
      </c>
      <c r="C1421" s="26" t="s">
        <v>1752</v>
      </c>
      <c r="D1421" s="27" t="s">
        <v>1753</v>
      </c>
      <c r="E1421" s="28" t="s">
        <v>383</v>
      </c>
      <c r="F1421" s="20" t="n">
        <f>125</f>
        <v>125.0</v>
      </c>
      <c r="G1421" s="21" t="n">
        <f>98604</f>
        <v>98604.0</v>
      </c>
      <c r="H1421" s="21"/>
      <c r="I1421" s="21" t="str">
        <f>"－"</f>
        <v>－</v>
      </c>
      <c r="J1421" s="21" t="n">
        <f>789</f>
        <v>789.0</v>
      </c>
      <c r="K1421" s="21" t="str">
        <f>"－"</f>
        <v>－</v>
      </c>
      <c r="L1421" s="4" t="s">
        <v>1013</v>
      </c>
      <c r="M1421" s="22" t="n">
        <f>9066</f>
        <v>9066.0</v>
      </c>
      <c r="N1421" s="5" t="s">
        <v>751</v>
      </c>
      <c r="O1421" s="23" t="str">
        <f>"－"</f>
        <v>－</v>
      </c>
      <c r="P1421" s="3" t="s">
        <v>2536</v>
      </c>
      <c r="Q1421" s="21"/>
      <c r="R1421" s="3" t="s">
        <v>247</v>
      </c>
      <c r="S1421" s="21" t="n">
        <f>12665366</f>
        <v>1.2665366E7</v>
      </c>
      <c r="T1421" s="21" t="str">
        <f>"－"</f>
        <v>－</v>
      </c>
      <c r="U1421" s="5" t="s">
        <v>1013</v>
      </c>
      <c r="V1421" s="23" t="n">
        <f>209049500</f>
        <v>2.090495E8</v>
      </c>
      <c r="W1421" s="5" t="s">
        <v>751</v>
      </c>
      <c r="X1421" s="23" t="str">
        <f>"－"</f>
        <v>－</v>
      </c>
      <c r="Y1421" s="23" t="n">
        <f>12855</f>
        <v>12855.0</v>
      </c>
      <c r="Z1421" s="21" t="str">
        <f>"－"</f>
        <v>－</v>
      </c>
      <c r="AA1421" s="21" t="n">
        <f>35913</f>
        <v>35913.0</v>
      </c>
      <c r="AB1421" s="4" t="s">
        <v>927</v>
      </c>
      <c r="AC1421" s="22" t="n">
        <f>35913</f>
        <v>35913.0</v>
      </c>
      <c r="AD1421" s="5" t="s">
        <v>143</v>
      </c>
      <c r="AE1421" s="23" t="n">
        <f>5094</f>
        <v>5094.0</v>
      </c>
    </row>
    <row r="1422">
      <c r="A1422" s="24" t="s">
        <v>2478</v>
      </c>
      <c r="B1422" s="25" t="s">
        <v>2479</v>
      </c>
      <c r="C1422" s="26" t="s">
        <v>1744</v>
      </c>
      <c r="D1422" s="27" t="s">
        <v>1745</v>
      </c>
      <c r="E1422" s="28" t="s">
        <v>386</v>
      </c>
      <c r="F1422" s="20" t="n">
        <f>121</f>
        <v>121.0</v>
      </c>
      <c r="G1422" s="21" t="n">
        <f>71429</f>
        <v>71429.0</v>
      </c>
      <c r="H1422" s="21"/>
      <c r="I1422" s="21" t="str">
        <f>"－"</f>
        <v>－</v>
      </c>
      <c r="J1422" s="21" t="n">
        <f>590</f>
        <v>590.0</v>
      </c>
      <c r="K1422" s="21" t="str">
        <f>"－"</f>
        <v>－</v>
      </c>
      <c r="L1422" s="4" t="s">
        <v>901</v>
      </c>
      <c r="M1422" s="22" t="n">
        <f>3475</f>
        <v>3475.0</v>
      </c>
      <c r="N1422" s="5" t="s">
        <v>268</v>
      </c>
      <c r="O1422" s="23" t="str">
        <f>"－"</f>
        <v>－</v>
      </c>
      <c r="P1422" s="3" t="s">
        <v>2537</v>
      </c>
      <c r="Q1422" s="21"/>
      <c r="R1422" s="3" t="s">
        <v>247</v>
      </c>
      <c r="S1422" s="21" t="n">
        <f>5210175</f>
        <v>5210175.0</v>
      </c>
      <c r="T1422" s="21" t="str">
        <f>"－"</f>
        <v>－</v>
      </c>
      <c r="U1422" s="5" t="s">
        <v>146</v>
      </c>
      <c r="V1422" s="23" t="n">
        <f>57660000</f>
        <v>5.766E7</v>
      </c>
      <c r="W1422" s="5" t="s">
        <v>268</v>
      </c>
      <c r="X1422" s="23" t="str">
        <f>"－"</f>
        <v>－</v>
      </c>
      <c r="Y1422" s="23" t="n">
        <f>7881</f>
        <v>7881.0</v>
      </c>
      <c r="Z1422" s="21" t="str">
        <f>"－"</f>
        <v>－</v>
      </c>
      <c r="AA1422" s="21" t="n">
        <f>4392</f>
        <v>4392.0</v>
      </c>
      <c r="AB1422" s="4" t="s">
        <v>1523</v>
      </c>
      <c r="AC1422" s="22" t="n">
        <f>23823</f>
        <v>23823.0</v>
      </c>
      <c r="AD1422" s="5" t="s">
        <v>93</v>
      </c>
      <c r="AE1422" s="23" t="n">
        <f>1254</f>
        <v>1254.0</v>
      </c>
    </row>
    <row r="1423">
      <c r="A1423" s="24" t="s">
        <v>2478</v>
      </c>
      <c r="B1423" s="25" t="s">
        <v>2479</v>
      </c>
      <c r="C1423" s="26" t="s">
        <v>1748</v>
      </c>
      <c r="D1423" s="27" t="s">
        <v>1749</v>
      </c>
      <c r="E1423" s="28" t="s">
        <v>386</v>
      </c>
      <c r="F1423" s="20" t="n">
        <f>121</f>
        <v>121.0</v>
      </c>
      <c r="G1423" s="21" t="n">
        <f>51401</f>
        <v>51401.0</v>
      </c>
      <c r="H1423" s="21"/>
      <c r="I1423" s="21" t="str">
        <f>"－"</f>
        <v>－</v>
      </c>
      <c r="J1423" s="21" t="n">
        <f>425</f>
        <v>425.0</v>
      </c>
      <c r="K1423" s="21" t="str">
        <f>"－"</f>
        <v>－</v>
      </c>
      <c r="L1423" s="4" t="s">
        <v>270</v>
      </c>
      <c r="M1423" s="22" t="n">
        <f>5520</f>
        <v>5520.0</v>
      </c>
      <c r="N1423" s="5" t="s">
        <v>82</v>
      </c>
      <c r="O1423" s="23" t="str">
        <f>"－"</f>
        <v>－</v>
      </c>
      <c r="P1423" s="3" t="s">
        <v>2538</v>
      </c>
      <c r="Q1423" s="21"/>
      <c r="R1423" s="3" t="s">
        <v>247</v>
      </c>
      <c r="S1423" s="21" t="n">
        <f>3347834</f>
        <v>3347834.0</v>
      </c>
      <c r="T1423" s="21" t="str">
        <f>"－"</f>
        <v>－</v>
      </c>
      <c r="U1423" s="5" t="s">
        <v>270</v>
      </c>
      <c r="V1423" s="23" t="n">
        <f>77280000</f>
        <v>7.728E7</v>
      </c>
      <c r="W1423" s="5" t="s">
        <v>82</v>
      </c>
      <c r="X1423" s="23" t="str">
        <f>"－"</f>
        <v>－</v>
      </c>
      <c r="Y1423" s="23" t="n">
        <f>12210</f>
        <v>12210.0</v>
      </c>
      <c r="Z1423" s="21" t="str">
        <f>"－"</f>
        <v>－</v>
      </c>
      <c r="AA1423" s="21" t="n">
        <f>10561</f>
        <v>10561.0</v>
      </c>
      <c r="AB1423" s="4" t="s">
        <v>194</v>
      </c>
      <c r="AC1423" s="22" t="n">
        <f>22775</f>
        <v>22775.0</v>
      </c>
      <c r="AD1423" s="5" t="s">
        <v>93</v>
      </c>
      <c r="AE1423" s="23" t="n">
        <f>1934</f>
        <v>1934.0</v>
      </c>
    </row>
    <row r="1424">
      <c r="A1424" s="24" t="s">
        <v>2478</v>
      </c>
      <c r="B1424" s="25" t="s">
        <v>2479</v>
      </c>
      <c r="C1424" s="26" t="s">
        <v>1752</v>
      </c>
      <c r="D1424" s="27" t="s">
        <v>1753</v>
      </c>
      <c r="E1424" s="28" t="s">
        <v>386</v>
      </c>
      <c r="F1424" s="20" t="n">
        <f>121</f>
        <v>121.0</v>
      </c>
      <c r="G1424" s="21" t="n">
        <f>122830</f>
        <v>122830.0</v>
      </c>
      <c r="H1424" s="21"/>
      <c r="I1424" s="21" t="str">
        <f>"－"</f>
        <v>－</v>
      </c>
      <c r="J1424" s="21" t="n">
        <f>1015</f>
        <v>1015.0</v>
      </c>
      <c r="K1424" s="21" t="str">
        <f>"－"</f>
        <v>－</v>
      </c>
      <c r="L1424" s="4" t="s">
        <v>270</v>
      </c>
      <c r="M1424" s="22" t="n">
        <f>5520</f>
        <v>5520.0</v>
      </c>
      <c r="N1424" s="5" t="s">
        <v>339</v>
      </c>
      <c r="O1424" s="23" t="str">
        <f>"－"</f>
        <v>－</v>
      </c>
      <c r="P1424" s="3" t="s">
        <v>2539</v>
      </c>
      <c r="Q1424" s="21"/>
      <c r="R1424" s="3" t="s">
        <v>247</v>
      </c>
      <c r="S1424" s="21" t="n">
        <f>8558009</f>
        <v>8558009.0</v>
      </c>
      <c r="T1424" s="21" t="str">
        <f>"－"</f>
        <v>－</v>
      </c>
      <c r="U1424" s="5" t="s">
        <v>270</v>
      </c>
      <c r="V1424" s="23" t="n">
        <f>77280000</f>
        <v>7.728E7</v>
      </c>
      <c r="W1424" s="5" t="s">
        <v>339</v>
      </c>
      <c r="X1424" s="23" t="str">
        <f>"－"</f>
        <v>－</v>
      </c>
      <c r="Y1424" s="23" t="n">
        <f>20091</f>
        <v>20091.0</v>
      </c>
      <c r="Z1424" s="21" t="str">
        <f>"－"</f>
        <v>－</v>
      </c>
      <c r="AA1424" s="21" t="n">
        <f>14953</f>
        <v>14953.0</v>
      </c>
      <c r="AB1424" s="4" t="s">
        <v>308</v>
      </c>
      <c r="AC1424" s="22" t="n">
        <f>44339</f>
        <v>44339.0</v>
      </c>
      <c r="AD1424" s="5" t="s">
        <v>93</v>
      </c>
      <c r="AE1424" s="23" t="n">
        <f>3188</f>
        <v>3188.0</v>
      </c>
    </row>
    <row r="1425">
      <c r="A1425" s="24" t="s">
        <v>2478</v>
      </c>
      <c r="B1425" s="25" t="s">
        <v>2479</v>
      </c>
      <c r="C1425" s="26" t="s">
        <v>1744</v>
      </c>
      <c r="D1425" s="27" t="s">
        <v>1745</v>
      </c>
      <c r="E1425" s="28" t="s">
        <v>389</v>
      </c>
      <c r="F1425" s="20" t="n">
        <f>124</f>
        <v>124.0</v>
      </c>
      <c r="G1425" s="21" t="n">
        <f>34062</f>
        <v>34062.0</v>
      </c>
      <c r="H1425" s="21"/>
      <c r="I1425" s="21" t="n">
        <f>540</f>
        <v>540.0</v>
      </c>
      <c r="J1425" s="21" t="n">
        <f>275</f>
        <v>275.0</v>
      </c>
      <c r="K1425" s="21" t="n">
        <f>4</f>
        <v>4.0</v>
      </c>
      <c r="L1425" s="4" t="s">
        <v>205</v>
      </c>
      <c r="M1425" s="22" t="n">
        <f>2393</f>
        <v>2393.0</v>
      </c>
      <c r="N1425" s="5" t="s">
        <v>151</v>
      </c>
      <c r="O1425" s="23" t="str">
        <f>"－"</f>
        <v>－</v>
      </c>
      <c r="P1425" s="3" t="s">
        <v>2540</v>
      </c>
      <c r="Q1425" s="21"/>
      <c r="R1425" s="3" t="s">
        <v>2541</v>
      </c>
      <c r="S1425" s="21" t="n">
        <f>2104662</f>
        <v>2104662.0</v>
      </c>
      <c r="T1425" s="21" t="n">
        <f>55782</f>
        <v>55782.0</v>
      </c>
      <c r="U1425" s="5" t="s">
        <v>97</v>
      </c>
      <c r="V1425" s="23" t="n">
        <f>18895000</f>
        <v>1.8895E7</v>
      </c>
      <c r="W1425" s="5" t="s">
        <v>151</v>
      </c>
      <c r="X1425" s="23" t="str">
        <f>"－"</f>
        <v>－</v>
      </c>
      <c r="Y1425" s="23" t="n">
        <f>7660</f>
        <v>7660.0</v>
      </c>
      <c r="Z1425" s="21" t="str">
        <f>"－"</f>
        <v>－</v>
      </c>
      <c r="AA1425" s="21" t="n">
        <f>2237</f>
        <v>2237.0</v>
      </c>
      <c r="AB1425" s="4" t="s">
        <v>2129</v>
      </c>
      <c r="AC1425" s="22" t="n">
        <f>11851</f>
        <v>11851.0</v>
      </c>
      <c r="AD1425" s="5" t="s">
        <v>97</v>
      </c>
      <c r="AE1425" s="23" t="n">
        <f>309</f>
        <v>309.0</v>
      </c>
    </row>
    <row r="1426">
      <c r="A1426" s="24" t="s">
        <v>2478</v>
      </c>
      <c r="B1426" s="25" t="s">
        <v>2479</v>
      </c>
      <c r="C1426" s="26" t="s">
        <v>1748</v>
      </c>
      <c r="D1426" s="27" t="s">
        <v>1749</v>
      </c>
      <c r="E1426" s="28" t="s">
        <v>389</v>
      </c>
      <c r="F1426" s="20" t="n">
        <f>124</f>
        <v>124.0</v>
      </c>
      <c r="G1426" s="21" t="n">
        <f>26236</f>
        <v>26236.0</v>
      </c>
      <c r="H1426" s="21"/>
      <c r="I1426" s="21" t="n">
        <f>2200</f>
        <v>2200.0</v>
      </c>
      <c r="J1426" s="21" t="n">
        <f>212</f>
        <v>212.0</v>
      </c>
      <c r="K1426" s="21" t="n">
        <f>18</f>
        <v>18.0</v>
      </c>
      <c r="L1426" s="4" t="s">
        <v>213</v>
      </c>
      <c r="M1426" s="22" t="n">
        <f>5520</f>
        <v>5520.0</v>
      </c>
      <c r="N1426" s="5" t="s">
        <v>263</v>
      </c>
      <c r="O1426" s="23" t="str">
        <f>"－"</f>
        <v>－</v>
      </c>
      <c r="P1426" s="3" t="s">
        <v>2542</v>
      </c>
      <c r="Q1426" s="21"/>
      <c r="R1426" s="3" t="s">
        <v>2543</v>
      </c>
      <c r="S1426" s="21" t="n">
        <f>1042612</f>
        <v>1042612.0</v>
      </c>
      <c r="T1426" s="21" t="n">
        <f>319355</f>
        <v>319355.0</v>
      </c>
      <c r="U1426" s="5" t="s">
        <v>97</v>
      </c>
      <c r="V1426" s="23" t="n">
        <f>34555000</f>
        <v>3.4555E7</v>
      </c>
      <c r="W1426" s="5" t="s">
        <v>263</v>
      </c>
      <c r="X1426" s="23" t="str">
        <f>"－"</f>
        <v>－</v>
      </c>
      <c r="Y1426" s="23" t="n">
        <f>2157</f>
        <v>2157.0</v>
      </c>
      <c r="Z1426" s="21" t="str">
        <f>"－"</f>
        <v>－</v>
      </c>
      <c r="AA1426" s="21" t="n">
        <f>2576</f>
        <v>2576.0</v>
      </c>
      <c r="AB1426" s="4" t="s">
        <v>818</v>
      </c>
      <c r="AC1426" s="22" t="n">
        <f>11942</f>
        <v>11942.0</v>
      </c>
      <c r="AD1426" s="5" t="s">
        <v>76</v>
      </c>
      <c r="AE1426" s="23" t="n">
        <f>1253</f>
        <v>1253.0</v>
      </c>
    </row>
    <row r="1427">
      <c r="A1427" s="24" t="s">
        <v>2478</v>
      </c>
      <c r="B1427" s="25" t="s">
        <v>2479</v>
      </c>
      <c r="C1427" s="26" t="s">
        <v>1752</v>
      </c>
      <c r="D1427" s="27" t="s">
        <v>1753</v>
      </c>
      <c r="E1427" s="28" t="s">
        <v>389</v>
      </c>
      <c r="F1427" s="20" t="n">
        <f>124</f>
        <v>124.0</v>
      </c>
      <c r="G1427" s="21" t="n">
        <f>60298</f>
        <v>60298.0</v>
      </c>
      <c r="H1427" s="21"/>
      <c r="I1427" s="21" t="n">
        <f>2740</f>
        <v>2740.0</v>
      </c>
      <c r="J1427" s="21" t="n">
        <f>486</f>
        <v>486.0</v>
      </c>
      <c r="K1427" s="21" t="n">
        <f>22</f>
        <v>22.0</v>
      </c>
      <c r="L1427" s="4" t="s">
        <v>213</v>
      </c>
      <c r="M1427" s="22" t="n">
        <f>5525</f>
        <v>5525.0</v>
      </c>
      <c r="N1427" s="5" t="s">
        <v>224</v>
      </c>
      <c r="O1427" s="23" t="str">
        <f>"－"</f>
        <v>－</v>
      </c>
      <c r="P1427" s="3" t="s">
        <v>2544</v>
      </c>
      <c r="Q1427" s="21"/>
      <c r="R1427" s="3" t="s">
        <v>2545</v>
      </c>
      <c r="S1427" s="21" t="n">
        <f>3147274</f>
        <v>3147274.0</v>
      </c>
      <c r="T1427" s="21" t="n">
        <f>375137</f>
        <v>375137.0</v>
      </c>
      <c r="U1427" s="5" t="s">
        <v>97</v>
      </c>
      <c r="V1427" s="23" t="n">
        <f>53450000</f>
        <v>5.345E7</v>
      </c>
      <c r="W1427" s="5" t="s">
        <v>224</v>
      </c>
      <c r="X1427" s="23" t="str">
        <f>"－"</f>
        <v>－</v>
      </c>
      <c r="Y1427" s="23" t="n">
        <f>9817</f>
        <v>9817.0</v>
      </c>
      <c r="Z1427" s="21" t="str">
        <f>"－"</f>
        <v>－</v>
      </c>
      <c r="AA1427" s="21" t="n">
        <f>4813</f>
        <v>4813.0</v>
      </c>
      <c r="AB1427" s="4" t="s">
        <v>818</v>
      </c>
      <c r="AC1427" s="22" t="n">
        <f>21854</f>
        <v>21854.0</v>
      </c>
      <c r="AD1427" s="5" t="s">
        <v>76</v>
      </c>
      <c r="AE1427" s="23" t="n">
        <f>1653</f>
        <v>1653.0</v>
      </c>
    </row>
    <row r="1428">
      <c r="A1428" s="24" t="s">
        <v>2478</v>
      </c>
      <c r="B1428" s="25" t="s">
        <v>2479</v>
      </c>
      <c r="C1428" s="26" t="s">
        <v>1744</v>
      </c>
      <c r="D1428" s="27" t="s">
        <v>1745</v>
      </c>
      <c r="E1428" s="28" t="s">
        <v>393</v>
      </c>
      <c r="F1428" s="20" t="n">
        <f>121</f>
        <v>121.0</v>
      </c>
      <c r="G1428" s="21" t="n">
        <f>26507</f>
        <v>26507.0</v>
      </c>
      <c r="H1428" s="21"/>
      <c r="I1428" s="21" t="n">
        <f>3524</f>
        <v>3524.0</v>
      </c>
      <c r="J1428" s="21" t="n">
        <f>219</f>
        <v>219.0</v>
      </c>
      <c r="K1428" s="21" t="n">
        <f>29</f>
        <v>29.0</v>
      </c>
      <c r="L1428" s="4" t="s">
        <v>432</v>
      </c>
      <c r="M1428" s="22" t="n">
        <f>3423</f>
        <v>3423.0</v>
      </c>
      <c r="N1428" s="5" t="s">
        <v>279</v>
      </c>
      <c r="O1428" s="23" t="str">
        <f>"－"</f>
        <v>－</v>
      </c>
      <c r="P1428" s="3" t="s">
        <v>2546</v>
      </c>
      <c r="Q1428" s="21"/>
      <c r="R1428" s="3" t="s">
        <v>2547</v>
      </c>
      <c r="S1428" s="21" t="n">
        <f>2609399</f>
        <v>2609399.0</v>
      </c>
      <c r="T1428" s="21" t="n">
        <f>168938</f>
        <v>168938.0</v>
      </c>
      <c r="U1428" s="5" t="s">
        <v>308</v>
      </c>
      <c r="V1428" s="23" t="n">
        <f>130486500</f>
        <v>1.304865E8</v>
      </c>
      <c r="W1428" s="5" t="s">
        <v>279</v>
      </c>
      <c r="X1428" s="23" t="str">
        <f>"－"</f>
        <v>－</v>
      </c>
      <c r="Y1428" s="23" t="n">
        <f>5519</f>
        <v>5519.0</v>
      </c>
      <c r="Z1428" s="21" t="str">
        <f>"－"</f>
        <v>－</v>
      </c>
      <c r="AA1428" s="21" t="n">
        <f>2690</f>
        <v>2690.0</v>
      </c>
      <c r="AB1428" s="4" t="s">
        <v>54</v>
      </c>
      <c r="AC1428" s="22" t="n">
        <f>11725</f>
        <v>11725.0</v>
      </c>
      <c r="AD1428" s="5" t="s">
        <v>194</v>
      </c>
      <c r="AE1428" s="23" t="n">
        <f>679</f>
        <v>679.0</v>
      </c>
    </row>
    <row r="1429">
      <c r="A1429" s="24" t="s">
        <v>2478</v>
      </c>
      <c r="B1429" s="25" t="s">
        <v>2479</v>
      </c>
      <c r="C1429" s="26" t="s">
        <v>1748</v>
      </c>
      <c r="D1429" s="27" t="s">
        <v>1749</v>
      </c>
      <c r="E1429" s="28" t="s">
        <v>393</v>
      </c>
      <c r="F1429" s="20" t="n">
        <f>121</f>
        <v>121.0</v>
      </c>
      <c r="G1429" s="21" t="n">
        <f>10795</f>
        <v>10795.0</v>
      </c>
      <c r="H1429" s="21"/>
      <c r="I1429" s="21" t="n">
        <f>400</f>
        <v>400.0</v>
      </c>
      <c r="J1429" s="21" t="n">
        <f>89</f>
        <v>89.0</v>
      </c>
      <c r="K1429" s="21" t="n">
        <f>3</f>
        <v>3.0</v>
      </c>
      <c r="L1429" s="4" t="s">
        <v>184</v>
      </c>
      <c r="M1429" s="22" t="n">
        <f>1174</f>
        <v>1174.0</v>
      </c>
      <c r="N1429" s="5" t="s">
        <v>260</v>
      </c>
      <c r="O1429" s="23" t="str">
        <f>"－"</f>
        <v>－</v>
      </c>
      <c r="P1429" s="3" t="s">
        <v>2548</v>
      </c>
      <c r="Q1429" s="21"/>
      <c r="R1429" s="3" t="s">
        <v>2549</v>
      </c>
      <c r="S1429" s="21" t="n">
        <f>550943</f>
        <v>550943.0</v>
      </c>
      <c r="T1429" s="21" t="n">
        <f>14876</f>
        <v>14876.0</v>
      </c>
      <c r="U1429" s="5" t="s">
        <v>865</v>
      </c>
      <c r="V1429" s="23" t="n">
        <f>7000000</f>
        <v>7000000.0</v>
      </c>
      <c r="W1429" s="5" t="s">
        <v>260</v>
      </c>
      <c r="X1429" s="23" t="str">
        <f>"－"</f>
        <v>－</v>
      </c>
      <c r="Y1429" s="23" t="n">
        <f>949</f>
        <v>949.0</v>
      </c>
      <c r="Z1429" s="21" t="str">
        <f>"－"</f>
        <v>－</v>
      </c>
      <c r="AA1429" s="21" t="n">
        <f>2419</f>
        <v>2419.0</v>
      </c>
      <c r="AB1429" s="4" t="s">
        <v>90</v>
      </c>
      <c r="AC1429" s="22" t="n">
        <f>3968</f>
        <v>3968.0</v>
      </c>
      <c r="AD1429" s="5" t="s">
        <v>1523</v>
      </c>
      <c r="AE1429" s="23" t="n">
        <f>862</f>
        <v>862.0</v>
      </c>
    </row>
    <row r="1430">
      <c r="A1430" s="24" t="s">
        <v>2478</v>
      </c>
      <c r="B1430" s="25" t="s">
        <v>2479</v>
      </c>
      <c r="C1430" s="26" t="s">
        <v>1752</v>
      </c>
      <c r="D1430" s="27" t="s">
        <v>1753</v>
      </c>
      <c r="E1430" s="28" t="s">
        <v>393</v>
      </c>
      <c r="F1430" s="20" t="n">
        <f>121</f>
        <v>121.0</v>
      </c>
      <c r="G1430" s="21" t="n">
        <f>37302</f>
        <v>37302.0</v>
      </c>
      <c r="H1430" s="21"/>
      <c r="I1430" s="21" t="n">
        <f>3924</f>
        <v>3924.0</v>
      </c>
      <c r="J1430" s="21" t="n">
        <f>308</f>
        <v>308.0</v>
      </c>
      <c r="K1430" s="21" t="n">
        <f>32</f>
        <v>32.0</v>
      </c>
      <c r="L1430" s="4" t="s">
        <v>432</v>
      </c>
      <c r="M1430" s="22" t="n">
        <f>4244</f>
        <v>4244.0</v>
      </c>
      <c r="N1430" s="5" t="s">
        <v>260</v>
      </c>
      <c r="O1430" s="23" t="str">
        <f>"－"</f>
        <v>－</v>
      </c>
      <c r="P1430" s="3" t="s">
        <v>2550</v>
      </c>
      <c r="Q1430" s="21"/>
      <c r="R1430" s="3" t="s">
        <v>2551</v>
      </c>
      <c r="S1430" s="21" t="n">
        <f>3160342</f>
        <v>3160342.0</v>
      </c>
      <c r="T1430" s="21" t="n">
        <f>183814</f>
        <v>183814.0</v>
      </c>
      <c r="U1430" s="5" t="s">
        <v>308</v>
      </c>
      <c r="V1430" s="23" t="n">
        <f>130486500</f>
        <v>1.304865E8</v>
      </c>
      <c r="W1430" s="5" t="s">
        <v>260</v>
      </c>
      <c r="X1430" s="23" t="str">
        <f>"－"</f>
        <v>－</v>
      </c>
      <c r="Y1430" s="23" t="n">
        <f>6468</f>
        <v>6468.0</v>
      </c>
      <c r="Z1430" s="21" t="str">
        <f>"－"</f>
        <v>－</v>
      </c>
      <c r="AA1430" s="21" t="n">
        <f>5109</f>
        <v>5109.0</v>
      </c>
      <c r="AB1430" s="4" t="s">
        <v>54</v>
      </c>
      <c r="AC1430" s="22" t="n">
        <f>15356</f>
        <v>15356.0</v>
      </c>
      <c r="AD1430" s="5" t="s">
        <v>194</v>
      </c>
      <c r="AE1430" s="23" t="n">
        <f>1666</f>
        <v>1666.0</v>
      </c>
    </row>
    <row r="1431">
      <c r="A1431" s="24" t="s">
        <v>2478</v>
      </c>
      <c r="B1431" s="25" t="s">
        <v>2479</v>
      </c>
      <c r="C1431" s="26" t="s">
        <v>1744</v>
      </c>
      <c r="D1431" s="27" t="s">
        <v>1745</v>
      </c>
      <c r="E1431" s="28" t="s">
        <v>397</v>
      </c>
      <c r="F1431" s="20" t="n">
        <f>125</f>
        <v>125.0</v>
      </c>
      <c r="G1431" s="21" t="n">
        <f>13890</f>
        <v>13890.0</v>
      </c>
      <c r="H1431" s="21"/>
      <c r="I1431" s="21" t="n">
        <f>7341</f>
        <v>7341.0</v>
      </c>
      <c r="J1431" s="21" t="n">
        <f>111</f>
        <v>111.0</v>
      </c>
      <c r="K1431" s="21" t="n">
        <f>59</f>
        <v>59.0</v>
      </c>
      <c r="L1431" s="4" t="s">
        <v>183</v>
      </c>
      <c r="M1431" s="22" t="n">
        <f>2200</f>
        <v>2200.0</v>
      </c>
      <c r="N1431" s="5" t="s">
        <v>335</v>
      </c>
      <c r="O1431" s="23" t="str">
        <f>"－"</f>
        <v>－</v>
      </c>
      <c r="P1431" s="3" t="s">
        <v>2552</v>
      </c>
      <c r="Q1431" s="21"/>
      <c r="R1431" s="3" t="s">
        <v>2553</v>
      </c>
      <c r="S1431" s="21" t="n">
        <f>503065</f>
        <v>503065.0</v>
      </c>
      <c r="T1431" s="21" t="n">
        <f>180174</f>
        <v>180174.0</v>
      </c>
      <c r="U1431" s="5" t="s">
        <v>481</v>
      </c>
      <c r="V1431" s="23" t="n">
        <f>5659500</f>
        <v>5659500.0</v>
      </c>
      <c r="W1431" s="5" t="s">
        <v>335</v>
      </c>
      <c r="X1431" s="23" t="str">
        <f>"－"</f>
        <v>－</v>
      </c>
      <c r="Y1431" s="23" t="n">
        <f>2868</f>
        <v>2868.0</v>
      </c>
      <c r="Z1431" s="21" t="str">
        <f>"－"</f>
        <v>－</v>
      </c>
      <c r="AA1431" s="21" t="n">
        <f>64</f>
        <v>64.0</v>
      </c>
      <c r="AB1431" s="4" t="s">
        <v>594</v>
      </c>
      <c r="AC1431" s="22" t="n">
        <f>4646</f>
        <v>4646.0</v>
      </c>
      <c r="AD1431" s="5" t="s">
        <v>61</v>
      </c>
      <c r="AE1431" s="23" t="n">
        <f>5</f>
        <v>5.0</v>
      </c>
    </row>
    <row r="1432">
      <c r="A1432" s="24" t="s">
        <v>2478</v>
      </c>
      <c r="B1432" s="25" t="s">
        <v>2479</v>
      </c>
      <c r="C1432" s="26" t="s">
        <v>1748</v>
      </c>
      <c r="D1432" s="27" t="s">
        <v>1749</v>
      </c>
      <c r="E1432" s="28" t="s">
        <v>397</v>
      </c>
      <c r="F1432" s="20" t="n">
        <f>125</f>
        <v>125.0</v>
      </c>
      <c r="G1432" s="21" t="n">
        <f>13565</f>
        <v>13565.0</v>
      </c>
      <c r="H1432" s="21"/>
      <c r="I1432" s="21" t="n">
        <f>566</f>
        <v>566.0</v>
      </c>
      <c r="J1432" s="21" t="n">
        <f>109</f>
        <v>109.0</v>
      </c>
      <c r="K1432" s="21" t="n">
        <f>5</f>
        <v>5.0</v>
      </c>
      <c r="L1432" s="4" t="s">
        <v>224</v>
      </c>
      <c r="M1432" s="22" t="n">
        <f>1644</f>
        <v>1644.0</v>
      </c>
      <c r="N1432" s="5" t="s">
        <v>666</v>
      </c>
      <c r="O1432" s="23" t="str">
        <f>"－"</f>
        <v>－</v>
      </c>
      <c r="P1432" s="3" t="s">
        <v>2554</v>
      </c>
      <c r="Q1432" s="21"/>
      <c r="R1432" s="3" t="s">
        <v>2555</v>
      </c>
      <c r="S1432" s="21" t="n">
        <f>445662</f>
        <v>445662.0</v>
      </c>
      <c r="T1432" s="21" t="n">
        <f>39672</f>
        <v>39672.0</v>
      </c>
      <c r="U1432" s="5" t="s">
        <v>224</v>
      </c>
      <c r="V1432" s="23" t="n">
        <f>7206500</f>
        <v>7206500.0</v>
      </c>
      <c r="W1432" s="5" t="s">
        <v>666</v>
      </c>
      <c r="X1432" s="23" t="str">
        <f>"－"</f>
        <v>－</v>
      </c>
      <c r="Y1432" s="23" t="n">
        <f>1492</f>
        <v>1492.0</v>
      </c>
      <c r="Z1432" s="21" t="str">
        <f>"－"</f>
        <v>－</v>
      </c>
      <c r="AA1432" s="21" t="n">
        <f>2154</f>
        <v>2154.0</v>
      </c>
      <c r="AB1432" s="4" t="s">
        <v>193</v>
      </c>
      <c r="AC1432" s="22" t="n">
        <f>3424</f>
        <v>3424.0</v>
      </c>
      <c r="AD1432" s="5" t="s">
        <v>107</v>
      </c>
      <c r="AE1432" s="23" t="n">
        <f>242</f>
        <v>242.0</v>
      </c>
    </row>
    <row r="1433">
      <c r="A1433" s="24" t="s">
        <v>2478</v>
      </c>
      <c r="B1433" s="25" t="s">
        <v>2479</v>
      </c>
      <c r="C1433" s="26" t="s">
        <v>1752</v>
      </c>
      <c r="D1433" s="27" t="s">
        <v>1753</v>
      </c>
      <c r="E1433" s="28" t="s">
        <v>397</v>
      </c>
      <c r="F1433" s="20" t="n">
        <f>125</f>
        <v>125.0</v>
      </c>
      <c r="G1433" s="21" t="n">
        <f>27455</f>
        <v>27455.0</v>
      </c>
      <c r="H1433" s="21"/>
      <c r="I1433" s="21" t="n">
        <f>7907</f>
        <v>7907.0</v>
      </c>
      <c r="J1433" s="21" t="n">
        <f>220</f>
        <v>220.0</v>
      </c>
      <c r="K1433" s="21" t="n">
        <f>63</f>
        <v>63.0</v>
      </c>
      <c r="L1433" s="4" t="s">
        <v>183</v>
      </c>
      <c r="M1433" s="22" t="n">
        <f>2330</f>
        <v>2330.0</v>
      </c>
      <c r="N1433" s="5" t="s">
        <v>666</v>
      </c>
      <c r="O1433" s="23" t="str">
        <f>"－"</f>
        <v>－</v>
      </c>
      <c r="P1433" s="3" t="s">
        <v>2556</v>
      </c>
      <c r="Q1433" s="21"/>
      <c r="R1433" s="3" t="s">
        <v>2557</v>
      </c>
      <c r="S1433" s="21" t="n">
        <f>948727</f>
        <v>948727.0</v>
      </c>
      <c r="T1433" s="21" t="n">
        <f>219846</f>
        <v>219846.0</v>
      </c>
      <c r="U1433" s="5" t="s">
        <v>224</v>
      </c>
      <c r="V1433" s="23" t="n">
        <f>8731000</f>
        <v>8731000.0</v>
      </c>
      <c r="W1433" s="5" t="s">
        <v>666</v>
      </c>
      <c r="X1433" s="23" t="str">
        <f>"－"</f>
        <v>－</v>
      </c>
      <c r="Y1433" s="23" t="n">
        <f>4360</f>
        <v>4360.0</v>
      </c>
      <c r="Z1433" s="21" t="str">
        <f>"－"</f>
        <v>－</v>
      </c>
      <c r="AA1433" s="21" t="n">
        <f>2218</f>
        <v>2218.0</v>
      </c>
      <c r="AB1433" s="4" t="s">
        <v>213</v>
      </c>
      <c r="AC1433" s="22" t="n">
        <f>7934</f>
        <v>7934.0</v>
      </c>
      <c r="AD1433" s="5" t="s">
        <v>61</v>
      </c>
      <c r="AE1433" s="23" t="n">
        <f>431</f>
        <v>431.0</v>
      </c>
    </row>
    <row r="1434">
      <c r="A1434" s="24" t="s">
        <v>2478</v>
      </c>
      <c r="B1434" s="25" t="s">
        <v>2479</v>
      </c>
      <c r="C1434" s="26" t="s">
        <v>1744</v>
      </c>
      <c r="D1434" s="27" t="s">
        <v>1745</v>
      </c>
      <c r="E1434" s="28" t="s">
        <v>401</v>
      </c>
      <c r="F1434" s="20" t="n">
        <f>120</f>
        <v>120.0</v>
      </c>
      <c r="G1434" s="21" t="n">
        <f>126732</f>
        <v>126732.0</v>
      </c>
      <c r="H1434" s="21"/>
      <c r="I1434" s="21" t="n">
        <f>14401</f>
        <v>14401.0</v>
      </c>
      <c r="J1434" s="21" t="n">
        <f>1056</f>
        <v>1056.0</v>
      </c>
      <c r="K1434" s="21" t="n">
        <f>120</f>
        <v>120.0</v>
      </c>
      <c r="L1434" s="4" t="s">
        <v>634</v>
      </c>
      <c r="M1434" s="22" t="n">
        <f>17800</f>
        <v>17800.0</v>
      </c>
      <c r="N1434" s="5" t="s">
        <v>279</v>
      </c>
      <c r="O1434" s="23" t="str">
        <f>"－"</f>
        <v>－</v>
      </c>
      <c r="P1434" s="3" t="s">
        <v>2558</v>
      </c>
      <c r="Q1434" s="21"/>
      <c r="R1434" s="3" t="s">
        <v>2559</v>
      </c>
      <c r="S1434" s="21" t="n">
        <f>6621056</f>
        <v>6621056.0</v>
      </c>
      <c r="T1434" s="21" t="n">
        <f>466681</f>
        <v>466681.0</v>
      </c>
      <c r="U1434" s="5" t="s">
        <v>197</v>
      </c>
      <c r="V1434" s="23" t="n">
        <f>187655000</f>
        <v>1.87655E8</v>
      </c>
      <c r="W1434" s="5" t="s">
        <v>279</v>
      </c>
      <c r="X1434" s="23" t="str">
        <f>"－"</f>
        <v>－</v>
      </c>
      <c r="Y1434" s="23" t="n">
        <f>25515</f>
        <v>25515.0</v>
      </c>
      <c r="Z1434" s="21" t="str">
        <f>"－"</f>
        <v>－</v>
      </c>
      <c r="AA1434" s="21" t="n">
        <f>10323</f>
        <v>10323.0</v>
      </c>
      <c r="AB1434" s="4" t="s">
        <v>300</v>
      </c>
      <c r="AC1434" s="22" t="n">
        <f>69656</f>
        <v>69656.0</v>
      </c>
      <c r="AD1434" s="5" t="s">
        <v>279</v>
      </c>
      <c r="AE1434" s="23" t="n">
        <f>64</f>
        <v>64.0</v>
      </c>
    </row>
    <row r="1435">
      <c r="A1435" s="24" t="s">
        <v>2478</v>
      </c>
      <c r="B1435" s="25" t="s">
        <v>2479</v>
      </c>
      <c r="C1435" s="26" t="s">
        <v>1748</v>
      </c>
      <c r="D1435" s="27" t="s">
        <v>1749</v>
      </c>
      <c r="E1435" s="28" t="s">
        <v>401</v>
      </c>
      <c r="F1435" s="20" t="n">
        <f>120</f>
        <v>120.0</v>
      </c>
      <c r="G1435" s="21" t="n">
        <f>49568</f>
        <v>49568.0</v>
      </c>
      <c r="H1435" s="21"/>
      <c r="I1435" s="21" t="n">
        <f>3278</f>
        <v>3278.0</v>
      </c>
      <c r="J1435" s="21" t="n">
        <f>413</f>
        <v>413.0</v>
      </c>
      <c r="K1435" s="21" t="n">
        <f>27</f>
        <v>27.0</v>
      </c>
      <c r="L1435" s="4" t="s">
        <v>987</v>
      </c>
      <c r="M1435" s="22" t="n">
        <f>10650</f>
        <v>10650.0</v>
      </c>
      <c r="N1435" s="5" t="s">
        <v>279</v>
      </c>
      <c r="O1435" s="23" t="str">
        <f>"－"</f>
        <v>－</v>
      </c>
      <c r="P1435" s="3" t="s">
        <v>2560</v>
      </c>
      <c r="Q1435" s="21"/>
      <c r="R1435" s="3" t="s">
        <v>2561</v>
      </c>
      <c r="S1435" s="21" t="n">
        <f>1560953</f>
        <v>1560953.0</v>
      </c>
      <c r="T1435" s="21" t="n">
        <f>280396</f>
        <v>280396.0</v>
      </c>
      <c r="U1435" s="5" t="s">
        <v>987</v>
      </c>
      <c r="V1435" s="23" t="n">
        <f>24475000</f>
        <v>2.4475E7</v>
      </c>
      <c r="W1435" s="5" t="s">
        <v>279</v>
      </c>
      <c r="X1435" s="23" t="str">
        <f>"－"</f>
        <v>－</v>
      </c>
      <c r="Y1435" s="23" t="n">
        <f>1255</f>
        <v>1255.0</v>
      </c>
      <c r="Z1435" s="21" t="str">
        <f>"－"</f>
        <v>－</v>
      </c>
      <c r="AA1435" s="21" t="n">
        <f>14355</f>
        <v>14355.0</v>
      </c>
      <c r="AB1435" s="4" t="s">
        <v>1009</v>
      </c>
      <c r="AC1435" s="22" t="n">
        <f>24936</f>
        <v>24936.0</v>
      </c>
      <c r="AD1435" s="5" t="s">
        <v>1277</v>
      </c>
      <c r="AE1435" s="23" t="n">
        <f>882</f>
        <v>882.0</v>
      </c>
    </row>
    <row r="1436">
      <c r="A1436" s="24" t="s">
        <v>2478</v>
      </c>
      <c r="B1436" s="25" t="s">
        <v>2479</v>
      </c>
      <c r="C1436" s="26" t="s">
        <v>1752</v>
      </c>
      <c r="D1436" s="27" t="s">
        <v>1753</v>
      </c>
      <c r="E1436" s="28" t="s">
        <v>401</v>
      </c>
      <c r="F1436" s="20" t="n">
        <f>120</f>
        <v>120.0</v>
      </c>
      <c r="G1436" s="21" t="n">
        <f>176300</f>
        <v>176300.0</v>
      </c>
      <c r="H1436" s="21"/>
      <c r="I1436" s="21" t="n">
        <f>17679</f>
        <v>17679.0</v>
      </c>
      <c r="J1436" s="21" t="n">
        <f>1469</f>
        <v>1469.0</v>
      </c>
      <c r="K1436" s="21" t="n">
        <f>147</f>
        <v>147.0</v>
      </c>
      <c r="L1436" s="4" t="s">
        <v>197</v>
      </c>
      <c r="M1436" s="22" t="n">
        <f>22625</f>
        <v>22625.0</v>
      </c>
      <c r="N1436" s="5" t="s">
        <v>279</v>
      </c>
      <c r="O1436" s="23" t="str">
        <f>"－"</f>
        <v>－</v>
      </c>
      <c r="P1436" s="3" t="s">
        <v>2562</v>
      </c>
      <c r="Q1436" s="21"/>
      <c r="R1436" s="3" t="s">
        <v>2563</v>
      </c>
      <c r="S1436" s="21" t="n">
        <f>8182009</f>
        <v>8182009.0</v>
      </c>
      <c r="T1436" s="21" t="n">
        <f>747077</f>
        <v>747077.0</v>
      </c>
      <c r="U1436" s="5" t="s">
        <v>197</v>
      </c>
      <c r="V1436" s="23" t="n">
        <f>206655000</f>
        <v>2.06655E8</v>
      </c>
      <c r="W1436" s="5" t="s">
        <v>279</v>
      </c>
      <c r="X1436" s="23" t="str">
        <f>"－"</f>
        <v>－</v>
      </c>
      <c r="Y1436" s="23" t="n">
        <f>26770</f>
        <v>26770.0</v>
      </c>
      <c r="Z1436" s="21" t="str">
        <f>"－"</f>
        <v>－</v>
      </c>
      <c r="AA1436" s="21" t="n">
        <f>24678</f>
        <v>24678.0</v>
      </c>
      <c r="AB1436" s="4" t="s">
        <v>1009</v>
      </c>
      <c r="AC1436" s="22" t="n">
        <f>93862</f>
        <v>93862.0</v>
      </c>
      <c r="AD1436" s="5" t="s">
        <v>2061</v>
      </c>
      <c r="AE1436" s="23" t="n">
        <f>927</f>
        <v>927.0</v>
      </c>
    </row>
    <row r="1437">
      <c r="A1437" s="24" t="s">
        <v>2478</v>
      </c>
      <c r="B1437" s="25" t="s">
        <v>2479</v>
      </c>
      <c r="C1437" s="26" t="s">
        <v>1744</v>
      </c>
      <c r="D1437" s="27" t="s">
        <v>1745</v>
      </c>
      <c r="E1437" s="28" t="s">
        <v>405</v>
      </c>
      <c r="F1437" s="20" t="n">
        <f>123</f>
        <v>123.0</v>
      </c>
      <c r="G1437" s="21" t="n">
        <f>219279</f>
        <v>219279.0</v>
      </c>
      <c r="H1437" s="21"/>
      <c r="I1437" s="21" t="n">
        <f>293</f>
        <v>293.0</v>
      </c>
      <c r="J1437" s="21" t="n">
        <f>1783</f>
        <v>1783.0</v>
      </c>
      <c r="K1437" s="21" t="n">
        <f>2</f>
        <v>2.0</v>
      </c>
      <c r="L1437" s="4" t="s">
        <v>119</v>
      </c>
      <c r="M1437" s="22" t="n">
        <f>50700</f>
        <v>50700.0</v>
      </c>
      <c r="N1437" s="5" t="s">
        <v>335</v>
      </c>
      <c r="O1437" s="23" t="str">
        <f>"－"</f>
        <v>－</v>
      </c>
      <c r="P1437" s="3" t="s">
        <v>2564</v>
      </c>
      <c r="Q1437" s="21"/>
      <c r="R1437" s="3" t="s">
        <v>2565</v>
      </c>
      <c r="S1437" s="21" t="n">
        <f>7032789</f>
        <v>7032789.0</v>
      </c>
      <c r="T1437" s="21" t="n">
        <f>6744</f>
        <v>6744.0</v>
      </c>
      <c r="U1437" s="5" t="s">
        <v>119</v>
      </c>
      <c r="V1437" s="23" t="n">
        <f>176712500</f>
        <v>1.767125E8</v>
      </c>
      <c r="W1437" s="5" t="s">
        <v>335</v>
      </c>
      <c r="X1437" s="23" t="str">
        <f>"－"</f>
        <v>－</v>
      </c>
      <c r="Y1437" s="23" t="n">
        <f>735</f>
        <v>735.0</v>
      </c>
      <c r="Z1437" s="21" t="str">
        <f>"－"</f>
        <v>－</v>
      </c>
      <c r="AA1437" s="21" t="n">
        <f>65700</f>
        <v>65700.0</v>
      </c>
      <c r="AB1437" s="4" t="s">
        <v>972</v>
      </c>
      <c r="AC1437" s="22" t="n">
        <f>93622</f>
        <v>93622.0</v>
      </c>
      <c r="AD1437" s="5" t="s">
        <v>335</v>
      </c>
      <c r="AE1437" s="23" t="n">
        <f>13473</f>
        <v>13473.0</v>
      </c>
    </row>
    <row r="1438">
      <c r="A1438" s="24" t="s">
        <v>2478</v>
      </c>
      <c r="B1438" s="25" t="s">
        <v>2479</v>
      </c>
      <c r="C1438" s="26" t="s">
        <v>1748</v>
      </c>
      <c r="D1438" s="27" t="s">
        <v>1749</v>
      </c>
      <c r="E1438" s="28" t="s">
        <v>405</v>
      </c>
      <c r="F1438" s="20" t="n">
        <f>123</f>
        <v>123.0</v>
      </c>
      <c r="G1438" s="21" t="n">
        <f>64129</f>
        <v>64129.0</v>
      </c>
      <c r="H1438" s="21"/>
      <c r="I1438" s="21" t="n">
        <f>153</f>
        <v>153.0</v>
      </c>
      <c r="J1438" s="21" t="n">
        <f>521</f>
        <v>521.0</v>
      </c>
      <c r="K1438" s="21" t="n">
        <f>1</f>
        <v>1.0</v>
      </c>
      <c r="L1438" s="4" t="s">
        <v>310</v>
      </c>
      <c r="M1438" s="22" t="n">
        <f>22500</f>
        <v>22500.0</v>
      </c>
      <c r="N1438" s="5" t="s">
        <v>335</v>
      </c>
      <c r="O1438" s="23" t="str">
        <f>"－"</f>
        <v>－</v>
      </c>
      <c r="P1438" s="3" t="s">
        <v>2566</v>
      </c>
      <c r="Q1438" s="21"/>
      <c r="R1438" s="3" t="s">
        <v>2567</v>
      </c>
      <c r="S1438" s="21" t="n">
        <f>1982374</f>
        <v>1982374.0</v>
      </c>
      <c r="T1438" s="21" t="n">
        <f>17817</f>
        <v>17817.0</v>
      </c>
      <c r="U1438" s="5" t="s">
        <v>1546</v>
      </c>
      <c r="V1438" s="23" t="n">
        <f>57125000</f>
        <v>5.7125E7</v>
      </c>
      <c r="W1438" s="5" t="s">
        <v>335</v>
      </c>
      <c r="X1438" s="23" t="str">
        <f>"－"</f>
        <v>－</v>
      </c>
      <c r="Y1438" s="23" t="n">
        <f>9912</f>
        <v>9912.0</v>
      </c>
      <c r="Z1438" s="21" t="str">
        <f>"－"</f>
        <v>－</v>
      </c>
      <c r="AA1438" s="21" t="n">
        <f>1245</f>
        <v>1245.0</v>
      </c>
      <c r="AB1438" s="4" t="s">
        <v>859</v>
      </c>
      <c r="AC1438" s="22" t="n">
        <f>22319</f>
        <v>22319.0</v>
      </c>
      <c r="AD1438" s="5" t="s">
        <v>193</v>
      </c>
      <c r="AE1438" s="23" t="n">
        <f>65</f>
        <v>65.0</v>
      </c>
    </row>
    <row r="1439">
      <c r="A1439" s="24" t="s">
        <v>2478</v>
      </c>
      <c r="B1439" s="25" t="s">
        <v>2479</v>
      </c>
      <c r="C1439" s="26" t="s">
        <v>1752</v>
      </c>
      <c r="D1439" s="27" t="s">
        <v>1753</v>
      </c>
      <c r="E1439" s="28" t="s">
        <v>405</v>
      </c>
      <c r="F1439" s="20" t="n">
        <f>123</f>
        <v>123.0</v>
      </c>
      <c r="G1439" s="21" t="n">
        <f>283408</f>
        <v>283408.0</v>
      </c>
      <c r="H1439" s="21"/>
      <c r="I1439" s="21" t="n">
        <f>446</f>
        <v>446.0</v>
      </c>
      <c r="J1439" s="21" t="n">
        <f>2304</f>
        <v>2304.0</v>
      </c>
      <c r="K1439" s="21" t="n">
        <f>4</f>
        <v>4.0</v>
      </c>
      <c r="L1439" s="4" t="s">
        <v>119</v>
      </c>
      <c r="M1439" s="22" t="n">
        <f>51200</f>
        <v>51200.0</v>
      </c>
      <c r="N1439" s="5" t="s">
        <v>335</v>
      </c>
      <c r="O1439" s="23" t="str">
        <f>"－"</f>
        <v>－</v>
      </c>
      <c r="P1439" s="3" t="s">
        <v>2568</v>
      </c>
      <c r="Q1439" s="21"/>
      <c r="R1439" s="3" t="s">
        <v>2569</v>
      </c>
      <c r="S1439" s="21" t="n">
        <f>9015163</f>
        <v>9015163.0</v>
      </c>
      <c r="T1439" s="21" t="n">
        <f>24561</f>
        <v>24561.0</v>
      </c>
      <c r="U1439" s="5" t="s">
        <v>119</v>
      </c>
      <c r="V1439" s="23" t="n">
        <f>180212500</f>
        <v>1.802125E8</v>
      </c>
      <c r="W1439" s="5" t="s">
        <v>335</v>
      </c>
      <c r="X1439" s="23" t="str">
        <f>"－"</f>
        <v>－</v>
      </c>
      <c r="Y1439" s="23" t="n">
        <f>10647</f>
        <v>10647.0</v>
      </c>
      <c r="Z1439" s="21" t="str">
        <f>"－"</f>
        <v>－</v>
      </c>
      <c r="AA1439" s="21" t="n">
        <f>66945</f>
        <v>66945.0</v>
      </c>
      <c r="AB1439" s="4" t="s">
        <v>859</v>
      </c>
      <c r="AC1439" s="22" t="n">
        <f>113805</f>
        <v>113805.0</v>
      </c>
      <c r="AD1439" s="5" t="s">
        <v>335</v>
      </c>
      <c r="AE1439" s="23" t="n">
        <f>30978</f>
        <v>30978.0</v>
      </c>
    </row>
    <row r="1440">
      <c r="A1440" s="24" t="s">
        <v>2478</v>
      </c>
      <c r="B1440" s="25" t="s">
        <v>2479</v>
      </c>
      <c r="C1440" s="26" t="s">
        <v>1744</v>
      </c>
      <c r="D1440" s="27" t="s">
        <v>1745</v>
      </c>
      <c r="E1440" s="28" t="s">
        <v>409</v>
      </c>
      <c r="F1440" s="20" t="n">
        <f>121</f>
        <v>121.0</v>
      </c>
      <c r="G1440" s="21" t="n">
        <f>260672</f>
        <v>260672.0</v>
      </c>
      <c r="H1440" s="21"/>
      <c r="I1440" s="21" t="n">
        <f>258835</f>
        <v>258835.0</v>
      </c>
      <c r="J1440" s="21" t="n">
        <f>2154</f>
        <v>2154.0</v>
      </c>
      <c r="K1440" s="21" t="n">
        <f>2139</f>
        <v>2139.0</v>
      </c>
      <c r="L1440" s="4" t="s">
        <v>49</v>
      </c>
      <c r="M1440" s="22" t="n">
        <f>42995</f>
        <v>42995.0</v>
      </c>
      <c r="N1440" s="5" t="s">
        <v>279</v>
      </c>
      <c r="O1440" s="23" t="str">
        <f>"－"</f>
        <v>－</v>
      </c>
      <c r="P1440" s="3" t="s">
        <v>2570</v>
      </c>
      <c r="Q1440" s="21"/>
      <c r="R1440" s="3" t="s">
        <v>2571</v>
      </c>
      <c r="S1440" s="21" t="n">
        <f>24151158</f>
        <v>2.4151158E7</v>
      </c>
      <c r="T1440" s="21" t="n">
        <f>24056798</f>
        <v>2.4056798E7</v>
      </c>
      <c r="U1440" s="5" t="s">
        <v>49</v>
      </c>
      <c r="V1440" s="23" t="n">
        <f>752683500</f>
        <v>7.526835E8</v>
      </c>
      <c r="W1440" s="5" t="s">
        <v>279</v>
      </c>
      <c r="X1440" s="23" t="str">
        <f>"－"</f>
        <v>－</v>
      </c>
      <c r="Y1440" s="23" t="n">
        <f>11550</f>
        <v>11550.0</v>
      </c>
      <c r="Z1440" s="21" t="n">
        <f>425</f>
        <v>425.0</v>
      </c>
      <c r="AA1440" s="21" t="n">
        <f>37397</f>
        <v>37397.0</v>
      </c>
      <c r="AB1440" s="4" t="s">
        <v>178</v>
      </c>
      <c r="AC1440" s="22" t="n">
        <f>71435</f>
        <v>71435.0</v>
      </c>
      <c r="AD1440" s="5" t="s">
        <v>197</v>
      </c>
      <c r="AE1440" s="23" t="n">
        <f>34858</f>
        <v>34858.0</v>
      </c>
    </row>
    <row r="1441">
      <c r="A1441" s="24" t="s">
        <v>2478</v>
      </c>
      <c r="B1441" s="25" t="s">
        <v>2479</v>
      </c>
      <c r="C1441" s="26" t="s">
        <v>1748</v>
      </c>
      <c r="D1441" s="27" t="s">
        <v>1749</v>
      </c>
      <c r="E1441" s="28" t="s">
        <v>409</v>
      </c>
      <c r="F1441" s="20" t="n">
        <f>121</f>
        <v>121.0</v>
      </c>
      <c r="G1441" s="21" t="n">
        <f>121799</f>
        <v>121799.0</v>
      </c>
      <c r="H1441" s="21"/>
      <c r="I1441" s="21" t="n">
        <f>118349</f>
        <v>118349.0</v>
      </c>
      <c r="J1441" s="21" t="n">
        <f>1007</f>
        <v>1007.0</v>
      </c>
      <c r="K1441" s="21" t="n">
        <f>978</f>
        <v>978.0</v>
      </c>
      <c r="L1441" s="4" t="s">
        <v>1144</v>
      </c>
      <c r="M1441" s="22" t="n">
        <f>13500</f>
        <v>13500.0</v>
      </c>
      <c r="N1441" s="5" t="s">
        <v>279</v>
      </c>
      <c r="O1441" s="23" t="str">
        <f>"－"</f>
        <v>－</v>
      </c>
      <c r="P1441" s="3" t="s">
        <v>2572</v>
      </c>
      <c r="Q1441" s="21"/>
      <c r="R1441" s="3" t="s">
        <v>2573</v>
      </c>
      <c r="S1441" s="21" t="n">
        <f>5076069</f>
        <v>5076069.0</v>
      </c>
      <c r="T1441" s="21" t="n">
        <f>4771979</f>
        <v>4771979.0</v>
      </c>
      <c r="U1441" s="5" t="s">
        <v>862</v>
      </c>
      <c r="V1441" s="23" t="n">
        <f>66100000</f>
        <v>6.61E7</v>
      </c>
      <c r="W1441" s="5" t="s">
        <v>279</v>
      </c>
      <c r="X1441" s="23" t="str">
        <f>"－"</f>
        <v>－</v>
      </c>
      <c r="Y1441" s="23" t="n">
        <f>25918</f>
        <v>25918.0</v>
      </c>
      <c r="Z1441" s="21" t="n">
        <f>455</f>
        <v>455.0</v>
      </c>
      <c r="AA1441" s="21" t="n">
        <f>8165</f>
        <v>8165.0</v>
      </c>
      <c r="AB1441" s="4" t="s">
        <v>137</v>
      </c>
      <c r="AC1441" s="22" t="n">
        <f>48969</f>
        <v>48969.0</v>
      </c>
      <c r="AD1441" s="5" t="s">
        <v>279</v>
      </c>
      <c r="AE1441" s="23" t="n">
        <f>2010</f>
        <v>2010.0</v>
      </c>
    </row>
    <row r="1442">
      <c r="A1442" s="24" t="s">
        <v>2478</v>
      </c>
      <c r="B1442" s="25" t="s">
        <v>2479</v>
      </c>
      <c r="C1442" s="26" t="s">
        <v>1752</v>
      </c>
      <c r="D1442" s="27" t="s">
        <v>1753</v>
      </c>
      <c r="E1442" s="28" t="s">
        <v>409</v>
      </c>
      <c r="F1442" s="20" t="n">
        <f>121</f>
        <v>121.0</v>
      </c>
      <c r="G1442" s="21" t="n">
        <f>382471</f>
        <v>382471.0</v>
      </c>
      <c r="H1442" s="21"/>
      <c r="I1442" s="21" t="n">
        <f>377184</f>
        <v>377184.0</v>
      </c>
      <c r="J1442" s="21" t="n">
        <f>3161</f>
        <v>3161.0</v>
      </c>
      <c r="K1442" s="21" t="n">
        <f>3117</f>
        <v>3117.0</v>
      </c>
      <c r="L1442" s="4" t="s">
        <v>49</v>
      </c>
      <c r="M1442" s="22" t="n">
        <f>43078</f>
        <v>43078.0</v>
      </c>
      <c r="N1442" s="5" t="s">
        <v>279</v>
      </c>
      <c r="O1442" s="23" t="str">
        <f>"－"</f>
        <v>－</v>
      </c>
      <c r="P1442" s="3" t="s">
        <v>2574</v>
      </c>
      <c r="Q1442" s="21"/>
      <c r="R1442" s="3" t="s">
        <v>2575</v>
      </c>
      <c r="S1442" s="21" t="n">
        <f>29227227</f>
        <v>2.9227227E7</v>
      </c>
      <c r="T1442" s="21" t="n">
        <f>28828777</f>
        <v>2.8828777E7</v>
      </c>
      <c r="U1442" s="5" t="s">
        <v>49</v>
      </c>
      <c r="V1442" s="23" t="n">
        <f>755379000</f>
        <v>7.55379E8</v>
      </c>
      <c r="W1442" s="5" t="s">
        <v>279</v>
      </c>
      <c r="X1442" s="23" t="str">
        <f>"－"</f>
        <v>－</v>
      </c>
      <c r="Y1442" s="23" t="n">
        <f>37468</f>
        <v>37468.0</v>
      </c>
      <c r="Z1442" s="21" t="n">
        <f>880</f>
        <v>880.0</v>
      </c>
      <c r="AA1442" s="21" t="n">
        <f>45562</f>
        <v>45562.0</v>
      </c>
      <c r="AB1442" s="4" t="s">
        <v>2190</v>
      </c>
      <c r="AC1442" s="22" t="n">
        <f>106942</f>
        <v>106942.0</v>
      </c>
      <c r="AD1442" s="5" t="s">
        <v>197</v>
      </c>
      <c r="AE1442" s="23" t="n">
        <f>39071</f>
        <v>39071.0</v>
      </c>
    </row>
    <row r="1443">
      <c r="A1443" s="24" t="s">
        <v>2478</v>
      </c>
      <c r="B1443" s="25" t="s">
        <v>2479</v>
      </c>
      <c r="C1443" s="26" t="s">
        <v>1744</v>
      </c>
      <c r="D1443" s="27" t="s">
        <v>1745</v>
      </c>
      <c r="E1443" s="28" t="s">
        <v>412</v>
      </c>
      <c r="F1443" s="20" t="n">
        <f>124</f>
        <v>124.0</v>
      </c>
      <c r="G1443" s="21" t="n">
        <f>104156</f>
        <v>104156.0</v>
      </c>
      <c r="H1443" s="21"/>
      <c r="I1443" s="21" t="n">
        <f>103439</f>
        <v>103439.0</v>
      </c>
      <c r="J1443" s="21" t="n">
        <f>840</f>
        <v>840.0</v>
      </c>
      <c r="K1443" s="21" t="n">
        <f>834</f>
        <v>834.0</v>
      </c>
      <c r="L1443" s="4" t="s">
        <v>88</v>
      </c>
      <c r="M1443" s="22" t="n">
        <f>22950</f>
        <v>22950.0</v>
      </c>
      <c r="N1443" s="5" t="s">
        <v>263</v>
      </c>
      <c r="O1443" s="23" t="str">
        <f>"－"</f>
        <v>－</v>
      </c>
      <c r="P1443" s="3" t="s">
        <v>2576</v>
      </c>
      <c r="Q1443" s="21"/>
      <c r="R1443" s="3" t="s">
        <v>2577</v>
      </c>
      <c r="S1443" s="21" t="n">
        <f>18677031</f>
        <v>1.8677031E7</v>
      </c>
      <c r="T1443" s="21" t="n">
        <f>18608616</f>
        <v>1.8608616E7</v>
      </c>
      <c r="U1443" s="5" t="s">
        <v>71</v>
      </c>
      <c r="V1443" s="23" t="n">
        <f>664760000</f>
        <v>6.6476E8</v>
      </c>
      <c r="W1443" s="5" t="s">
        <v>263</v>
      </c>
      <c r="X1443" s="23" t="str">
        <f>"－"</f>
        <v>－</v>
      </c>
      <c r="Y1443" s="23" t="n">
        <f>3370</f>
        <v>3370.0</v>
      </c>
      <c r="Z1443" s="21" t="str">
        <f>"－"</f>
        <v>－</v>
      </c>
      <c r="AA1443" s="21" t="n">
        <f>12975</f>
        <v>12975.0</v>
      </c>
      <c r="AB1443" s="4" t="s">
        <v>335</v>
      </c>
      <c r="AC1443" s="22" t="n">
        <f>39647</f>
        <v>39647.0</v>
      </c>
      <c r="AD1443" s="5" t="s">
        <v>1295</v>
      </c>
      <c r="AE1443" s="23" t="n">
        <f>12600</f>
        <v>12600.0</v>
      </c>
    </row>
    <row r="1444">
      <c r="A1444" s="24" t="s">
        <v>2478</v>
      </c>
      <c r="B1444" s="25" t="s">
        <v>2479</v>
      </c>
      <c r="C1444" s="26" t="s">
        <v>1748</v>
      </c>
      <c r="D1444" s="27" t="s">
        <v>1749</v>
      </c>
      <c r="E1444" s="28" t="s">
        <v>412</v>
      </c>
      <c r="F1444" s="20" t="n">
        <f>124</f>
        <v>124.0</v>
      </c>
      <c r="G1444" s="21" t="n">
        <f>224160</f>
        <v>224160.0</v>
      </c>
      <c r="H1444" s="21"/>
      <c r="I1444" s="21" t="n">
        <f>223411</f>
        <v>223411.0</v>
      </c>
      <c r="J1444" s="21" t="n">
        <f>1808</f>
        <v>1808.0</v>
      </c>
      <c r="K1444" s="21" t="n">
        <f>1802</f>
        <v>1802.0</v>
      </c>
      <c r="L1444" s="4" t="s">
        <v>230</v>
      </c>
      <c r="M1444" s="22" t="n">
        <f>21360</f>
        <v>21360.0</v>
      </c>
      <c r="N1444" s="5" t="s">
        <v>784</v>
      </c>
      <c r="O1444" s="23" t="str">
        <f>"－"</f>
        <v>－</v>
      </c>
      <c r="P1444" s="3" t="s">
        <v>2578</v>
      </c>
      <c r="Q1444" s="21"/>
      <c r="R1444" s="3" t="s">
        <v>2579</v>
      </c>
      <c r="S1444" s="21" t="n">
        <f>7356140</f>
        <v>7356140.0</v>
      </c>
      <c r="T1444" s="21" t="n">
        <f>7295145</f>
        <v>7295145.0</v>
      </c>
      <c r="U1444" s="5" t="s">
        <v>398</v>
      </c>
      <c r="V1444" s="23" t="n">
        <f>87835000</f>
        <v>8.7835E7</v>
      </c>
      <c r="W1444" s="5" t="s">
        <v>784</v>
      </c>
      <c r="X1444" s="23" t="str">
        <f>"－"</f>
        <v>－</v>
      </c>
      <c r="Y1444" s="23" t="n">
        <f>5877</f>
        <v>5877.0</v>
      </c>
      <c r="Z1444" s="21" t="n">
        <f>1508</f>
        <v>1508.0</v>
      </c>
      <c r="AA1444" s="21" t="n">
        <f>71602</f>
        <v>71602.0</v>
      </c>
      <c r="AB1444" s="4" t="s">
        <v>183</v>
      </c>
      <c r="AC1444" s="22" t="n">
        <f>99825</f>
        <v>99825.0</v>
      </c>
      <c r="AD1444" s="5" t="s">
        <v>1295</v>
      </c>
      <c r="AE1444" s="23" t="n">
        <f>3317</f>
        <v>3317.0</v>
      </c>
    </row>
    <row r="1445">
      <c r="A1445" s="24" t="s">
        <v>2478</v>
      </c>
      <c r="B1445" s="25" t="s">
        <v>2479</v>
      </c>
      <c r="C1445" s="26" t="s">
        <v>1752</v>
      </c>
      <c r="D1445" s="27" t="s">
        <v>1753</v>
      </c>
      <c r="E1445" s="28" t="s">
        <v>412</v>
      </c>
      <c r="F1445" s="20" t="n">
        <f>124</f>
        <v>124.0</v>
      </c>
      <c r="G1445" s="21" t="n">
        <f>328316</f>
        <v>328316.0</v>
      </c>
      <c r="H1445" s="21"/>
      <c r="I1445" s="21" t="n">
        <f>326850</f>
        <v>326850.0</v>
      </c>
      <c r="J1445" s="21" t="n">
        <f>2648</f>
        <v>2648.0</v>
      </c>
      <c r="K1445" s="21" t="n">
        <f>2636</f>
        <v>2636.0</v>
      </c>
      <c r="L1445" s="4" t="s">
        <v>88</v>
      </c>
      <c r="M1445" s="22" t="n">
        <f>22950</f>
        <v>22950.0</v>
      </c>
      <c r="N1445" s="5" t="s">
        <v>784</v>
      </c>
      <c r="O1445" s="23" t="str">
        <f>"－"</f>
        <v>－</v>
      </c>
      <c r="P1445" s="3" t="s">
        <v>2580</v>
      </c>
      <c r="Q1445" s="21"/>
      <c r="R1445" s="3" t="s">
        <v>2581</v>
      </c>
      <c r="S1445" s="21" t="n">
        <f>26033171</f>
        <v>2.6033171E7</v>
      </c>
      <c r="T1445" s="21" t="n">
        <f>25903760</f>
        <v>2.590376E7</v>
      </c>
      <c r="U1445" s="5" t="s">
        <v>71</v>
      </c>
      <c r="V1445" s="23" t="n">
        <f>664760000</f>
        <v>6.6476E8</v>
      </c>
      <c r="W1445" s="5" t="s">
        <v>784</v>
      </c>
      <c r="X1445" s="23" t="str">
        <f>"－"</f>
        <v>－</v>
      </c>
      <c r="Y1445" s="23" t="n">
        <f>9247</f>
        <v>9247.0</v>
      </c>
      <c r="Z1445" s="21" t="n">
        <f>1508</f>
        <v>1508.0</v>
      </c>
      <c r="AA1445" s="21" t="n">
        <f>84577</f>
        <v>84577.0</v>
      </c>
      <c r="AB1445" s="4" t="s">
        <v>183</v>
      </c>
      <c r="AC1445" s="22" t="n">
        <f>114900</f>
        <v>114900.0</v>
      </c>
      <c r="AD1445" s="5" t="s">
        <v>1295</v>
      </c>
      <c r="AE1445" s="23" t="n">
        <f>15917</f>
        <v>15917.0</v>
      </c>
    </row>
    <row r="1446">
      <c r="A1446" s="24" t="s">
        <v>2478</v>
      </c>
      <c r="B1446" s="25" t="s">
        <v>2479</v>
      </c>
      <c r="C1446" s="26" t="s">
        <v>1744</v>
      </c>
      <c r="D1446" s="27" t="s">
        <v>1745</v>
      </c>
      <c r="E1446" s="28" t="s">
        <v>415</v>
      </c>
      <c r="F1446" s="20" t="n">
        <f>121</f>
        <v>121.0</v>
      </c>
      <c r="G1446" s="21" t="n">
        <f>66187</f>
        <v>66187.0</v>
      </c>
      <c r="H1446" s="21"/>
      <c r="I1446" s="21" t="n">
        <f>57885</f>
        <v>57885.0</v>
      </c>
      <c r="J1446" s="21" t="n">
        <f>547</f>
        <v>547.0</v>
      </c>
      <c r="K1446" s="21" t="n">
        <f>478</f>
        <v>478.0</v>
      </c>
      <c r="L1446" s="4" t="s">
        <v>277</v>
      </c>
      <c r="M1446" s="22" t="n">
        <f>13735</f>
        <v>13735.0</v>
      </c>
      <c r="N1446" s="5" t="s">
        <v>519</v>
      </c>
      <c r="O1446" s="23" t="str">
        <f>"－"</f>
        <v>－</v>
      </c>
      <c r="P1446" s="3" t="s">
        <v>2582</v>
      </c>
      <c r="Q1446" s="21"/>
      <c r="R1446" s="3" t="s">
        <v>2583</v>
      </c>
      <c r="S1446" s="21" t="n">
        <f>3613557</f>
        <v>3613557.0</v>
      </c>
      <c r="T1446" s="21" t="n">
        <f>3000316</f>
        <v>3000316.0</v>
      </c>
      <c r="U1446" s="5" t="s">
        <v>81</v>
      </c>
      <c r="V1446" s="23" t="n">
        <f>109530000</f>
        <v>1.0953E8</v>
      </c>
      <c r="W1446" s="5" t="s">
        <v>519</v>
      </c>
      <c r="X1446" s="23" t="str">
        <f>"－"</f>
        <v>－</v>
      </c>
      <c r="Y1446" s="23" t="n">
        <f>2139</f>
        <v>2139.0</v>
      </c>
      <c r="Z1446" s="21" t="n">
        <f>24774</f>
        <v>24774.0</v>
      </c>
      <c r="AA1446" s="21" t="n">
        <f>4161</f>
        <v>4161.0</v>
      </c>
      <c r="AB1446" s="4" t="s">
        <v>137</v>
      </c>
      <c r="AC1446" s="22" t="n">
        <f>29861</f>
        <v>29861.0</v>
      </c>
      <c r="AD1446" s="5" t="s">
        <v>81</v>
      </c>
      <c r="AE1446" s="23" t="n">
        <f>133</f>
        <v>133.0</v>
      </c>
    </row>
    <row r="1447">
      <c r="A1447" s="24" t="s">
        <v>2478</v>
      </c>
      <c r="B1447" s="25" t="s">
        <v>2479</v>
      </c>
      <c r="C1447" s="26" t="s">
        <v>1748</v>
      </c>
      <c r="D1447" s="27" t="s">
        <v>1749</v>
      </c>
      <c r="E1447" s="28" t="s">
        <v>415</v>
      </c>
      <c r="F1447" s="20" t="n">
        <f>121</f>
        <v>121.0</v>
      </c>
      <c r="G1447" s="21" t="n">
        <f>670278</f>
        <v>670278.0</v>
      </c>
      <c r="H1447" s="21"/>
      <c r="I1447" s="21" t="n">
        <f>657809</f>
        <v>657809.0</v>
      </c>
      <c r="J1447" s="21" t="n">
        <f>5539</f>
        <v>5539.0</v>
      </c>
      <c r="K1447" s="21" t="n">
        <f>5436</f>
        <v>5436.0</v>
      </c>
      <c r="L1447" s="4" t="s">
        <v>211</v>
      </c>
      <c r="M1447" s="22" t="n">
        <f>143779</f>
        <v>143779.0</v>
      </c>
      <c r="N1447" s="5" t="s">
        <v>260</v>
      </c>
      <c r="O1447" s="23" t="str">
        <f>"－"</f>
        <v>－</v>
      </c>
      <c r="P1447" s="3" t="s">
        <v>2584</v>
      </c>
      <c r="Q1447" s="21"/>
      <c r="R1447" s="3" t="s">
        <v>2585</v>
      </c>
      <c r="S1447" s="21" t="n">
        <f>20242905</f>
        <v>2.0242905E7</v>
      </c>
      <c r="T1447" s="21" t="n">
        <f>19571936</f>
        <v>1.9571936E7</v>
      </c>
      <c r="U1447" s="5" t="s">
        <v>178</v>
      </c>
      <c r="V1447" s="23" t="n">
        <f>328185000</f>
        <v>3.28185E8</v>
      </c>
      <c r="W1447" s="5" t="s">
        <v>260</v>
      </c>
      <c r="X1447" s="23" t="str">
        <f>"－"</f>
        <v>－</v>
      </c>
      <c r="Y1447" s="23" t="n">
        <f>218600</f>
        <v>218600.0</v>
      </c>
      <c r="Z1447" s="21" t="n">
        <f>489794</f>
        <v>489794.0</v>
      </c>
      <c r="AA1447" s="21" t="n">
        <f>152722</f>
        <v>152722.0</v>
      </c>
      <c r="AB1447" s="4" t="s">
        <v>68</v>
      </c>
      <c r="AC1447" s="22" t="n">
        <f>355978</f>
        <v>355978.0</v>
      </c>
      <c r="AD1447" s="5" t="s">
        <v>221</v>
      </c>
      <c r="AE1447" s="23" t="n">
        <f>63443</f>
        <v>63443.0</v>
      </c>
    </row>
    <row r="1448">
      <c r="A1448" s="24" t="s">
        <v>2478</v>
      </c>
      <c r="B1448" s="25" t="s">
        <v>2479</v>
      </c>
      <c r="C1448" s="26" t="s">
        <v>1752</v>
      </c>
      <c r="D1448" s="27" t="s">
        <v>1753</v>
      </c>
      <c r="E1448" s="28" t="s">
        <v>415</v>
      </c>
      <c r="F1448" s="20" t="n">
        <f>121</f>
        <v>121.0</v>
      </c>
      <c r="G1448" s="21" t="n">
        <f>736465</f>
        <v>736465.0</v>
      </c>
      <c r="H1448" s="21"/>
      <c r="I1448" s="21" t="n">
        <f>715694</f>
        <v>715694.0</v>
      </c>
      <c r="J1448" s="21" t="n">
        <f>6086</f>
        <v>6086.0</v>
      </c>
      <c r="K1448" s="21" t="n">
        <f>5915</f>
        <v>5915.0</v>
      </c>
      <c r="L1448" s="4" t="s">
        <v>211</v>
      </c>
      <c r="M1448" s="22" t="n">
        <f>147021</f>
        <v>147021.0</v>
      </c>
      <c r="N1448" s="5" t="s">
        <v>519</v>
      </c>
      <c r="O1448" s="23" t="str">
        <f>"－"</f>
        <v>－</v>
      </c>
      <c r="P1448" s="3" t="s">
        <v>2586</v>
      </c>
      <c r="Q1448" s="21"/>
      <c r="R1448" s="3" t="s">
        <v>2587</v>
      </c>
      <c r="S1448" s="21" t="n">
        <f>23856463</f>
        <v>2.3856463E7</v>
      </c>
      <c r="T1448" s="21" t="n">
        <f>22572252</f>
        <v>2.2572252E7</v>
      </c>
      <c r="U1448" s="5" t="s">
        <v>2074</v>
      </c>
      <c r="V1448" s="23" t="n">
        <f>330723860</f>
        <v>3.3072386E8</v>
      </c>
      <c r="W1448" s="5" t="s">
        <v>519</v>
      </c>
      <c r="X1448" s="23" t="str">
        <f>"－"</f>
        <v>－</v>
      </c>
      <c r="Y1448" s="23" t="n">
        <f>220739</f>
        <v>220739.0</v>
      </c>
      <c r="Z1448" s="21" t="n">
        <f>514568</f>
        <v>514568.0</v>
      </c>
      <c r="AA1448" s="21" t="n">
        <f>156883</f>
        <v>156883.0</v>
      </c>
      <c r="AB1448" s="4" t="s">
        <v>68</v>
      </c>
      <c r="AC1448" s="22" t="n">
        <f>367349</f>
        <v>367349.0</v>
      </c>
      <c r="AD1448" s="5" t="s">
        <v>221</v>
      </c>
      <c r="AE1448" s="23" t="n">
        <f>73561</f>
        <v>73561.0</v>
      </c>
    </row>
    <row r="1449">
      <c r="A1449" s="24" t="s">
        <v>2478</v>
      </c>
      <c r="B1449" s="25" t="s">
        <v>2479</v>
      </c>
      <c r="C1449" s="26" t="s">
        <v>1744</v>
      </c>
      <c r="D1449" s="27" t="s">
        <v>1745</v>
      </c>
      <c r="E1449" s="28" t="s">
        <v>418</v>
      </c>
      <c r="F1449" s="20" t="n">
        <f>124</f>
        <v>124.0</v>
      </c>
      <c r="G1449" s="21" t="n">
        <f>54942</f>
        <v>54942.0</v>
      </c>
      <c r="H1449" s="21"/>
      <c r="I1449" s="21" t="n">
        <f>21370</f>
        <v>21370.0</v>
      </c>
      <c r="J1449" s="21" t="n">
        <f>443</f>
        <v>443.0</v>
      </c>
      <c r="K1449" s="21" t="n">
        <f>172</f>
        <v>172.0</v>
      </c>
      <c r="L1449" s="4" t="s">
        <v>310</v>
      </c>
      <c r="M1449" s="22" t="n">
        <f>3200</f>
        <v>3200.0</v>
      </c>
      <c r="N1449" s="5" t="s">
        <v>751</v>
      </c>
      <c r="O1449" s="23" t="str">
        <f>"－"</f>
        <v>－</v>
      </c>
      <c r="P1449" s="3" t="s">
        <v>2588</v>
      </c>
      <c r="Q1449" s="21"/>
      <c r="R1449" s="3" t="s">
        <v>2589</v>
      </c>
      <c r="S1449" s="21" t="n">
        <f>4756075</f>
        <v>4756075.0</v>
      </c>
      <c r="T1449" s="21" t="n">
        <f>3061274</f>
        <v>3061274.0</v>
      </c>
      <c r="U1449" s="5" t="s">
        <v>999</v>
      </c>
      <c r="V1449" s="23" t="n">
        <f>63351400</f>
        <v>6.33514E7</v>
      </c>
      <c r="W1449" s="5" t="s">
        <v>751</v>
      </c>
      <c r="X1449" s="23" t="str">
        <f>"－"</f>
        <v>－</v>
      </c>
      <c r="Y1449" s="23" t="n">
        <f>17438</f>
        <v>17438.0</v>
      </c>
      <c r="Z1449" s="21" t="str">
        <f>"－"</f>
        <v>－</v>
      </c>
      <c r="AA1449" s="21" t="n">
        <f>9871</f>
        <v>9871.0</v>
      </c>
      <c r="AB1449" s="4" t="s">
        <v>180</v>
      </c>
      <c r="AC1449" s="22" t="n">
        <f>16598</f>
        <v>16598.0</v>
      </c>
      <c r="AD1449" s="5" t="s">
        <v>510</v>
      </c>
      <c r="AE1449" s="23" t="n">
        <f>1080</f>
        <v>1080.0</v>
      </c>
    </row>
    <row r="1450">
      <c r="A1450" s="24" t="s">
        <v>2478</v>
      </c>
      <c r="B1450" s="25" t="s">
        <v>2479</v>
      </c>
      <c r="C1450" s="26" t="s">
        <v>1748</v>
      </c>
      <c r="D1450" s="27" t="s">
        <v>1749</v>
      </c>
      <c r="E1450" s="28" t="s">
        <v>418</v>
      </c>
      <c r="F1450" s="20" t="n">
        <f>124</f>
        <v>124.0</v>
      </c>
      <c r="G1450" s="21" t="n">
        <f>108726</f>
        <v>108726.0</v>
      </c>
      <c r="H1450" s="21"/>
      <c r="I1450" s="21" t="n">
        <f>62506</f>
        <v>62506.0</v>
      </c>
      <c r="J1450" s="21" t="n">
        <f>877</f>
        <v>877.0</v>
      </c>
      <c r="K1450" s="21" t="n">
        <f>504</f>
        <v>504.0</v>
      </c>
      <c r="L1450" s="4" t="s">
        <v>128</v>
      </c>
      <c r="M1450" s="22" t="n">
        <f>10540</f>
        <v>10540.0</v>
      </c>
      <c r="N1450" s="5" t="s">
        <v>335</v>
      </c>
      <c r="O1450" s="23" t="str">
        <f>"－"</f>
        <v>－</v>
      </c>
      <c r="P1450" s="3" t="s">
        <v>2590</v>
      </c>
      <c r="Q1450" s="21"/>
      <c r="R1450" s="3" t="s">
        <v>2591</v>
      </c>
      <c r="S1450" s="21" t="n">
        <f>6600177</f>
        <v>6600177.0</v>
      </c>
      <c r="T1450" s="21" t="n">
        <f>4665903</f>
        <v>4665903.0</v>
      </c>
      <c r="U1450" s="5" t="s">
        <v>128</v>
      </c>
      <c r="V1450" s="23" t="n">
        <f>69935750</f>
        <v>6.993575E7</v>
      </c>
      <c r="W1450" s="5" t="s">
        <v>335</v>
      </c>
      <c r="X1450" s="23" t="str">
        <f>"－"</f>
        <v>－</v>
      </c>
      <c r="Y1450" s="23" t="n">
        <f>7802</f>
        <v>7802.0</v>
      </c>
      <c r="Z1450" s="21" t="n">
        <f>4889</f>
        <v>4889.0</v>
      </c>
      <c r="AA1450" s="21" t="n">
        <f>35462</f>
        <v>35462.0</v>
      </c>
      <c r="AB1450" s="4" t="s">
        <v>784</v>
      </c>
      <c r="AC1450" s="22" t="n">
        <f>154525</f>
        <v>154525.0</v>
      </c>
      <c r="AD1450" s="5" t="s">
        <v>88</v>
      </c>
      <c r="AE1450" s="23" t="n">
        <f>6014</f>
        <v>6014.0</v>
      </c>
    </row>
    <row r="1451">
      <c r="A1451" s="24" t="s">
        <v>2478</v>
      </c>
      <c r="B1451" s="25" t="s">
        <v>2479</v>
      </c>
      <c r="C1451" s="26" t="s">
        <v>1752</v>
      </c>
      <c r="D1451" s="27" t="s">
        <v>1753</v>
      </c>
      <c r="E1451" s="28" t="s">
        <v>418</v>
      </c>
      <c r="F1451" s="20" t="n">
        <f>124</f>
        <v>124.0</v>
      </c>
      <c r="G1451" s="21" t="n">
        <f>163668</f>
        <v>163668.0</v>
      </c>
      <c r="H1451" s="21"/>
      <c r="I1451" s="21" t="n">
        <f>83876</f>
        <v>83876.0</v>
      </c>
      <c r="J1451" s="21" t="n">
        <f>1320</f>
        <v>1320.0</v>
      </c>
      <c r="K1451" s="21" t="n">
        <f>676</f>
        <v>676.0</v>
      </c>
      <c r="L1451" s="4" t="s">
        <v>128</v>
      </c>
      <c r="M1451" s="22" t="n">
        <f>10575</f>
        <v>10575.0</v>
      </c>
      <c r="N1451" s="5" t="s">
        <v>469</v>
      </c>
      <c r="O1451" s="23" t="str">
        <f>"－"</f>
        <v>－</v>
      </c>
      <c r="P1451" s="3" t="s">
        <v>2592</v>
      </c>
      <c r="Q1451" s="21"/>
      <c r="R1451" s="3" t="s">
        <v>2593</v>
      </c>
      <c r="S1451" s="21" t="n">
        <f>11356252</f>
        <v>1.1356252E7</v>
      </c>
      <c r="T1451" s="21" t="n">
        <f>7727177</f>
        <v>7727177.0</v>
      </c>
      <c r="U1451" s="5" t="s">
        <v>999</v>
      </c>
      <c r="V1451" s="23" t="n">
        <f>85122230</f>
        <v>8.512223E7</v>
      </c>
      <c r="W1451" s="5" t="s">
        <v>469</v>
      </c>
      <c r="X1451" s="23" t="str">
        <f>"－"</f>
        <v>－</v>
      </c>
      <c r="Y1451" s="23" t="n">
        <f>25240</f>
        <v>25240.0</v>
      </c>
      <c r="Z1451" s="21" t="n">
        <f>4889</f>
        <v>4889.0</v>
      </c>
      <c r="AA1451" s="21" t="n">
        <f>45333</f>
        <v>45333.0</v>
      </c>
      <c r="AB1451" s="4" t="s">
        <v>784</v>
      </c>
      <c r="AC1451" s="22" t="n">
        <f>158696</f>
        <v>158696.0</v>
      </c>
      <c r="AD1451" s="5" t="s">
        <v>88</v>
      </c>
      <c r="AE1451" s="23" t="n">
        <f>9546</f>
        <v>9546.0</v>
      </c>
    </row>
    <row r="1452">
      <c r="A1452" s="24" t="s">
        <v>2478</v>
      </c>
      <c r="B1452" s="25" t="s">
        <v>2479</v>
      </c>
      <c r="C1452" s="26" t="s">
        <v>1744</v>
      </c>
      <c r="D1452" s="27" t="s">
        <v>1745</v>
      </c>
      <c r="E1452" s="28" t="s">
        <v>422</v>
      </c>
      <c r="F1452" s="20" t="n">
        <f>122</f>
        <v>122.0</v>
      </c>
      <c r="G1452" s="21" t="n">
        <f>48619</f>
        <v>48619.0</v>
      </c>
      <c r="H1452" s="21"/>
      <c r="I1452" s="21" t="n">
        <f>22439</f>
        <v>22439.0</v>
      </c>
      <c r="J1452" s="21" t="n">
        <f>399</f>
        <v>399.0</v>
      </c>
      <c r="K1452" s="21" t="n">
        <f>184</f>
        <v>184.0</v>
      </c>
      <c r="L1452" s="4" t="s">
        <v>914</v>
      </c>
      <c r="M1452" s="22" t="n">
        <f>5103</f>
        <v>5103.0</v>
      </c>
      <c r="N1452" s="5" t="s">
        <v>321</v>
      </c>
      <c r="O1452" s="23" t="str">
        <f>"－"</f>
        <v>－</v>
      </c>
      <c r="P1452" s="3" t="s">
        <v>2594</v>
      </c>
      <c r="Q1452" s="21"/>
      <c r="R1452" s="3" t="s">
        <v>2595</v>
      </c>
      <c r="S1452" s="21" t="n">
        <f>2727916</f>
        <v>2727916.0</v>
      </c>
      <c r="T1452" s="21" t="n">
        <f>1564967</f>
        <v>1564967.0</v>
      </c>
      <c r="U1452" s="5" t="s">
        <v>1594</v>
      </c>
      <c r="V1452" s="23" t="n">
        <f>26767650</f>
        <v>2.676765E7</v>
      </c>
      <c r="W1452" s="5" t="s">
        <v>321</v>
      </c>
      <c r="X1452" s="23" t="str">
        <f>"－"</f>
        <v>－</v>
      </c>
      <c r="Y1452" s="23" t="n">
        <f>7074</f>
        <v>7074.0</v>
      </c>
      <c r="Z1452" s="21" t="n">
        <f>2416</f>
        <v>2416.0</v>
      </c>
      <c r="AA1452" s="21" t="n">
        <f>10392</f>
        <v>10392.0</v>
      </c>
      <c r="AB1452" s="4" t="s">
        <v>146</v>
      </c>
      <c r="AC1452" s="22" t="n">
        <f>17297</f>
        <v>17297.0</v>
      </c>
      <c r="AD1452" s="5" t="s">
        <v>93</v>
      </c>
      <c r="AE1452" s="23" t="n">
        <f>5108</f>
        <v>5108.0</v>
      </c>
    </row>
    <row r="1453">
      <c r="A1453" s="24" t="s">
        <v>2478</v>
      </c>
      <c r="B1453" s="25" t="s">
        <v>2479</v>
      </c>
      <c r="C1453" s="26" t="s">
        <v>1748</v>
      </c>
      <c r="D1453" s="27" t="s">
        <v>1749</v>
      </c>
      <c r="E1453" s="28" t="s">
        <v>422</v>
      </c>
      <c r="F1453" s="20" t="n">
        <f>122</f>
        <v>122.0</v>
      </c>
      <c r="G1453" s="21" t="n">
        <f>125523</f>
        <v>125523.0</v>
      </c>
      <c r="H1453" s="21"/>
      <c r="I1453" s="21" t="n">
        <f>88952</f>
        <v>88952.0</v>
      </c>
      <c r="J1453" s="21" t="n">
        <f>1029</f>
        <v>1029.0</v>
      </c>
      <c r="K1453" s="21" t="n">
        <f>729</f>
        <v>729.0</v>
      </c>
      <c r="L1453" s="4" t="s">
        <v>1068</v>
      </c>
      <c r="M1453" s="22" t="n">
        <f>8584</f>
        <v>8584.0</v>
      </c>
      <c r="N1453" s="5" t="s">
        <v>533</v>
      </c>
      <c r="O1453" s="23" t="str">
        <f>"－"</f>
        <v>－</v>
      </c>
      <c r="P1453" s="3" t="s">
        <v>2596</v>
      </c>
      <c r="Q1453" s="21"/>
      <c r="R1453" s="3" t="s">
        <v>2597</v>
      </c>
      <c r="S1453" s="21" t="n">
        <f>6880659</f>
        <v>6880659.0</v>
      </c>
      <c r="T1453" s="21" t="n">
        <f>5205978</f>
        <v>5205978.0</v>
      </c>
      <c r="U1453" s="5" t="s">
        <v>1473</v>
      </c>
      <c r="V1453" s="23" t="n">
        <f>69501323</f>
        <v>6.9501323E7</v>
      </c>
      <c r="W1453" s="5" t="s">
        <v>533</v>
      </c>
      <c r="X1453" s="23" t="str">
        <f>"－"</f>
        <v>－</v>
      </c>
      <c r="Y1453" s="23" t="n">
        <f>37165</f>
        <v>37165.0</v>
      </c>
      <c r="Z1453" s="21" t="n">
        <f>8759</f>
        <v>8759.0</v>
      </c>
      <c r="AA1453" s="21" t="n">
        <f>25666</f>
        <v>25666.0</v>
      </c>
      <c r="AB1453" s="4" t="s">
        <v>901</v>
      </c>
      <c r="AC1453" s="22" t="n">
        <f>57449</f>
        <v>57449.0</v>
      </c>
      <c r="AD1453" s="5" t="s">
        <v>93</v>
      </c>
      <c r="AE1453" s="23" t="n">
        <f>15614</f>
        <v>15614.0</v>
      </c>
    </row>
    <row r="1454">
      <c r="A1454" s="24" t="s">
        <v>2478</v>
      </c>
      <c r="B1454" s="25" t="s">
        <v>2479</v>
      </c>
      <c r="C1454" s="26" t="s">
        <v>1752</v>
      </c>
      <c r="D1454" s="27" t="s">
        <v>1753</v>
      </c>
      <c r="E1454" s="28" t="s">
        <v>422</v>
      </c>
      <c r="F1454" s="20" t="n">
        <f>122</f>
        <v>122.0</v>
      </c>
      <c r="G1454" s="21" t="n">
        <f>174142</f>
        <v>174142.0</v>
      </c>
      <c r="H1454" s="21"/>
      <c r="I1454" s="21" t="n">
        <f>111391</f>
        <v>111391.0</v>
      </c>
      <c r="J1454" s="21" t="n">
        <f>1427</f>
        <v>1427.0</v>
      </c>
      <c r="K1454" s="21" t="n">
        <f>913</f>
        <v>913.0</v>
      </c>
      <c r="L1454" s="4" t="s">
        <v>1155</v>
      </c>
      <c r="M1454" s="22" t="n">
        <f>9006</f>
        <v>9006.0</v>
      </c>
      <c r="N1454" s="5" t="s">
        <v>65</v>
      </c>
      <c r="O1454" s="23" t="n">
        <f>8</f>
        <v>8.0</v>
      </c>
      <c r="P1454" s="3" t="s">
        <v>2598</v>
      </c>
      <c r="Q1454" s="21"/>
      <c r="R1454" s="3" t="s">
        <v>2599</v>
      </c>
      <c r="S1454" s="21" t="n">
        <f>9608575</f>
        <v>9608575.0</v>
      </c>
      <c r="T1454" s="21" t="n">
        <f>6770945</f>
        <v>6770945.0</v>
      </c>
      <c r="U1454" s="5" t="s">
        <v>1473</v>
      </c>
      <c r="V1454" s="23" t="n">
        <f>95384373</f>
        <v>9.5384373E7</v>
      </c>
      <c r="W1454" s="5" t="s">
        <v>65</v>
      </c>
      <c r="X1454" s="23" t="n">
        <f>8795</f>
        <v>8795.0</v>
      </c>
      <c r="Y1454" s="23" t="n">
        <f>44239</f>
        <v>44239.0</v>
      </c>
      <c r="Z1454" s="21" t="n">
        <f>11175</f>
        <v>11175.0</v>
      </c>
      <c r="AA1454" s="21" t="n">
        <f>36058</f>
        <v>36058.0</v>
      </c>
      <c r="AB1454" s="4" t="s">
        <v>901</v>
      </c>
      <c r="AC1454" s="22" t="n">
        <f>74112</f>
        <v>74112.0</v>
      </c>
      <c r="AD1454" s="5" t="s">
        <v>93</v>
      </c>
      <c r="AE1454" s="23" t="n">
        <f>20722</f>
        <v>20722.0</v>
      </c>
    </row>
    <row r="1455">
      <c r="A1455" s="24" t="s">
        <v>2478</v>
      </c>
      <c r="B1455" s="25" t="s">
        <v>2479</v>
      </c>
      <c r="C1455" s="26" t="s">
        <v>1744</v>
      </c>
      <c r="D1455" s="27" t="s">
        <v>1745</v>
      </c>
      <c r="E1455" s="28" t="s">
        <v>425</v>
      </c>
      <c r="F1455" s="20" t="n">
        <f>125</f>
        <v>125.0</v>
      </c>
      <c r="G1455" s="21" t="n">
        <f>84119</f>
        <v>84119.0</v>
      </c>
      <c r="H1455" s="21"/>
      <c r="I1455" s="21" t="n">
        <f>17006</f>
        <v>17006.0</v>
      </c>
      <c r="J1455" s="21" t="n">
        <f>673</f>
        <v>673.0</v>
      </c>
      <c r="K1455" s="21" t="n">
        <f>136</f>
        <v>136.0</v>
      </c>
      <c r="L1455" s="4" t="s">
        <v>881</v>
      </c>
      <c r="M1455" s="22" t="n">
        <f>6305</f>
        <v>6305.0</v>
      </c>
      <c r="N1455" s="5" t="s">
        <v>501</v>
      </c>
      <c r="O1455" s="23" t="str">
        <f>"－"</f>
        <v>－</v>
      </c>
      <c r="P1455" s="3" t="s">
        <v>2600</v>
      </c>
      <c r="Q1455" s="21"/>
      <c r="R1455" s="3" t="s">
        <v>2601</v>
      </c>
      <c r="S1455" s="21" t="n">
        <f>4383315</f>
        <v>4383315.0</v>
      </c>
      <c r="T1455" s="21" t="n">
        <f>864787</f>
        <v>864787.0</v>
      </c>
      <c r="U1455" s="5" t="s">
        <v>881</v>
      </c>
      <c r="V1455" s="23" t="n">
        <f>54835481</f>
        <v>5.4835481E7</v>
      </c>
      <c r="W1455" s="5" t="s">
        <v>501</v>
      </c>
      <c r="X1455" s="23" t="str">
        <f>"－"</f>
        <v>－</v>
      </c>
      <c r="Y1455" s="23" t="n">
        <f>25893</f>
        <v>25893.0</v>
      </c>
      <c r="Z1455" s="21" t="n">
        <f>1520</f>
        <v>1520.0</v>
      </c>
      <c r="AA1455" s="21" t="n">
        <f>18364</f>
        <v>18364.0</v>
      </c>
      <c r="AB1455" s="4" t="s">
        <v>2129</v>
      </c>
      <c r="AC1455" s="22" t="n">
        <f>37564</f>
        <v>37564.0</v>
      </c>
      <c r="AD1455" s="5" t="s">
        <v>751</v>
      </c>
      <c r="AE1455" s="23" t="n">
        <f>10122</f>
        <v>10122.0</v>
      </c>
    </row>
    <row r="1456">
      <c r="A1456" s="24" t="s">
        <v>2478</v>
      </c>
      <c r="B1456" s="25" t="s">
        <v>2479</v>
      </c>
      <c r="C1456" s="26" t="s">
        <v>1748</v>
      </c>
      <c r="D1456" s="27" t="s">
        <v>1749</v>
      </c>
      <c r="E1456" s="28" t="s">
        <v>425</v>
      </c>
      <c r="F1456" s="20" t="n">
        <f>125</f>
        <v>125.0</v>
      </c>
      <c r="G1456" s="21" t="n">
        <f>123687</f>
        <v>123687.0</v>
      </c>
      <c r="H1456" s="21"/>
      <c r="I1456" s="21" t="n">
        <f>63868</f>
        <v>63868.0</v>
      </c>
      <c r="J1456" s="21" t="n">
        <f>989</f>
        <v>989.0</v>
      </c>
      <c r="K1456" s="21" t="n">
        <f>511</f>
        <v>511.0</v>
      </c>
      <c r="L1456" s="4" t="s">
        <v>1108</v>
      </c>
      <c r="M1456" s="22" t="n">
        <f>11420</f>
        <v>11420.0</v>
      </c>
      <c r="N1456" s="5" t="s">
        <v>1546</v>
      </c>
      <c r="O1456" s="23" t="n">
        <f>16</f>
        <v>16.0</v>
      </c>
      <c r="P1456" s="3" t="s">
        <v>2602</v>
      </c>
      <c r="Q1456" s="21"/>
      <c r="R1456" s="3" t="s">
        <v>2603</v>
      </c>
      <c r="S1456" s="21" t="n">
        <f>6841208</f>
        <v>6841208.0</v>
      </c>
      <c r="T1456" s="21" t="n">
        <f>3330313</f>
        <v>3330313.0</v>
      </c>
      <c r="U1456" s="5" t="s">
        <v>1108</v>
      </c>
      <c r="V1456" s="23" t="n">
        <f>63358450</f>
        <v>6.335845E7</v>
      </c>
      <c r="W1456" s="5" t="s">
        <v>501</v>
      </c>
      <c r="X1456" s="23" t="n">
        <f>50100</f>
        <v>50100.0</v>
      </c>
      <c r="Y1456" s="23" t="n">
        <f>26489</f>
        <v>26489.0</v>
      </c>
      <c r="Z1456" s="21" t="n">
        <f>4197</f>
        <v>4197.0</v>
      </c>
      <c r="AA1456" s="21" t="n">
        <f>23264</f>
        <v>23264.0</v>
      </c>
      <c r="AB1456" s="4" t="s">
        <v>180</v>
      </c>
      <c r="AC1456" s="22" t="n">
        <f>63913</f>
        <v>63913.0</v>
      </c>
      <c r="AD1456" s="5" t="s">
        <v>76</v>
      </c>
      <c r="AE1456" s="23" t="n">
        <f>16961</f>
        <v>16961.0</v>
      </c>
    </row>
    <row r="1457">
      <c r="A1457" s="24" t="s">
        <v>2478</v>
      </c>
      <c r="B1457" s="25" t="s">
        <v>2479</v>
      </c>
      <c r="C1457" s="26" t="s">
        <v>1752</v>
      </c>
      <c r="D1457" s="27" t="s">
        <v>1753</v>
      </c>
      <c r="E1457" s="28" t="s">
        <v>425</v>
      </c>
      <c r="F1457" s="20" t="n">
        <f>125</f>
        <v>125.0</v>
      </c>
      <c r="G1457" s="21" t="n">
        <f>207806</f>
        <v>207806.0</v>
      </c>
      <c r="H1457" s="21"/>
      <c r="I1457" s="21" t="n">
        <f>80874</f>
        <v>80874.0</v>
      </c>
      <c r="J1457" s="21" t="n">
        <f>1662</f>
        <v>1662.0</v>
      </c>
      <c r="K1457" s="21" t="n">
        <f>647</f>
        <v>647.0</v>
      </c>
      <c r="L1457" s="4" t="s">
        <v>1108</v>
      </c>
      <c r="M1457" s="22" t="n">
        <f>11518</f>
        <v>11518.0</v>
      </c>
      <c r="N1457" s="5" t="s">
        <v>1546</v>
      </c>
      <c r="O1457" s="23" t="n">
        <f>20</f>
        <v>20.0</v>
      </c>
      <c r="P1457" s="3" t="s">
        <v>2604</v>
      </c>
      <c r="Q1457" s="21"/>
      <c r="R1457" s="3" t="s">
        <v>2605</v>
      </c>
      <c r="S1457" s="21" t="n">
        <f>11224523</f>
        <v>1.1224523E7</v>
      </c>
      <c r="T1457" s="21" t="n">
        <f>4195100</f>
        <v>4195100.0</v>
      </c>
      <c r="U1457" s="5" t="s">
        <v>881</v>
      </c>
      <c r="V1457" s="23" t="n">
        <f>76325870</f>
        <v>7.632587E7</v>
      </c>
      <c r="W1457" s="5" t="s">
        <v>501</v>
      </c>
      <c r="X1457" s="23" t="n">
        <f>50100</f>
        <v>50100.0</v>
      </c>
      <c r="Y1457" s="23" t="n">
        <f>52382</f>
        <v>52382.0</v>
      </c>
      <c r="Z1457" s="21" t="n">
        <f>5717</f>
        <v>5717.0</v>
      </c>
      <c r="AA1457" s="21" t="n">
        <f>41628</f>
        <v>41628.0</v>
      </c>
      <c r="AB1457" s="4" t="s">
        <v>2129</v>
      </c>
      <c r="AC1457" s="22" t="n">
        <f>97132</f>
        <v>97132.0</v>
      </c>
      <c r="AD1457" s="5" t="s">
        <v>76</v>
      </c>
      <c r="AE1457" s="23" t="n">
        <f>30629</f>
        <v>30629.0</v>
      </c>
    </row>
    <row r="1458">
      <c r="A1458" s="24" t="s">
        <v>2478</v>
      </c>
      <c r="B1458" s="25" t="s">
        <v>2479</v>
      </c>
      <c r="C1458" s="26" t="s">
        <v>1744</v>
      </c>
      <c r="D1458" s="27" t="s">
        <v>1745</v>
      </c>
      <c r="E1458" s="28" t="s">
        <v>428</v>
      </c>
      <c r="F1458" s="20" t="n">
        <f>120</f>
        <v>120.0</v>
      </c>
      <c r="G1458" s="21" t="n">
        <f>97528</f>
        <v>97528.0</v>
      </c>
      <c r="H1458" s="21"/>
      <c r="I1458" s="21" t="n">
        <f>24729</f>
        <v>24729.0</v>
      </c>
      <c r="J1458" s="21" t="n">
        <f>813</f>
        <v>813.0</v>
      </c>
      <c r="K1458" s="21" t="n">
        <f>206</f>
        <v>206.0</v>
      </c>
      <c r="L1458" s="4" t="s">
        <v>138</v>
      </c>
      <c r="M1458" s="22" t="n">
        <f>9519</f>
        <v>9519.0</v>
      </c>
      <c r="N1458" s="5" t="s">
        <v>306</v>
      </c>
      <c r="O1458" s="23" t="str">
        <f>"－"</f>
        <v>－</v>
      </c>
      <c r="P1458" s="3" t="s">
        <v>2606</v>
      </c>
      <c r="Q1458" s="21"/>
      <c r="R1458" s="3" t="s">
        <v>2607</v>
      </c>
      <c r="S1458" s="21" t="n">
        <f>5694914</f>
        <v>5694914.0</v>
      </c>
      <c r="T1458" s="21" t="n">
        <f>994244</f>
        <v>994244.0</v>
      </c>
      <c r="U1458" s="5" t="s">
        <v>113</v>
      </c>
      <c r="V1458" s="23" t="n">
        <f>45535000</f>
        <v>4.5535E7</v>
      </c>
      <c r="W1458" s="5" t="s">
        <v>306</v>
      </c>
      <c r="X1458" s="23" t="str">
        <f>"－"</f>
        <v>－</v>
      </c>
      <c r="Y1458" s="23" t="n">
        <f>9262</f>
        <v>9262.0</v>
      </c>
      <c r="Z1458" s="21" t="n">
        <f>1730</f>
        <v>1730.0</v>
      </c>
      <c r="AA1458" s="21" t="n">
        <f>24886</f>
        <v>24886.0</v>
      </c>
      <c r="AB1458" s="4" t="s">
        <v>49</v>
      </c>
      <c r="AC1458" s="22" t="n">
        <f>31819</f>
        <v>31819.0</v>
      </c>
      <c r="AD1458" s="5" t="s">
        <v>146</v>
      </c>
      <c r="AE1458" s="23" t="n">
        <f>9628</f>
        <v>9628.0</v>
      </c>
    </row>
    <row r="1459">
      <c r="A1459" s="24" t="s">
        <v>2478</v>
      </c>
      <c r="B1459" s="25" t="s">
        <v>2479</v>
      </c>
      <c r="C1459" s="26" t="s">
        <v>1748</v>
      </c>
      <c r="D1459" s="27" t="s">
        <v>1749</v>
      </c>
      <c r="E1459" s="28" t="s">
        <v>428</v>
      </c>
      <c r="F1459" s="20" t="n">
        <f>120</f>
        <v>120.0</v>
      </c>
      <c r="G1459" s="21" t="n">
        <f>257172</f>
        <v>257172.0</v>
      </c>
      <c r="H1459" s="21"/>
      <c r="I1459" s="21" t="n">
        <f>141564</f>
        <v>141564.0</v>
      </c>
      <c r="J1459" s="21" t="n">
        <f>2143</f>
        <v>2143.0</v>
      </c>
      <c r="K1459" s="21" t="n">
        <f>1180</f>
        <v>1180.0</v>
      </c>
      <c r="L1459" s="4" t="s">
        <v>187</v>
      </c>
      <c r="M1459" s="22" t="n">
        <f>72030</f>
        <v>72030.0</v>
      </c>
      <c r="N1459" s="5" t="s">
        <v>194</v>
      </c>
      <c r="O1459" s="23" t="str">
        <f>"－"</f>
        <v>－</v>
      </c>
      <c r="P1459" s="3" t="s">
        <v>2608</v>
      </c>
      <c r="Q1459" s="21"/>
      <c r="R1459" s="3" t="s">
        <v>2609</v>
      </c>
      <c r="S1459" s="21" t="n">
        <f>14666896</f>
        <v>1.4666896E7</v>
      </c>
      <c r="T1459" s="21" t="n">
        <f>7348596</f>
        <v>7348596.0</v>
      </c>
      <c r="U1459" s="5" t="s">
        <v>146</v>
      </c>
      <c r="V1459" s="23" t="n">
        <f>161544000</f>
        <v>1.61544E8</v>
      </c>
      <c r="W1459" s="5" t="s">
        <v>194</v>
      </c>
      <c r="X1459" s="23" t="str">
        <f>"－"</f>
        <v>－</v>
      </c>
      <c r="Y1459" s="23" t="n">
        <f>60690</f>
        <v>60690.0</v>
      </c>
      <c r="Z1459" s="21" t="n">
        <f>54148</f>
        <v>54148.0</v>
      </c>
      <c r="AA1459" s="21" t="n">
        <f>100071</f>
        <v>100071.0</v>
      </c>
      <c r="AB1459" s="4" t="s">
        <v>568</v>
      </c>
      <c r="AC1459" s="22" t="n">
        <f>100071</f>
        <v>100071.0</v>
      </c>
      <c r="AD1459" s="5" t="s">
        <v>138</v>
      </c>
      <c r="AE1459" s="23" t="n">
        <f>18722</f>
        <v>18722.0</v>
      </c>
    </row>
    <row r="1460">
      <c r="A1460" s="24" t="s">
        <v>2478</v>
      </c>
      <c r="B1460" s="25" t="s">
        <v>2479</v>
      </c>
      <c r="C1460" s="26" t="s">
        <v>1752</v>
      </c>
      <c r="D1460" s="27" t="s">
        <v>1753</v>
      </c>
      <c r="E1460" s="28" t="s">
        <v>428</v>
      </c>
      <c r="F1460" s="20" t="n">
        <f>120</f>
        <v>120.0</v>
      </c>
      <c r="G1460" s="21" t="n">
        <f>354700</f>
        <v>354700.0</v>
      </c>
      <c r="H1460" s="21"/>
      <c r="I1460" s="21" t="n">
        <f>166293</f>
        <v>166293.0</v>
      </c>
      <c r="J1460" s="21" t="n">
        <f>2956</f>
        <v>2956.0</v>
      </c>
      <c r="K1460" s="21" t="n">
        <f>1386</f>
        <v>1386.0</v>
      </c>
      <c r="L1460" s="4" t="s">
        <v>187</v>
      </c>
      <c r="M1460" s="22" t="n">
        <f>74573</f>
        <v>74573.0</v>
      </c>
      <c r="N1460" s="5" t="s">
        <v>306</v>
      </c>
      <c r="O1460" s="23" t="str">
        <f>"－"</f>
        <v>－</v>
      </c>
      <c r="P1460" s="3" t="s">
        <v>2610</v>
      </c>
      <c r="Q1460" s="21"/>
      <c r="R1460" s="3" t="s">
        <v>2611</v>
      </c>
      <c r="S1460" s="21" t="n">
        <f>20361810</f>
        <v>2.036181E7</v>
      </c>
      <c r="T1460" s="21" t="n">
        <f>8342840</f>
        <v>8342840.0</v>
      </c>
      <c r="U1460" s="5" t="s">
        <v>187</v>
      </c>
      <c r="V1460" s="23" t="n">
        <f>186285570</f>
        <v>1.8628557E8</v>
      </c>
      <c r="W1460" s="5" t="s">
        <v>306</v>
      </c>
      <c r="X1460" s="23" t="str">
        <f>"－"</f>
        <v>－</v>
      </c>
      <c r="Y1460" s="23" t="n">
        <f>69952</f>
        <v>69952.0</v>
      </c>
      <c r="Z1460" s="21" t="n">
        <f>55878</f>
        <v>55878.0</v>
      </c>
      <c r="AA1460" s="21" t="n">
        <f>124957</f>
        <v>124957.0</v>
      </c>
      <c r="AB1460" s="4" t="s">
        <v>568</v>
      </c>
      <c r="AC1460" s="22" t="n">
        <f>124957</f>
        <v>124957.0</v>
      </c>
      <c r="AD1460" s="5" t="s">
        <v>146</v>
      </c>
      <c r="AE1460" s="23" t="n">
        <f>34185</f>
        <v>34185.0</v>
      </c>
    </row>
    <row r="1461">
      <c r="A1461" s="24" t="s">
        <v>2478</v>
      </c>
      <c r="B1461" s="25" t="s">
        <v>2479</v>
      </c>
      <c r="C1461" s="26" t="s">
        <v>1744</v>
      </c>
      <c r="D1461" s="27" t="s">
        <v>1745</v>
      </c>
      <c r="E1461" s="28" t="s">
        <v>433</v>
      </c>
      <c r="F1461" s="20" t="n">
        <f>125</f>
        <v>125.0</v>
      </c>
      <c r="G1461" s="21" t="n">
        <f>172940</f>
        <v>172940.0</v>
      </c>
      <c r="H1461" s="21"/>
      <c r="I1461" s="21" t="n">
        <f>94956</f>
        <v>94956.0</v>
      </c>
      <c r="J1461" s="21" t="n">
        <f>1384</f>
        <v>1384.0</v>
      </c>
      <c r="K1461" s="21" t="n">
        <f>760</f>
        <v>760.0</v>
      </c>
      <c r="L1461" s="4" t="s">
        <v>983</v>
      </c>
      <c r="M1461" s="22" t="n">
        <f>16300</f>
        <v>16300.0</v>
      </c>
      <c r="N1461" s="5" t="s">
        <v>544</v>
      </c>
      <c r="O1461" s="23" t="n">
        <f>50</f>
        <v>50.0</v>
      </c>
      <c r="P1461" s="3" t="s">
        <v>2612</v>
      </c>
      <c r="Q1461" s="21"/>
      <c r="R1461" s="3" t="s">
        <v>2613</v>
      </c>
      <c r="S1461" s="21" t="n">
        <f>12782501</f>
        <v>1.2782501E7</v>
      </c>
      <c r="T1461" s="21" t="n">
        <f>5133420</f>
        <v>5133420.0</v>
      </c>
      <c r="U1461" s="5" t="s">
        <v>978</v>
      </c>
      <c r="V1461" s="23" t="n">
        <f>59766300</f>
        <v>5.97663E7</v>
      </c>
      <c r="W1461" s="5" t="s">
        <v>188</v>
      </c>
      <c r="X1461" s="23" t="n">
        <f>275000</f>
        <v>275000.0</v>
      </c>
      <c r="Y1461" s="23" t="n">
        <f>23544</f>
        <v>23544.0</v>
      </c>
      <c r="Z1461" s="21" t="n">
        <f>9870</f>
        <v>9870.0</v>
      </c>
      <c r="AA1461" s="21" t="n">
        <f>31321</f>
        <v>31321.0</v>
      </c>
      <c r="AB1461" s="4" t="s">
        <v>107</v>
      </c>
      <c r="AC1461" s="22" t="n">
        <f>51178</f>
        <v>51178.0</v>
      </c>
      <c r="AD1461" s="5" t="s">
        <v>224</v>
      </c>
      <c r="AE1461" s="23" t="n">
        <f>21388</f>
        <v>21388.0</v>
      </c>
    </row>
    <row r="1462">
      <c r="A1462" s="24" t="s">
        <v>2478</v>
      </c>
      <c r="B1462" s="25" t="s">
        <v>2479</v>
      </c>
      <c r="C1462" s="26" t="s">
        <v>1748</v>
      </c>
      <c r="D1462" s="27" t="s">
        <v>1749</v>
      </c>
      <c r="E1462" s="28" t="s">
        <v>433</v>
      </c>
      <c r="F1462" s="20" t="n">
        <f>125</f>
        <v>125.0</v>
      </c>
      <c r="G1462" s="21" t="n">
        <f>336779</f>
        <v>336779.0</v>
      </c>
      <c r="H1462" s="21"/>
      <c r="I1462" s="21" t="n">
        <f>243751</f>
        <v>243751.0</v>
      </c>
      <c r="J1462" s="21" t="n">
        <f>2694</f>
        <v>2694.0</v>
      </c>
      <c r="K1462" s="21" t="n">
        <f>1950</f>
        <v>1950.0</v>
      </c>
      <c r="L1462" s="4" t="s">
        <v>129</v>
      </c>
      <c r="M1462" s="22" t="n">
        <f>57503</f>
        <v>57503.0</v>
      </c>
      <c r="N1462" s="5" t="s">
        <v>936</v>
      </c>
      <c r="O1462" s="23" t="n">
        <f>1</f>
        <v>1.0</v>
      </c>
      <c r="P1462" s="3" t="s">
        <v>2614</v>
      </c>
      <c r="Q1462" s="21"/>
      <c r="R1462" s="3" t="s">
        <v>2615</v>
      </c>
      <c r="S1462" s="21" t="n">
        <f>23145656</f>
        <v>2.3145656E7</v>
      </c>
      <c r="T1462" s="21" t="n">
        <f>15338385</f>
        <v>1.5338385E7</v>
      </c>
      <c r="U1462" s="5" t="s">
        <v>659</v>
      </c>
      <c r="V1462" s="23" t="n">
        <f>344758500</f>
        <v>3.447585E8</v>
      </c>
      <c r="W1462" s="5" t="s">
        <v>936</v>
      </c>
      <c r="X1462" s="23" t="n">
        <f>11500</f>
        <v>11500.0</v>
      </c>
      <c r="Y1462" s="23" t="n">
        <f>58653</f>
        <v>58653.0</v>
      </c>
      <c r="Z1462" s="21" t="n">
        <f>38964</f>
        <v>38964.0</v>
      </c>
      <c r="AA1462" s="21" t="n">
        <f>130775</f>
        <v>130775.0</v>
      </c>
      <c r="AB1462" s="4" t="s">
        <v>84</v>
      </c>
      <c r="AC1462" s="22" t="n">
        <f>188658</f>
        <v>188658.0</v>
      </c>
      <c r="AD1462" s="5" t="s">
        <v>224</v>
      </c>
      <c r="AE1462" s="23" t="n">
        <f>79946</f>
        <v>79946.0</v>
      </c>
    </row>
    <row r="1463">
      <c r="A1463" s="24" t="s">
        <v>2478</v>
      </c>
      <c r="B1463" s="25" t="s">
        <v>2479</v>
      </c>
      <c r="C1463" s="26" t="s">
        <v>1752</v>
      </c>
      <c r="D1463" s="27" t="s">
        <v>1753</v>
      </c>
      <c r="E1463" s="28" t="s">
        <v>433</v>
      </c>
      <c r="F1463" s="20" t="n">
        <f>125</f>
        <v>125.0</v>
      </c>
      <c r="G1463" s="21" t="n">
        <f>509719</f>
        <v>509719.0</v>
      </c>
      <c r="H1463" s="21"/>
      <c r="I1463" s="21" t="n">
        <f>338707</f>
        <v>338707.0</v>
      </c>
      <c r="J1463" s="21" t="n">
        <f>4078</f>
        <v>4078.0</v>
      </c>
      <c r="K1463" s="21" t="n">
        <f>2710</f>
        <v>2710.0</v>
      </c>
      <c r="L1463" s="4" t="s">
        <v>129</v>
      </c>
      <c r="M1463" s="22" t="n">
        <f>57655</f>
        <v>57655.0</v>
      </c>
      <c r="N1463" s="5" t="s">
        <v>544</v>
      </c>
      <c r="O1463" s="23" t="n">
        <f>80</f>
        <v>80.0</v>
      </c>
      <c r="P1463" s="3" t="s">
        <v>2616</v>
      </c>
      <c r="Q1463" s="21"/>
      <c r="R1463" s="3" t="s">
        <v>2617</v>
      </c>
      <c r="S1463" s="21" t="n">
        <f>35928156</f>
        <v>3.5928156E7</v>
      </c>
      <c r="T1463" s="21" t="n">
        <f>20471805</f>
        <v>2.0471805E7</v>
      </c>
      <c r="U1463" s="5" t="s">
        <v>659</v>
      </c>
      <c r="V1463" s="23" t="n">
        <f>346905300</f>
        <v>3.469053E8</v>
      </c>
      <c r="W1463" s="5" t="s">
        <v>985</v>
      </c>
      <c r="X1463" s="23" t="n">
        <f>552280</f>
        <v>552280.0</v>
      </c>
      <c r="Y1463" s="23" t="n">
        <f>82197</f>
        <v>82197.0</v>
      </c>
      <c r="Z1463" s="21" t="n">
        <f>48834</f>
        <v>48834.0</v>
      </c>
      <c r="AA1463" s="21" t="n">
        <f>162096</f>
        <v>162096.0</v>
      </c>
      <c r="AB1463" s="4" t="s">
        <v>119</v>
      </c>
      <c r="AC1463" s="22" t="n">
        <f>230441</f>
        <v>230441.0</v>
      </c>
      <c r="AD1463" s="5" t="s">
        <v>224</v>
      </c>
      <c r="AE1463" s="23" t="n">
        <f>101334</f>
        <v>101334.0</v>
      </c>
    </row>
    <row r="1464">
      <c r="A1464" s="24" t="s">
        <v>2478</v>
      </c>
      <c r="B1464" s="25" t="s">
        <v>2479</v>
      </c>
      <c r="C1464" s="26" t="s">
        <v>1744</v>
      </c>
      <c r="D1464" s="27" t="s">
        <v>1745</v>
      </c>
      <c r="E1464" s="28" t="s">
        <v>437</v>
      </c>
      <c r="F1464" s="20" t="n">
        <f>120</f>
        <v>120.0</v>
      </c>
      <c r="G1464" s="21" t="n">
        <f>381316</f>
        <v>381316.0</v>
      </c>
      <c r="H1464" s="21"/>
      <c r="I1464" s="21" t="n">
        <f>206584</f>
        <v>206584.0</v>
      </c>
      <c r="J1464" s="21" t="n">
        <f>3178</f>
        <v>3178.0</v>
      </c>
      <c r="K1464" s="21" t="n">
        <f>1722</f>
        <v>1722.0</v>
      </c>
      <c r="L1464" s="4" t="s">
        <v>641</v>
      </c>
      <c r="M1464" s="22" t="n">
        <f>17204</f>
        <v>17204.0</v>
      </c>
      <c r="N1464" s="5" t="s">
        <v>726</v>
      </c>
      <c r="O1464" s="23" t="n">
        <f>328</f>
        <v>328.0</v>
      </c>
      <c r="P1464" s="3" t="s">
        <v>2618</v>
      </c>
      <c r="Q1464" s="21"/>
      <c r="R1464" s="3" t="s">
        <v>2619</v>
      </c>
      <c r="S1464" s="21" t="n">
        <f>25545057</f>
        <v>2.5545057E7</v>
      </c>
      <c r="T1464" s="21" t="n">
        <f>15657454</f>
        <v>1.5657454E7</v>
      </c>
      <c r="U1464" s="5" t="s">
        <v>1277</v>
      </c>
      <c r="V1464" s="23" t="n">
        <f>231753780</f>
        <v>2.3175378E8</v>
      </c>
      <c r="W1464" s="5" t="s">
        <v>155</v>
      </c>
      <c r="X1464" s="23" t="n">
        <f>1817110</f>
        <v>1817110.0</v>
      </c>
      <c r="Y1464" s="23" t="n">
        <f>46718</f>
        <v>46718.0</v>
      </c>
      <c r="Z1464" s="21" t="n">
        <f>45062</f>
        <v>45062.0</v>
      </c>
      <c r="AA1464" s="21" t="n">
        <f>36184</f>
        <v>36184.0</v>
      </c>
      <c r="AB1464" s="4" t="s">
        <v>241</v>
      </c>
      <c r="AC1464" s="22" t="n">
        <f>83268</f>
        <v>83268.0</v>
      </c>
      <c r="AD1464" s="5" t="s">
        <v>116</v>
      </c>
      <c r="AE1464" s="23" t="n">
        <f>19089</f>
        <v>19089.0</v>
      </c>
    </row>
    <row r="1465">
      <c r="A1465" s="24" t="s">
        <v>2478</v>
      </c>
      <c r="B1465" s="25" t="s">
        <v>2479</v>
      </c>
      <c r="C1465" s="26" t="s">
        <v>1748</v>
      </c>
      <c r="D1465" s="27" t="s">
        <v>1749</v>
      </c>
      <c r="E1465" s="28" t="s">
        <v>437</v>
      </c>
      <c r="F1465" s="20" t="n">
        <f>120</f>
        <v>120.0</v>
      </c>
      <c r="G1465" s="21" t="n">
        <f>376776</f>
        <v>376776.0</v>
      </c>
      <c r="H1465" s="21"/>
      <c r="I1465" s="21" t="n">
        <f>182274</f>
        <v>182274.0</v>
      </c>
      <c r="J1465" s="21" t="n">
        <f>3140</f>
        <v>3140.0</v>
      </c>
      <c r="K1465" s="21" t="n">
        <f>1519</f>
        <v>1519.0</v>
      </c>
      <c r="L1465" s="4" t="s">
        <v>1524</v>
      </c>
      <c r="M1465" s="22" t="n">
        <f>16170</f>
        <v>16170.0</v>
      </c>
      <c r="N1465" s="5" t="s">
        <v>149</v>
      </c>
      <c r="O1465" s="23" t="n">
        <f>403</f>
        <v>403.0</v>
      </c>
      <c r="P1465" s="3" t="s">
        <v>2620</v>
      </c>
      <c r="Q1465" s="21"/>
      <c r="R1465" s="3" t="s">
        <v>2621</v>
      </c>
      <c r="S1465" s="21" t="n">
        <f>23610457</f>
        <v>2.3610457E7</v>
      </c>
      <c r="T1465" s="21" t="n">
        <f>12542782</f>
        <v>1.2542782E7</v>
      </c>
      <c r="U1465" s="5" t="s">
        <v>862</v>
      </c>
      <c r="V1465" s="23" t="n">
        <f>183011170</f>
        <v>1.8301117E8</v>
      </c>
      <c r="W1465" s="5" t="s">
        <v>149</v>
      </c>
      <c r="X1465" s="23" t="n">
        <f>2880590</f>
        <v>2880590.0</v>
      </c>
      <c r="Y1465" s="23" t="n">
        <f>72873</f>
        <v>72873.0</v>
      </c>
      <c r="Z1465" s="21" t="n">
        <f>22795</f>
        <v>22795.0</v>
      </c>
      <c r="AA1465" s="21" t="n">
        <f>50558</f>
        <v>50558.0</v>
      </c>
      <c r="AB1465" s="4" t="s">
        <v>1277</v>
      </c>
      <c r="AC1465" s="22" t="n">
        <f>140057</f>
        <v>140057.0</v>
      </c>
      <c r="AD1465" s="5" t="s">
        <v>116</v>
      </c>
      <c r="AE1465" s="23" t="n">
        <f>28852</f>
        <v>28852.0</v>
      </c>
    </row>
    <row r="1466">
      <c r="A1466" s="24" t="s">
        <v>2478</v>
      </c>
      <c r="B1466" s="25" t="s">
        <v>2479</v>
      </c>
      <c r="C1466" s="26" t="s">
        <v>1752</v>
      </c>
      <c r="D1466" s="27" t="s">
        <v>1753</v>
      </c>
      <c r="E1466" s="28" t="s">
        <v>437</v>
      </c>
      <c r="F1466" s="20" t="n">
        <f>120</f>
        <v>120.0</v>
      </c>
      <c r="G1466" s="21" t="n">
        <f>758092</f>
        <v>758092.0</v>
      </c>
      <c r="H1466" s="21"/>
      <c r="I1466" s="21" t="n">
        <f>388858</f>
        <v>388858.0</v>
      </c>
      <c r="J1466" s="21" t="n">
        <f>6317</f>
        <v>6317.0</v>
      </c>
      <c r="K1466" s="21" t="n">
        <f>3240</f>
        <v>3240.0</v>
      </c>
      <c r="L1466" s="4" t="s">
        <v>641</v>
      </c>
      <c r="M1466" s="22" t="n">
        <f>27819</f>
        <v>27819.0</v>
      </c>
      <c r="N1466" s="5" t="s">
        <v>455</v>
      </c>
      <c r="O1466" s="23" t="n">
        <f>953</f>
        <v>953.0</v>
      </c>
      <c r="P1466" s="3" t="s">
        <v>2622</v>
      </c>
      <c r="Q1466" s="21"/>
      <c r="R1466" s="3" t="s">
        <v>2623</v>
      </c>
      <c r="S1466" s="21" t="n">
        <f>49155514</f>
        <v>4.9155514E7</v>
      </c>
      <c r="T1466" s="21" t="n">
        <f>28200236</f>
        <v>2.8200236E7</v>
      </c>
      <c r="U1466" s="5" t="s">
        <v>1277</v>
      </c>
      <c r="V1466" s="23" t="n">
        <f>246716258</f>
        <v>2.46716258E8</v>
      </c>
      <c r="W1466" s="5" t="s">
        <v>149</v>
      </c>
      <c r="X1466" s="23" t="n">
        <f>7019520</f>
        <v>7019520.0</v>
      </c>
      <c r="Y1466" s="23" t="n">
        <f>119591</f>
        <v>119591.0</v>
      </c>
      <c r="Z1466" s="21" t="n">
        <f>67857</f>
        <v>67857.0</v>
      </c>
      <c r="AA1466" s="21" t="n">
        <f>86742</f>
        <v>86742.0</v>
      </c>
      <c r="AB1466" s="4" t="s">
        <v>241</v>
      </c>
      <c r="AC1466" s="22" t="n">
        <f>220511</f>
        <v>220511.0</v>
      </c>
      <c r="AD1466" s="5" t="s">
        <v>116</v>
      </c>
      <c r="AE1466" s="23" t="n">
        <f>47941</f>
        <v>47941.0</v>
      </c>
    </row>
    <row r="1467">
      <c r="A1467" s="24" t="s">
        <v>2478</v>
      </c>
      <c r="B1467" s="25" t="s">
        <v>2479</v>
      </c>
      <c r="C1467" s="26" t="s">
        <v>1744</v>
      </c>
      <c r="D1467" s="27" t="s">
        <v>1745</v>
      </c>
      <c r="E1467" s="28" t="s">
        <v>441</v>
      </c>
      <c r="F1467" s="20" t="n">
        <f>125</f>
        <v>125.0</v>
      </c>
      <c r="G1467" s="21" t="n">
        <f>246365</f>
        <v>246365.0</v>
      </c>
      <c r="H1467" s="21"/>
      <c r="I1467" s="21" t="n">
        <f>154220</f>
        <v>154220.0</v>
      </c>
      <c r="J1467" s="21" t="n">
        <f>1971</f>
        <v>1971.0</v>
      </c>
      <c r="K1467" s="21" t="n">
        <f>1234</f>
        <v>1234.0</v>
      </c>
      <c r="L1467" s="4" t="s">
        <v>709</v>
      </c>
      <c r="M1467" s="22" t="n">
        <f>21479</f>
        <v>21479.0</v>
      </c>
      <c r="N1467" s="5" t="s">
        <v>189</v>
      </c>
      <c r="O1467" s="23" t="n">
        <f>1</f>
        <v>1.0</v>
      </c>
      <c r="P1467" s="3" t="s">
        <v>2624</v>
      </c>
      <c r="Q1467" s="21"/>
      <c r="R1467" s="3" t="s">
        <v>2625</v>
      </c>
      <c r="S1467" s="21" t="n">
        <f>15800849</f>
        <v>1.5800849E7</v>
      </c>
      <c r="T1467" s="21" t="n">
        <f>11645319</f>
        <v>1.1645319E7</v>
      </c>
      <c r="U1467" s="5" t="s">
        <v>151</v>
      </c>
      <c r="V1467" s="23" t="n">
        <f>129796260</f>
        <v>1.2979626E8</v>
      </c>
      <c r="W1467" s="5" t="s">
        <v>189</v>
      </c>
      <c r="X1467" s="23" t="n">
        <f>8350</f>
        <v>8350.0</v>
      </c>
      <c r="Y1467" s="23" t="n">
        <f>26229</f>
        <v>26229.0</v>
      </c>
      <c r="Z1467" s="21" t="n">
        <f>2626</f>
        <v>2626.0</v>
      </c>
      <c r="AA1467" s="21" t="n">
        <f>74091</f>
        <v>74091.0</v>
      </c>
      <c r="AB1467" s="4" t="s">
        <v>248</v>
      </c>
      <c r="AC1467" s="22" t="n">
        <f>74091</f>
        <v>74091.0</v>
      </c>
      <c r="AD1467" s="5" t="s">
        <v>107</v>
      </c>
      <c r="AE1467" s="23" t="n">
        <f>18842</f>
        <v>18842.0</v>
      </c>
    </row>
    <row r="1468">
      <c r="A1468" s="24" t="s">
        <v>2478</v>
      </c>
      <c r="B1468" s="25" t="s">
        <v>2479</v>
      </c>
      <c r="C1468" s="26" t="s">
        <v>1748</v>
      </c>
      <c r="D1468" s="27" t="s">
        <v>1749</v>
      </c>
      <c r="E1468" s="28" t="s">
        <v>441</v>
      </c>
      <c r="F1468" s="20" t="n">
        <f>125</f>
        <v>125.0</v>
      </c>
      <c r="G1468" s="21" t="n">
        <f>255492</f>
        <v>255492.0</v>
      </c>
      <c r="H1468" s="21"/>
      <c r="I1468" s="21" t="n">
        <f>169775</f>
        <v>169775.0</v>
      </c>
      <c r="J1468" s="21" t="n">
        <f>2044</f>
        <v>2044.0</v>
      </c>
      <c r="K1468" s="21" t="n">
        <f>1358</f>
        <v>1358.0</v>
      </c>
      <c r="L1468" s="4" t="s">
        <v>496</v>
      </c>
      <c r="M1468" s="22" t="n">
        <f>45454</f>
        <v>45454.0</v>
      </c>
      <c r="N1468" s="5" t="s">
        <v>434</v>
      </c>
      <c r="O1468" s="23" t="n">
        <f>1</f>
        <v>1.0</v>
      </c>
      <c r="P1468" s="3" t="s">
        <v>2626</v>
      </c>
      <c r="Q1468" s="21"/>
      <c r="R1468" s="3" t="s">
        <v>2627</v>
      </c>
      <c r="S1468" s="21" t="n">
        <f>17684632</f>
        <v>1.7684632E7</v>
      </c>
      <c r="T1468" s="21" t="n">
        <f>13345618</f>
        <v>1.3345618E7</v>
      </c>
      <c r="U1468" s="5" t="s">
        <v>458</v>
      </c>
      <c r="V1468" s="23" t="n">
        <f>202533380</f>
        <v>2.0253338E8</v>
      </c>
      <c r="W1468" s="5" t="s">
        <v>434</v>
      </c>
      <c r="X1468" s="23" t="n">
        <f>16250</f>
        <v>16250.0</v>
      </c>
      <c r="Y1468" s="23" t="n">
        <f>37575</f>
        <v>37575.0</v>
      </c>
      <c r="Z1468" s="21" t="n">
        <f>9220</f>
        <v>9220.0</v>
      </c>
      <c r="AA1468" s="21" t="n">
        <f>93689</f>
        <v>93689.0</v>
      </c>
      <c r="AB1468" s="4" t="s">
        <v>248</v>
      </c>
      <c r="AC1468" s="22" t="n">
        <f>93689</f>
        <v>93689.0</v>
      </c>
      <c r="AD1468" s="5" t="s">
        <v>1460</v>
      </c>
      <c r="AE1468" s="23" t="n">
        <f>22692</f>
        <v>22692.0</v>
      </c>
    </row>
    <row r="1469">
      <c r="A1469" s="24" t="s">
        <v>2478</v>
      </c>
      <c r="B1469" s="25" t="s">
        <v>2479</v>
      </c>
      <c r="C1469" s="26" t="s">
        <v>1752</v>
      </c>
      <c r="D1469" s="27" t="s">
        <v>1753</v>
      </c>
      <c r="E1469" s="28" t="s">
        <v>441</v>
      </c>
      <c r="F1469" s="20" t="n">
        <f>125</f>
        <v>125.0</v>
      </c>
      <c r="G1469" s="21" t="n">
        <f>501857</f>
        <v>501857.0</v>
      </c>
      <c r="H1469" s="21"/>
      <c r="I1469" s="21" t="n">
        <f>323995</f>
        <v>323995.0</v>
      </c>
      <c r="J1469" s="21" t="n">
        <f>4015</f>
        <v>4015.0</v>
      </c>
      <c r="K1469" s="21" t="n">
        <f>2592</f>
        <v>2592.0</v>
      </c>
      <c r="L1469" s="4" t="s">
        <v>496</v>
      </c>
      <c r="M1469" s="22" t="n">
        <f>52890</f>
        <v>52890.0</v>
      </c>
      <c r="N1469" s="5" t="s">
        <v>434</v>
      </c>
      <c r="O1469" s="23" t="n">
        <f>18</f>
        <v>18.0</v>
      </c>
      <c r="P1469" s="3" t="s">
        <v>2628</v>
      </c>
      <c r="Q1469" s="21"/>
      <c r="R1469" s="3" t="s">
        <v>2629</v>
      </c>
      <c r="S1469" s="21" t="n">
        <f>33485481</f>
        <v>3.3485481E7</v>
      </c>
      <c r="T1469" s="21" t="n">
        <f>24990937</f>
        <v>2.4990937E7</v>
      </c>
      <c r="U1469" s="5" t="s">
        <v>248</v>
      </c>
      <c r="V1469" s="23" t="n">
        <f>212139960</f>
        <v>2.1213996E8</v>
      </c>
      <c r="W1469" s="5" t="s">
        <v>434</v>
      </c>
      <c r="X1469" s="23" t="n">
        <f>34950</f>
        <v>34950.0</v>
      </c>
      <c r="Y1469" s="23" t="n">
        <f>63804</f>
        <v>63804.0</v>
      </c>
      <c r="Z1469" s="21" t="n">
        <f>11846</f>
        <v>11846.0</v>
      </c>
      <c r="AA1469" s="21" t="n">
        <f>167780</f>
        <v>167780.0</v>
      </c>
      <c r="AB1469" s="4" t="s">
        <v>248</v>
      </c>
      <c r="AC1469" s="22" t="n">
        <f>167780</f>
        <v>167780.0</v>
      </c>
      <c r="AD1469" s="5" t="s">
        <v>107</v>
      </c>
      <c r="AE1469" s="23" t="n">
        <f>42036</f>
        <v>42036.0</v>
      </c>
    </row>
    <row r="1470">
      <c r="A1470" s="24" t="s">
        <v>2478</v>
      </c>
      <c r="B1470" s="25" t="s">
        <v>2479</v>
      </c>
      <c r="C1470" s="26" t="s">
        <v>1744</v>
      </c>
      <c r="D1470" s="27" t="s">
        <v>1745</v>
      </c>
      <c r="E1470" s="28" t="s">
        <v>48</v>
      </c>
      <c r="F1470" s="20" t="n">
        <f>121</f>
        <v>121.0</v>
      </c>
      <c r="G1470" s="21" t="n">
        <f>149928</f>
        <v>149928.0</v>
      </c>
      <c r="H1470" s="21"/>
      <c r="I1470" s="21" t="n">
        <f>103219</f>
        <v>103219.0</v>
      </c>
      <c r="J1470" s="21" t="n">
        <f>1239</f>
        <v>1239.0</v>
      </c>
      <c r="K1470" s="21" t="n">
        <f>853</f>
        <v>853.0</v>
      </c>
      <c r="L1470" s="4" t="s">
        <v>170</v>
      </c>
      <c r="M1470" s="22" t="n">
        <f>21506</f>
        <v>21506.0</v>
      </c>
      <c r="N1470" s="5" t="s">
        <v>809</v>
      </c>
      <c r="O1470" s="23" t="str">
        <f>"－"</f>
        <v>－</v>
      </c>
      <c r="P1470" s="3" t="s">
        <v>2630</v>
      </c>
      <c r="Q1470" s="21"/>
      <c r="R1470" s="3" t="s">
        <v>2631</v>
      </c>
      <c r="S1470" s="21" t="n">
        <f>13198972</f>
        <v>1.3198972E7</v>
      </c>
      <c r="T1470" s="21" t="n">
        <f>10265797</f>
        <v>1.0265797E7</v>
      </c>
      <c r="U1470" s="5" t="s">
        <v>865</v>
      </c>
      <c r="V1470" s="23" t="n">
        <f>294111100</f>
        <v>2.941111E8</v>
      </c>
      <c r="W1470" s="5" t="s">
        <v>809</v>
      </c>
      <c r="X1470" s="23" t="str">
        <f>"－"</f>
        <v>－</v>
      </c>
      <c r="Y1470" s="23" t="n">
        <f>18143</f>
        <v>18143.0</v>
      </c>
      <c r="Z1470" s="21" t="n">
        <f>33926</f>
        <v>33926.0</v>
      </c>
      <c r="AA1470" s="21" t="n">
        <f>43889</f>
        <v>43889.0</v>
      </c>
      <c r="AB1470" s="4" t="s">
        <v>81</v>
      </c>
      <c r="AC1470" s="22" t="n">
        <f>100908</f>
        <v>100908.0</v>
      </c>
      <c r="AD1470" s="5" t="s">
        <v>187</v>
      </c>
      <c r="AE1470" s="23" t="n">
        <f>39434</f>
        <v>39434.0</v>
      </c>
    </row>
    <row r="1471">
      <c r="A1471" s="24" t="s">
        <v>2478</v>
      </c>
      <c r="B1471" s="25" t="s">
        <v>2479</v>
      </c>
      <c r="C1471" s="26" t="s">
        <v>1748</v>
      </c>
      <c r="D1471" s="27" t="s">
        <v>1749</v>
      </c>
      <c r="E1471" s="28" t="s">
        <v>48</v>
      </c>
      <c r="F1471" s="20" t="n">
        <f>121</f>
        <v>121.0</v>
      </c>
      <c r="G1471" s="21" t="n">
        <f>176671</f>
        <v>176671.0</v>
      </c>
      <c r="H1471" s="21"/>
      <c r="I1471" s="21" t="n">
        <f>131547</f>
        <v>131547.0</v>
      </c>
      <c r="J1471" s="21" t="n">
        <f>1460</f>
        <v>1460.0</v>
      </c>
      <c r="K1471" s="21" t="n">
        <f>1087</f>
        <v>1087.0</v>
      </c>
      <c r="L1471" s="4" t="s">
        <v>208</v>
      </c>
      <c r="M1471" s="22" t="n">
        <f>12143</f>
        <v>12143.0</v>
      </c>
      <c r="N1471" s="5" t="s">
        <v>277</v>
      </c>
      <c r="O1471" s="23" t="str">
        <f>"－"</f>
        <v>－</v>
      </c>
      <c r="P1471" s="3" t="s">
        <v>2632</v>
      </c>
      <c r="Q1471" s="21"/>
      <c r="R1471" s="3" t="s">
        <v>2633</v>
      </c>
      <c r="S1471" s="21" t="n">
        <f>21035426</f>
        <v>2.1035426E7</v>
      </c>
      <c r="T1471" s="21" t="n">
        <f>17788072</f>
        <v>1.7788072E7</v>
      </c>
      <c r="U1471" s="5" t="s">
        <v>954</v>
      </c>
      <c r="V1471" s="23" t="n">
        <f>387856000</f>
        <v>3.87856E8</v>
      </c>
      <c r="W1471" s="5" t="s">
        <v>277</v>
      </c>
      <c r="X1471" s="23" t="str">
        <f>"－"</f>
        <v>－</v>
      </c>
      <c r="Y1471" s="23" t="n">
        <f>97780</f>
        <v>97780.0</v>
      </c>
      <c r="Z1471" s="21" t="n">
        <f>44338</f>
        <v>44338.0</v>
      </c>
      <c r="AA1471" s="21" t="n">
        <f>50062</f>
        <v>50062.0</v>
      </c>
      <c r="AB1471" s="4" t="s">
        <v>49</v>
      </c>
      <c r="AC1471" s="22" t="n">
        <f>131325</f>
        <v>131325.0</v>
      </c>
      <c r="AD1471" s="5" t="s">
        <v>187</v>
      </c>
      <c r="AE1471" s="23" t="n">
        <f>40432</f>
        <v>40432.0</v>
      </c>
    </row>
    <row r="1472">
      <c r="A1472" s="24" t="s">
        <v>2478</v>
      </c>
      <c r="B1472" s="25" t="s">
        <v>2479</v>
      </c>
      <c r="C1472" s="26" t="s">
        <v>1752</v>
      </c>
      <c r="D1472" s="27" t="s">
        <v>1753</v>
      </c>
      <c r="E1472" s="28" t="s">
        <v>48</v>
      </c>
      <c r="F1472" s="20" t="n">
        <f>121</f>
        <v>121.0</v>
      </c>
      <c r="G1472" s="21" t="n">
        <f>326599</f>
        <v>326599.0</v>
      </c>
      <c r="H1472" s="21"/>
      <c r="I1472" s="21" t="n">
        <f>234766</f>
        <v>234766.0</v>
      </c>
      <c r="J1472" s="21" t="n">
        <f>2699</f>
        <v>2699.0</v>
      </c>
      <c r="K1472" s="21" t="n">
        <f>1940</f>
        <v>1940.0</v>
      </c>
      <c r="L1472" s="4" t="s">
        <v>170</v>
      </c>
      <c r="M1472" s="22" t="n">
        <f>31274</f>
        <v>31274.0</v>
      </c>
      <c r="N1472" s="5" t="s">
        <v>809</v>
      </c>
      <c r="O1472" s="23" t="str">
        <f>"－"</f>
        <v>－</v>
      </c>
      <c r="P1472" s="3" t="s">
        <v>2634</v>
      </c>
      <c r="Q1472" s="21"/>
      <c r="R1472" s="3" t="s">
        <v>2635</v>
      </c>
      <c r="S1472" s="21" t="n">
        <f>34234398</f>
        <v>3.4234398E7</v>
      </c>
      <c r="T1472" s="21" t="n">
        <f>28053869</f>
        <v>2.8053869E7</v>
      </c>
      <c r="U1472" s="5" t="s">
        <v>865</v>
      </c>
      <c r="V1472" s="23" t="n">
        <f>472002100</f>
        <v>4.720021E8</v>
      </c>
      <c r="W1472" s="5" t="s">
        <v>809</v>
      </c>
      <c r="X1472" s="23" t="str">
        <f>"－"</f>
        <v>－</v>
      </c>
      <c r="Y1472" s="23" t="n">
        <f>115923</f>
        <v>115923.0</v>
      </c>
      <c r="Z1472" s="21" t="n">
        <f>78264</f>
        <v>78264.0</v>
      </c>
      <c r="AA1472" s="21" t="n">
        <f>93951</f>
        <v>93951.0</v>
      </c>
      <c r="AB1472" s="4" t="s">
        <v>49</v>
      </c>
      <c r="AC1472" s="22" t="n">
        <f>232233</f>
        <v>232233.0</v>
      </c>
      <c r="AD1472" s="5" t="s">
        <v>187</v>
      </c>
      <c r="AE1472" s="23" t="n">
        <f>79866</f>
        <v>79866.0</v>
      </c>
    </row>
    <row r="1473">
      <c r="A1473" s="24" t="s">
        <v>2478</v>
      </c>
      <c r="B1473" s="25" t="s">
        <v>2479</v>
      </c>
      <c r="C1473" s="26" t="s">
        <v>1744</v>
      </c>
      <c r="D1473" s="27" t="s">
        <v>1745</v>
      </c>
      <c r="E1473" s="28" t="s">
        <v>56</v>
      </c>
      <c r="F1473" s="20" t="n">
        <f>123</f>
        <v>123.0</v>
      </c>
      <c r="G1473" s="21" t="n">
        <f>177996</f>
        <v>177996.0</v>
      </c>
      <c r="H1473" s="21"/>
      <c r="I1473" s="21" t="n">
        <f>137673</f>
        <v>137673.0</v>
      </c>
      <c r="J1473" s="21" t="n">
        <f>1447</f>
        <v>1447.0</v>
      </c>
      <c r="K1473" s="21" t="n">
        <f>1119</f>
        <v>1119.0</v>
      </c>
      <c r="L1473" s="4" t="s">
        <v>364</v>
      </c>
      <c r="M1473" s="22" t="n">
        <f>19135</f>
        <v>19135.0</v>
      </c>
      <c r="N1473" s="5" t="s">
        <v>248</v>
      </c>
      <c r="O1473" s="23" t="str">
        <f>"－"</f>
        <v>－</v>
      </c>
      <c r="P1473" s="3" t="s">
        <v>2636</v>
      </c>
      <c r="Q1473" s="21"/>
      <c r="R1473" s="3" t="s">
        <v>2637</v>
      </c>
      <c r="S1473" s="21" t="n">
        <f>14225701</f>
        <v>1.4225701E7</v>
      </c>
      <c r="T1473" s="21" t="n">
        <f>11765655</f>
        <v>1.1765655E7</v>
      </c>
      <c r="U1473" s="5" t="s">
        <v>944</v>
      </c>
      <c r="V1473" s="23" t="n">
        <f>165333000</f>
        <v>1.65333E8</v>
      </c>
      <c r="W1473" s="5" t="s">
        <v>248</v>
      </c>
      <c r="X1473" s="23" t="str">
        <f>"－"</f>
        <v>－</v>
      </c>
      <c r="Y1473" s="23" t="n">
        <f>60901</f>
        <v>60901.0</v>
      </c>
      <c r="Z1473" s="21" t="n">
        <f>69913</f>
        <v>69913.0</v>
      </c>
      <c r="AA1473" s="21" t="n">
        <f>29967</f>
        <v>29967.0</v>
      </c>
      <c r="AB1473" s="4" t="s">
        <v>88</v>
      </c>
      <c r="AC1473" s="22" t="n">
        <f>74895</f>
        <v>74895.0</v>
      </c>
      <c r="AD1473" s="5" t="s">
        <v>193</v>
      </c>
      <c r="AE1473" s="23" t="n">
        <f>19915</f>
        <v>19915.0</v>
      </c>
    </row>
    <row r="1474">
      <c r="A1474" s="24" t="s">
        <v>2478</v>
      </c>
      <c r="B1474" s="25" t="s">
        <v>2479</v>
      </c>
      <c r="C1474" s="26" t="s">
        <v>1748</v>
      </c>
      <c r="D1474" s="27" t="s">
        <v>1749</v>
      </c>
      <c r="E1474" s="28" t="s">
        <v>56</v>
      </c>
      <c r="F1474" s="20" t="n">
        <f>123</f>
        <v>123.0</v>
      </c>
      <c r="G1474" s="21" t="n">
        <f>343810</f>
        <v>343810.0</v>
      </c>
      <c r="H1474" s="21"/>
      <c r="I1474" s="21" t="n">
        <f>294172</f>
        <v>294172.0</v>
      </c>
      <c r="J1474" s="21" t="n">
        <f>2795</f>
        <v>2795.0</v>
      </c>
      <c r="K1474" s="21" t="n">
        <f>2392</f>
        <v>2392.0</v>
      </c>
      <c r="L1474" s="4" t="s">
        <v>237</v>
      </c>
      <c r="M1474" s="22" t="n">
        <f>69472</f>
        <v>69472.0</v>
      </c>
      <c r="N1474" s="5" t="s">
        <v>1108</v>
      </c>
      <c r="O1474" s="23" t="str">
        <f>"－"</f>
        <v>－</v>
      </c>
      <c r="P1474" s="3" t="s">
        <v>2638</v>
      </c>
      <c r="Q1474" s="21"/>
      <c r="R1474" s="3" t="s">
        <v>2639</v>
      </c>
      <c r="S1474" s="21" t="n">
        <f>14389116</f>
        <v>1.4389116E7</v>
      </c>
      <c r="T1474" s="21" t="n">
        <f>11726072</f>
        <v>1.1726072E7</v>
      </c>
      <c r="U1474" s="5" t="s">
        <v>944</v>
      </c>
      <c r="V1474" s="23" t="n">
        <f>162643700</f>
        <v>1.626437E8</v>
      </c>
      <c r="W1474" s="5" t="s">
        <v>1108</v>
      </c>
      <c r="X1474" s="23" t="str">
        <f>"－"</f>
        <v>－</v>
      </c>
      <c r="Y1474" s="23" t="n">
        <f>56611</f>
        <v>56611.0</v>
      </c>
      <c r="Z1474" s="21" t="n">
        <f>219700</f>
        <v>219700.0</v>
      </c>
      <c r="AA1474" s="21" t="n">
        <f>24130</f>
        <v>24130.0</v>
      </c>
      <c r="AB1474" s="4" t="s">
        <v>312</v>
      </c>
      <c r="AC1474" s="22" t="n">
        <f>115719</f>
        <v>115719.0</v>
      </c>
      <c r="AD1474" s="5" t="s">
        <v>281</v>
      </c>
      <c r="AE1474" s="23" t="n">
        <f>18194</f>
        <v>18194.0</v>
      </c>
    </row>
    <row r="1475">
      <c r="A1475" s="24" t="s">
        <v>2478</v>
      </c>
      <c r="B1475" s="25" t="s">
        <v>2479</v>
      </c>
      <c r="C1475" s="26" t="s">
        <v>1752</v>
      </c>
      <c r="D1475" s="27" t="s">
        <v>1753</v>
      </c>
      <c r="E1475" s="28" t="s">
        <v>56</v>
      </c>
      <c r="F1475" s="20" t="n">
        <f>123</f>
        <v>123.0</v>
      </c>
      <c r="G1475" s="21" t="n">
        <f>521806</f>
        <v>521806.0</v>
      </c>
      <c r="H1475" s="21"/>
      <c r="I1475" s="21" t="n">
        <f>431845</f>
        <v>431845.0</v>
      </c>
      <c r="J1475" s="21" t="n">
        <f>4242</f>
        <v>4242.0</v>
      </c>
      <c r="K1475" s="21" t="n">
        <f>3511</f>
        <v>3511.0</v>
      </c>
      <c r="L1475" s="4" t="s">
        <v>237</v>
      </c>
      <c r="M1475" s="22" t="n">
        <f>70024</f>
        <v>70024.0</v>
      </c>
      <c r="N1475" s="5" t="s">
        <v>853</v>
      </c>
      <c r="O1475" s="23" t="n">
        <f>185</f>
        <v>185.0</v>
      </c>
      <c r="P1475" s="3" t="s">
        <v>2640</v>
      </c>
      <c r="Q1475" s="21"/>
      <c r="R1475" s="3" t="s">
        <v>2641</v>
      </c>
      <c r="S1475" s="21" t="n">
        <f>28614816</f>
        <v>2.8614816E7</v>
      </c>
      <c r="T1475" s="21" t="n">
        <f>23491727</f>
        <v>2.3491727E7</v>
      </c>
      <c r="U1475" s="5" t="s">
        <v>944</v>
      </c>
      <c r="V1475" s="23" t="n">
        <f>327976700</f>
        <v>3.279767E8</v>
      </c>
      <c r="W1475" s="5" t="s">
        <v>496</v>
      </c>
      <c r="X1475" s="23" t="n">
        <f>482750</f>
        <v>482750.0</v>
      </c>
      <c r="Y1475" s="23" t="n">
        <f>117512</f>
        <v>117512.0</v>
      </c>
      <c r="Z1475" s="21" t="n">
        <f>289613</f>
        <v>289613.0</v>
      </c>
      <c r="AA1475" s="21" t="n">
        <f>54097</f>
        <v>54097.0</v>
      </c>
      <c r="AB1475" s="4" t="s">
        <v>312</v>
      </c>
      <c r="AC1475" s="22" t="n">
        <f>175730</f>
        <v>175730.0</v>
      </c>
      <c r="AD1475" s="5" t="s">
        <v>281</v>
      </c>
      <c r="AE1475" s="23" t="n">
        <f>43223</f>
        <v>43223.0</v>
      </c>
    </row>
    <row r="1476">
      <c r="A1476" s="24" t="s">
        <v>2478</v>
      </c>
      <c r="B1476" s="25" t="s">
        <v>2479</v>
      </c>
      <c r="C1476" s="26" t="s">
        <v>1744</v>
      </c>
      <c r="D1476" s="27" t="s">
        <v>1745</v>
      </c>
      <c r="E1476" s="28" t="s">
        <v>63</v>
      </c>
      <c r="F1476" s="20" t="n">
        <f>122</f>
        <v>122.0</v>
      </c>
      <c r="G1476" s="21" t="n">
        <f>175173</f>
        <v>175173.0</v>
      </c>
      <c r="H1476" s="21"/>
      <c r="I1476" s="21" t="n">
        <f>150757</f>
        <v>150757.0</v>
      </c>
      <c r="J1476" s="21" t="n">
        <f>1436</f>
        <v>1436.0</v>
      </c>
      <c r="K1476" s="21" t="n">
        <f>1236</f>
        <v>1236.0</v>
      </c>
      <c r="L1476" s="4" t="s">
        <v>306</v>
      </c>
      <c r="M1476" s="22" t="n">
        <f>20848</f>
        <v>20848.0</v>
      </c>
      <c r="N1476" s="5" t="s">
        <v>1495</v>
      </c>
      <c r="O1476" s="23" t="str">
        <f>"－"</f>
        <v>－</v>
      </c>
      <c r="P1476" s="3" t="s">
        <v>2642</v>
      </c>
      <c r="Q1476" s="21"/>
      <c r="R1476" s="3" t="s">
        <v>2643</v>
      </c>
      <c r="S1476" s="21" t="n">
        <f>15915909</f>
        <v>1.5915909E7</v>
      </c>
      <c r="T1476" s="21" t="n">
        <f>14123009</f>
        <v>1.4123009E7</v>
      </c>
      <c r="U1476" s="5" t="s">
        <v>1009</v>
      </c>
      <c r="V1476" s="23" t="n">
        <f>281890260</f>
        <v>2.8189026E8</v>
      </c>
      <c r="W1476" s="5" t="s">
        <v>1495</v>
      </c>
      <c r="X1476" s="23" t="str">
        <f>"－"</f>
        <v>－</v>
      </c>
      <c r="Y1476" s="23" t="n">
        <f>31967</f>
        <v>31967.0</v>
      </c>
      <c r="Z1476" s="21" t="n">
        <f>34496</f>
        <v>34496.0</v>
      </c>
      <c r="AA1476" s="21" t="n">
        <f>28721</f>
        <v>28721.0</v>
      </c>
      <c r="AB1476" s="4" t="s">
        <v>81</v>
      </c>
      <c r="AC1476" s="22" t="n">
        <f>54312</f>
        <v>54312.0</v>
      </c>
      <c r="AD1476" s="5" t="s">
        <v>69</v>
      </c>
      <c r="AE1476" s="23" t="n">
        <f>20262</f>
        <v>20262.0</v>
      </c>
    </row>
    <row r="1477">
      <c r="A1477" s="24" t="s">
        <v>2478</v>
      </c>
      <c r="B1477" s="25" t="s">
        <v>2479</v>
      </c>
      <c r="C1477" s="26" t="s">
        <v>1748</v>
      </c>
      <c r="D1477" s="27" t="s">
        <v>1749</v>
      </c>
      <c r="E1477" s="28" t="s">
        <v>63</v>
      </c>
      <c r="F1477" s="20" t="n">
        <f>122</f>
        <v>122.0</v>
      </c>
      <c r="G1477" s="21" t="n">
        <f>159589</f>
        <v>159589.0</v>
      </c>
      <c r="H1477" s="21"/>
      <c r="I1477" s="21" t="n">
        <f>135963</f>
        <v>135963.0</v>
      </c>
      <c r="J1477" s="21" t="n">
        <f>1308</f>
        <v>1308.0</v>
      </c>
      <c r="K1477" s="21" t="n">
        <f>1114</f>
        <v>1114.0</v>
      </c>
      <c r="L1477" s="4" t="s">
        <v>994</v>
      </c>
      <c r="M1477" s="22" t="n">
        <f>17074</f>
        <v>17074.0</v>
      </c>
      <c r="N1477" s="5" t="s">
        <v>1495</v>
      </c>
      <c r="O1477" s="23" t="str">
        <f>"－"</f>
        <v>－</v>
      </c>
      <c r="P1477" s="3" t="s">
        <v>2644</v>
      </c>
      <c r="Q1477" s="21"/>
      <c r="R1477" s="3" t="s">
        <v>2645</v>
      </c>
      <c r="S1477" s="21" t="n">
        <f>10079079</f>
        <v>1.0079079E7</v>
      </c>
      <c r="T1477" s="21" t="n">
        <f>8410018</f>
        <v>8410018.0</v>
      </c>
      <c r="U1477" s="5" t="s">
        <v>117</v>
      </c>
      <c r="V1477" s="23" t="n">
        <f>78301700</f>
        <v>7.83017E7</v>
      </c>
      <c r="W1477" s="5" t="s">
        <v>1495</v>
      </c>
      <c r="X1477" s="23" t="str">
        <f>"－"</f>
        <v>－</v>
      </c>
      <c r="Y1477" s="23" t="n">
        <f>18084</f>
        <v>18084.0</v>
      </c>
      <c r="Z1477" s="21" t="n">
        <f>37788</f>
        <v>37788.0</v>
      </c>
      <c r="AA1477" s="21" t="n">
        <f>18393</f>
        <v>18393.0</v>
      </c>
      <c r="AB1477" s="4" t="s">
        <v>81</v>
      </c>
      <c r="AC1477" s="22" t="n">
        <f>54931</f>
        <v>54931.0</v>
      </c>
      <c r="AD1477" s="5" t="s">
        <v>49</v>
      </c>
      <c r="AE1477" s="23" t="n">
        <f>13153</f>
        <v>13153.0</v>
      </c>
    </row>
    <row r="1478">
      <c r="A1478" s="24" t="s">
        <v>2478</v>
      </c>
      <c r="B1478" s="25" t="s">
        <v>2479</v>
      </c>
      <c r="C1478" s="26" t="s">
        <v>1752</v>
      </c>
      <c r="D1478" s="27" t="s">
        <v>1753</v>
      </c>
      <c r="E1478" s="28" t="s">
        <v>63</v>
      </c>
      <c r="F1478" s="20" t="n">
        <f>122</f>
        <v>122.0</v>
      </c>
      <c r="G1478" s="21" t="n">
        <f>334762</f>
        <v>334762.0</v>
      </c>
      <c r="H1478" s="21"/>
      <c r="I1478" s="21" t="n">
        <f>286720</f>
        <v>286720.0</v>
      </c>
      <c r="J1478" s="21" t="n">
        <f>2744</f>
        <v>2744.0</v>
      </c>
      <c r="K1478" s="21" t="n">
        <f>2350</f>
        <v>2350.0</v>
      </c>
      <c r="L1478" s="4" t="s">
        <v>306</v>
      </c>
      <c r="M1478" s="22" t="n">
        <f>21533</f>
        <v>21533.0</v>
      </c>
      <c r="N1478" s="5" t="s">
        <v>1495</v>
      </c>
      <c r="O1478" s="23" t="str">
        <f>"－"</f>
        <v>－</v>
      </c>
      <c r="P1478" s="3" t="s">
        <v>2646</v>
      </c>
      <c r="Q1478" s="21"/>
      <c r="R1478" s="3" t="s">
        <v>2647</v>
      </c>
      <c r="S1478" s="21" t="n">
        <f>25994988</f>
        <v>2.5994988E7</v>
      </c>
      <c r="T1478" s="21" t="n">
        <f>22533027</f>
        <v>2.2533027E7</v>
      </c>
      <c r="U1478" s="5" t="s">
        <v>1009</v>
      </c>
      <c r="V1478" s="23" t="n">
        <f>306243860</f>
        <v>3.0624386E8</v>
      </c>
      <c r="W1478" s="5" t="s">
        <v>1495</v>
      </c>
      <c r="X1478" s="23" t="str">
        <f>"－"</f>
        <v>－</v>
      </c>
      <c r="Y1478" s="23" t="n">
        <f>50051</f>
        <v>50051.0</v>
      </c>
      <c r="Z1478" s="21" t="n">
        <f>72284</f>
        <v>72284.0</v>
      </c>
      <c r="AA1478" s="21" t="n">
        <f>47114</f>
        <v>47114.0</v>
      </c>
      <c r="AB1478" s="4" t="s">
        <v>81</v>
      </c>
      <c r="AC1478" s="22" t="n">
        <f>109243</f>
        <v>109243.0</v>
      </c>
      <c r="AD1478" s="5" t="s">
        <v>69</v>
      </c>
      <c r="AE1478" s="23" t="n">
        <f>37008</f>
        <v>37008.0</v>
      </c>
    </row>
    <row r="1479">
      <c r="A1479" s="24" t="s">
        <v>2478</v>
      </c>
      <c r="B1479" s="25" t="s">
        <v>2479</v>
      </c>
      <c r="C1479" s="26" t="s">
        <v>1744</v>
      </c>
      <c r="D1479" s="27" t="s">
        <v>1745</v>
      </c>
      <c r="E1479" s="28" t="s">
        <v>70</v>
      </c>
      <c r="F1479" s="20" t="n">
        <f>123</f>
        <v>123.0</v>
      </c>
      <c r="G1479" s="21" t="n">
        <f>222170</f>
        <v>222170.0</v>
      </c>
      <c r="H1479" s="21"/>
      <c r="I1479" s="21" t="n">
        <f>205980</f>
        <v>205980.0</v>
      </c>
      <c r="J1479" s="21" t="n">
        <f>1806</f>
        <v>1806.0</v>
      </c>
      <c r="K1479" s="21" t="n">
        <f>1675</f>
        <v>1675.0</v>
      </c>
      <c r="L1479" s="4" t="s">
        <v>1008</v>
      </c>
      <c r="M1479" s="22" t="n">
        <f>7714</f>
        <v>7714.0</v>
      </c>
      <c r="N1479" s="5" t="s">
        <v>1123</v>
      </c>
      <c r="O1479" s="23" t="str">
        <f>"－"</f>
        <v>－</v>
      </c>
      <c r="P1479" s="3" t="s">
        <v>2648</v>
      </c>
      <c r="Q1479" s="21"/>
      <c r="R1479" s="3" t="s">
        <v>2649</v>
      </c>
      <c r="S1479" s="21" t="n">
        <f>13643926</f>
        <v>1.3643926E7</v>
      </c>
      <c r="T1479" s="21" t="n">
        <f>12544795</f>
        <v>1.2544795E7</v>
      </c>
      <c r="U1479" s="5" t="s">
        <v>909</v>
      </c>
      <c r="V1479" s="23" t="n">
        <f>143022880</f>
        <v>1.4302288E8</v>
      </c>
      <c r="W1479" s="5" t="s">
        <v>1123</v>
      </c>
      <c r="X1479" s="23" t="str">
        <f>"－"</f>
        <v>－</v>
      </c>
      <c r="Y1479" s="23" t="n">
        <f>17411</f>
        <v>17411.0</v>
      </c>
      <c r="Z1479" s="21" t="n">
        <f>39005</f>
        <v>39005.0</v>
      </c>
      <c r="AA1479" s="21" t="n">
        <f>27504</f>
        <v>27504.0</v>
      </c>
      <c r="AB1479" s="4" t="s">
        <v>1614</v>
      </c>
      <c r="AC1479" s="22" t="n">
        <f>41671</f>
        <v>41671.0</v>
      </c>
      <c r="AD1479" s="5" t="s">
        <v>510</v>
      </c>
      <c r="AE1479" s="23" t="n">
        <f>17510</f>
        <v>17510.0</v>
      </c>
    </row>
    <row r="1480">
      <c r="A1480" s="24" t="s">
        <v>2478</v>
      </c>
      <c r="B1480" s="25" t="s">
        <v>2479</v>
      </c>
      <c r="C1480" s="26" t="s">
        <v>1748</v>
      </c>
      <c r="D1480" s="27" t="s">
        <v>1749</v>
      </c>
      <c r="E1480" s="28" t="s">
        <v>70</v>
      </c>
      <c r="F1480" s="20" t="n">
        <f>123</f>
        <v>123.0</v>
      </c>
      <c r="G1480" s="21" t="n">
        <f>323594</f>
        <v>323594.0</v>
      </c>
      <c r="H1480" s="21"/>
      <c r="I1480" s="21" t="n">
        <f>302636</f>
        <v>302636.0</v>
      </c>
      <c r="J1480" s="21" t="n">
        <f>2631</f>
        <v>2631.0</v>
      </c>
      <c r="K1480" s="21" t="n">
        <f>2460</f>
        <v>2460.0</v>
      </c>
      <c r="L1480" s="4" t="s">
        <v>1913</v>
      </c>
      <c r="M1480" s="22" t="n">
        <f>38154</f>
        <v>38154.0</v>
      </c>
      <c r="N1480" s="5" t="s">
        <v>672</v>
      </c>
      <c r="O1480" s="23" t="str">
        <f>"－"</f>
        <v>－</v>
      </c>
      <c r="P1480" s="3" t="s">
        <v>2650</v>
      </c>
      <c r="Q1480" s="21"/>
      <c r="R1480" s="3" t="s">
        <v>2651</v>
      </c>
      <c r="S1480" s="21" t="n">
        <f>11137630</f>
        <v>1.113763E7</v>
      </c>
      <c r="T1480" s="21" t="n">
        <f>9723390</f>
        <v>9723390.0</v>
      </c>
      <c r="U1480" s="5" t="s">
        <v>1008</v>
      </c>
      <c r="V1480" s="23" t="n">
        <f>110938000</f>
        <v>1.10938E8</v>
      </c>
      <c r="W1480" s="5" t="s">
        <v>672</v>
      </c>
      <c r="X1480" s="23" t="str">
        <f>"－"</f>
        <v>－</v>
      </c>
      <c r="Y1480" s="23" t="n">
        <f>10446</f>
        <v>10446.0</v>
      </c>
      <c r="Z1480" s="21" t="n">
        <f>146135</f>
        <v>146135.0</v>
      </c>
      <c r="AA1480" s="21" t="n">
        <f>20908</f>
        <v>20908.0</v>
      </c>
      <c r="AB1480" s="4" t="s">
        <v>868</v>
      </c>
      <c r="AC1480" s="22" t="n">
        <f>69808</f>
        <v>69808.0</v>
      </c>
      <c r="AD1480" s="5" t="s">
        <v>510</v>
      </c>
      <c r="AE1480" s="23" t="n">
        <f>5957</f>
        <v>5957.0</v>
      </c>
    </row>
    <row r="1481">
      <c r="A1481" s="24" t="s">
        <v>2478</v>
      </c>
      <c r="B1481" s="25" t="s">
        <v>2479</v>
      </c>
      <c r="C1481" s="26" t="s">
        <v>1752</v>
      </c>
      <c r="D1481" s="27" t="s">
        <v>1753</v>
      </c>
      <c r="E1481" s="28" t="s">
        <v>70</v>
      </c>
      <c r="F1481" s="20" t="n">
        <f>123</f>
        <v>123.0</v>
      </c>
      <c r="G1481" s="21" t="n">
        <f>545764</f>
        <v>545764.0</v>
      </c>
      <c r="H1481" s="21"/>
      <c r="I1481" s="21" t="n">
        <f>508616</f>
        <v>508616.0</v>
      </c>
      <c r="J1481" s="21" t="n">
        <f>4437</f>
        <v>4437.0</v>
      </c>
      <c r="K1481" s="21" t="n">
        <f>4135</f>
        <v>4135.0</v>
      </c>
      <c r="L1481" s="4" t="s">
        <v>1913</v>
      </c>
      <c r="M1481" s="22" t="n">
        <f>39688</f>
        <v>39688.0</v>
      </c>
      <c r="N1481" s="5" t="s">
        <v>1614</v>
      </c>
      <c r="O1481" s="23" t="n">
        <f>83</f>
        <v>83.0</v>
      </c>
      <c r="P1481" s="3" t="s">
        <v>2652</v>
      </c>
      <c r="Q1481" s="21"/>
      <c r="R1481" s="3" t="s">
        <v>2653</v>
      </c>
      <c r="S1481" s="21" t="n">
        <f>24781555</f>
        <v>2.4781555E7</v>
      </c>
      <c r="T1481" s="21" t="n">
        <f>22268184</f>
        <v>2.2268184E7</v>
      </c>
      <c r="U1481" s="5" t="s">
        <v>909</v>
      </c>
      <c r="V1481" s="23" t="n">
        <f>170089510</f>
        <v>1.7008951E8</v>
      </c>
      <c r="W1481" s="5" t="s">
        <v>754</v>
      </c>
      <c r="X1481" s="23" t="n">
        <f>122600</f>
        <v>122600.0</v>
      </c>
      <c r="Y1481" s="23" t="n">
        <f>27857</f>
        <v>27857.0</v>
      </c>
      <c r="Z1481" s="21" t="n">
        <f>185140</f>
        <v>185140.0</v>
      </c>
      <c r="AA1481" s="21" t="n">
        <f>48412</f>
        <v>48412.0</v>
      </c>
      <c r="AB1481" s="4" t="s">
        <v>868</v>
      </c>
      <c r="AC1481" s="22" t="n">
        <f>104071</f>
        <v>104071.0</v>
      </c>
      <c r="AD1481" s="5" t="s">
        <v>510</v>
      </c>
      <c r="AE1481" s="23" t="n">
        <f>23467</f>
        <v>23467.0</v>
      </c>
    </row>
    <row r="1482">
      <c r="A1482" s="24" t="s">
        <v>2478</v>
      </c>
      <c r="B1482" s="25" t="s">
        <v>2479</v>
      </c>
      <c r="C1482" s="26" t="s">
        <v>1744</v>
      </c>
      <c r="D1482" s="27" t="s">
        <v>1745</v>
      </c>
      <c r="E1482" s="28" t="s">
        <v>77</v>
      </c>
      <c r="F1482" s="20" t="n">
        <f>122</f>
        <v>122.0</v>
      </c>
      <c r="G1482" s="21" t="n">
        <f>167832</f>
        <v>167832.0</v>
      </c>
      <c r="H1482" s="21"/>
      <c r="I1482" s="21" t="n">
        <f>141074</f>
        <v>141074.0</v>
      </c>
      <c r="J1482" s="21" t="n">
        <f>1376</f>
        <v>1376.0</v>
      </c>
      <c r="K1482" s="21" t="n">
        <f>1156</f>
        <v>1156.0</v>
      </c>
      <c r="L1482" s="4" t="s">
        <v>603</v>
      </c>
      <c r="M1482" s="22" t="n">
        <f>7111</f>
        <v>7111.0</v>
      </c>
      <c r="N1482" s="5" t="s">
        <v>923</v>
      </c>
      <c r="O1482" s="23" t="n">
        <f>7</f>
        <v>7.0</v>
      </c>
      <c r="P1482" s="3" t="s">
        <v>2654</v>
      </c>
      <c r="Q1482" s="21"/>
      <c r="R1482" s="3" t="s">
        <v>2655</v>
      </c>
      <c r="S1482" s="21" t="n">
        <f>11716062</f>
        <v>1.1716062E7</v>
      </c>
      <c r="T1482" s="21" t="n">
        <f>10358992</f>
        <v>1.0358992E7</v>
      </c>
      <c r="U1482" s="5" t="s">
        <v>669</v>
      </c>
      <c r="V1482" s="23" t="n">
        <f>206251300</f>
        <v>2.062513E8</v>
      </c>
      <c r="W1482" s="5" t="s">
        <v>923</v>
      </c>
      <c r="X1482" s="23" t="n">
        <f>152900</f>
        <v>152900.0</v>
      </c>
      <c r="Y1482" s="23" t="n">
        <f>15193</f>
        <v>15193.0</v>
      </c>
      <c r="Z1482" s="21" t="n">
        <f>1935</f>
        <v>1935.0</v>
      </c>
      <c r="AA1482" s="21" t="n">
        <f>18065</f>
        <v>18065.0</v>
      </c>
      <c r="AB1482" s="4" t="s">
        <v>954</v>
      </c>
      <c r="AC1482" s="22" t="n">
        <f>31024</f>
        <v>31024.0</v>
      </c>
      <c r="AD1482" s="5" t="s">
        <v>974</v>
      </c>
      <c r="AE1482" s="23" t="n">
        <f>6886</f>
        <v>6886.0</v>
      </c>
    </row>
    <row r="1483">
      <c r="A1483" s="24" t="s">
        <v>2478</v>
      </c>
      <c r="B1483" s="25" t="s">
        <v>2479</v>
      </c>
      <c r="C1483" s="26" t="s">
        <v>1748</v>
      </c>
      <c r="D1483" s="27" t="s">
        <v>1749</v>
      </c>
      <c r="E1483" s="28" t="s">
        <v>77</v>
      </c>
      <c r="F1483" s="20" t="n">
        <f>122</f>
        <v>122.0</v>
      </c>
      <c r="G1483" s="21" t="n">
        <f>236306</f>
        <v>236306.0</v>
      </c>
      <c r="H1483" s="21"/>
      <c r="I1483" s="21" t="n">
        <f>199777</f>
        <v>199777.0</v>
      </c>
      <c r="J1483" s="21" t="n">
        <f>1937</f>
        <v>1937.0</v>
      </c>
      <c r="K1483" s="21" t="n">
        <f>1638</f>
        <v>1638.0</v>
      </c>
      <c r="L1483" s="4" t="s">
        <v>64</v>
      </c>
      <c r="M1483" s="22" t="n">
        <f>16084</f>
        <v>16084.0</v>
      </c>
      <c r="N1483" s="5" t="s">
        <v>923</v>
      </c>
      <c r="O1483" s="23" t="n">
        <f>60</f>
        <v>60.0</v>
      </c>
      <c r="P1483" s="3" t="s">
        <v>2656</v>
      </c>
      <c r="Q1483" s="21"/>
      <c r="R1483" s="3" t="s">
        <v>2657</v>
      </c>
      <c r="S1483" s="21" t="n">
        <f>16015097</f>
        <v>1.6015097E7</v>
      </c>
      <c r="T1483" s="21" t="n">
        <f>14246525</f>
        <v>1.4246525E7</v>
      </c>
      <c r="U1483" s="5" t="s">
        <v>64</v>
      </c>
      <c r="V1483" s="23" t="n">
        <f>243267670</f>
        <v>2.4326767E8</v>
      </c>
      <c r="W1483" s="5" t="s">
        <v>923</v>
      </c>
      <c r="X1483" s="23" t="n">
        <f>381600</f>
        <v>381600.0</v>
      </c>
      <c r="Y1483" s="23" t="n">
        <f>25959</f>
        <v>25959.0</v>
      </c>
      <c r="Z1483" s="21" t="n">
        <f>14023</f>
        <v>14023.0</v>
      </c>
      <c r="AA1483" s="21" t="n">
        <f>28107</f>
        <v>28107.0</v>
      </c>
      <c r="AB1483" s="4" t="s">
        <v>93</v>
      </c>
      <c r="AC1483" s="22" t="n">
        <f>30515</f>
        <v>30515.0</v>
      </c>
      <c r="AD1483" s="5" t="s">
        <v>1140</v>
      </c>
      <c r="AE1483" s="23" t="n">
        <f>12022</f>
        <v>12022.0</v>
      </c>
    </row>
    <row r="1484">
      <c r="A1484" s="24" t="s">
        <v>2478</v>
      </c>
      <c r="B1484" s="25" t="s">
        <v>2479</v>
      </c>
      <c r="C1484" s="26" t="s">
        <v>1752</v>
      </c>
      <c r="D1484" s="27" t="s">
        <v>1753</v>
      </c>
      <c r="E1484" s="28" t="s">
        <v>77</v>
      </c>
      <c r="F1484" s="20" t="n">
        <f>122</f>
        <v>122.0</v>
      </c>
      <c r="G1484" s="21" t="n">
        <f>404138</f>
        <v>404138.0</v>
      </c>
      <c r="H1484" s="21"/>
      <c r="I1484" s="21" t="n">
        <f>340851</f>
        <v>340851.0</v>
      </c>
      <c r="J1484" s="21" t="n">
        <f>3313</f>
        <v>3313.0</v>
      </c>
      <c r="K1484" s="21" t="n">
        <f>2794</f>
        <v>2794.0</v>
      </c>
      <c r="L1484" s="4" t="s">
        <v>64</v>
      </c>
      <c r="M1484" s="22" t="n">
        <f>20531</f>
        <v>20531.0</v>
      </c>
      <c r="N1484" s="5" t="s">
        <v>923</v>
      </c>
      <c r="O1484" s="23" t="n">
        <f>67</f>
        <v>67.0</v>
      </c>
      <c r="P1484" s="3" t="s">
        <v>2658</v>
      </c>
      <c r="Q1484" s="21"/>
      <c r="R1484" s="3" t="s">
        <v>2659</v>
      </c>
      <c r="S1484" s="21" t="n">
        <f>27731159</f>
        <v>2.7731159E7</v>
      </c>
      <c r="T1484" s="21" t="n">
        <f>24605517</f>
        <v>2.4605517E7</v>
      </c>
      <c r="U1484" s="5" t="s">
        <v>64</v>
      </c>
      <c r="V1484" s="23" t="n">
        <f>281883620</f>
        <v>2.8188362E8</v>
      </c>
      <c r="W1484" s="5" t="s">
        <v>923</v>
      </c>
      <c r="X1484" s="23" t="n">
        <f>534500</f>
        <v>534500.0</v>
      </c>
      <c r="Y1484" s="23" t="n">
        <f>41152</f>
        <v>41152.0</v>
      </c>
      <c r="Z1484" s="21" t="n">
        <f>15958</f>
        <v>15958.0</v>
      </c>
      <c r="AA1484" s="21" t="n">
        <f>46172</f>
        <v>46172.0</v>
      </c>
      <c r="AB1484" s="4" t="s">
        <v>1473</v>
      </c>
      <c r="AC1484" s="22" t="n">
        <f>55899</f>
        <v>55899.0</v>
      </c>
      <c r="AD1484" s="5" t="s">
        <v>64</v>
      </c>
      <c r="AE1484" s="23" t="n">
        <f>20571</f>
        <v>20571.0</v>
      </c>
    </row>
    <row r="1485">
      <c r="A1485" s="24" t="s">
        <v>2478</v>
      </c>
      <c r="B1485" s="25" t="s">
        <v>2479</v>
      </c>
      <c r="C1485" s="26" t="s">
        <v>1744</v>
      </c>
      <c r="D1485" s="27" t="s">
        <v>1745</v>
      </c>
      <c r="E1485" s="28" t="s">
        <v>83</v>
      </c>
      <c r="F1485" s="20" t="n">
        <f>124</f>
        <v>124.0</v>
      </c>
      <c r="G1485" s="21" t="n">
        <f>223964</f>
        <v>223964.0</v>
      </c>
      <c r="H1485" s="21"/>
      <c r="I1485" s="21" t="n">
        <f>209922</f>
        <v>209922.0</v>
      </c>
      <c r="J1485" s="21" t="n">
        <f>1806</f>
        <v>1806.0</v>
      </c>
      <c r="K1485" s="21" t="n">
        <f>1693</f>
        <v>1693.0</v>
      </c>
      <c r="L1485" s="4" t="s">
        <v>656</v>
      </c>
      <c r="M1485" s="22" t="n">
        <f>6419</f>
        <v>6419.0</v>
      </c>
      <c r="N1485" s="5" t="s">
        <v>179</v>
      </c>
      <c r="O1485" s="23" t="n">
        <f>150</f>
        <v>150.0</v>
      </c>
      <c r="P1485" s="3" t="s">
        <v>2660</v>
      </c>
      <c r="Q1485" s="21"/>
      <c r="R1485" s="3" t="s">
        <v>2661</v>
      </c>
      <c r="S1485" s="21" t="n">
        <f>22549190</f>
        <v>2.254919E7</v>
      </c>
      <c r="T1485" s="21" t="n">
        <f>22498114</f>
        <v>2.2498114E7</v>
      </c>
      <c r="U1485" s="5" t="s">
        <v>656</v>
      </c>
      <c r="V1485" s="23" t="n">
        <f>152623950</f>
        <v>1.5262395E8</v>
      </c>
      <c r="W1485" s="5" t="s">
        <v>924</v>
      </c>
      <c r="X1485" s="23" t="n">
        <f>552650</f>
        <v>552650.0</v>
      </c>
      <c r="Y1485" s="23" t="n">
        <f>18134</f>
        <v>18134.0</v>
      </c>
      <c r="Z1485" s="21" t="n">
        <f>4343</f>
        <v>4343.0</v>
      </c>
      <c r="AA1485" s="21" t="n">
        <f>18088</f>
        <v>18088.0</v>
      </c>
      <c r="AB1485" s="4" t="s">
        <v>265</v>
      </c>
      <c r="AC1485" s="22" t="n">
        <f>25072</f>
        <v>25072.0</v>
      </c>
      <c r="AD1485" s="5" t="s">
        <v>123</v>
      </c>
      <c r="AE1485" s="23" t="n">
        <f>8107</f>
        <v>8107.0</v>
      </c>
    </row>
    <row r="1486">
      <c r="A1486" s="24" t="s">
        <v>2478</v>
      </c>
      <c r="B1486" s="25" t="s">
        <v>2479</v>
      </c>
      <c r="C1486" s="26" t="s">
        <v>1748</v>
      </c>
      <c r="D1486" s="27" t="s">
        <v>1749</v>
      </c>
      <c r="E1486" s="28" t="s">
        <v>83</v>
      </c>
      <c r="F1486" s="20" t="n">
        <f>124</f>
        <v>124.0</v>
      </c>
      <c r="G1486" s="21" t="n">
        <f>298537</f>
        <v>298537.0</v>
      </c>
      <c r="H1486" s="21"/>
      <c r="I1486" s="21" t="n">
        <f>273640</f>
        <v>273640.0</v>
      </c>
      <c r="J1486" s="21" t="n">
        <f>2408</f>
        <v>2408.0</v>
      </c>
      <c r="K1486" s="21" t="n">
        <f>2207</f>
        <v>2207.0</v>
      </c>
      <c r="L1486" s="4" t="s">
        <v>272</v>
      </c>
      <c r="M1486" s="22" t="n">
        <f>28333</f>
        <v>28333.0</v>
      </c>
      <c r="N1486" s="5" t="s">
        <v>520</v>
      </c>
      <c r="O1486" s="23" t="n">
        <f>1</f>
        <v>1.0</v>
      </c>
      <c r="P1486" s="3" t="s">
        <v>2662</v>
      </c>
      <c r="Q1486" s="21"/>
      <c r="R1486" s="3" t="s">
        <v>2663</v>
      </c>
      <c r="S1486" s="21" t="n">
        <f>34583036</f>
        <v>3.4583036E7</v>
      </c>
      <c r="T1486" s="21" t="n">
        <f>34506162</f>
        <v>3.4506162E7</v>
      </c>
      <c r="U1486" s="5" t="s">
        <v>656</v>
      </c>
      <c r="V1486" s="23" t="n">
        <f>451191850</f>
        <v>4.5119185E8</v>
      </c>
      <c r="W1486" s="5" t="s">
        <v>520</v>
      </c>
      <c r="X1486" s="23" t="n">
        <f>2830</f>
        <v>2830.0</v>
      </c>
      <c r="Y1486" s="23" t="n">
        <f>20344</f>
        <v>20344.0</v>
      </c>
      <c r="Z1486" s="21" t="n">
        <f>10210</f>
        <v>10210.0</v>
      </c>
      <c r="AA1486" s="21" t="n">
        <f>70232</f>
        <v>70232.0</v>
      </c>
      <c r="AB1486" s="4" t="s">
        <v>2129</v>
      </c>
      <c r="AC1486" s="22" t="n">
        <f>86196</f>
        <v>86196.0</v>
      </c>
      <c r="AD1486" s="5" t="s">
        <v>123</v>
      </c>
      <c r="AE1486" s="23" t="n">
        <f>15893</f>
        <v>15893.0</v>
      </c>
    </row>
    <row r="1487">
      <c r="A1487" s="24" t="s">
        <v>2478</v>
      </c>
      <c r="B1487" s="25" t="s">
        <v>2479</v>
      </c>
      <c r="C1487" s="26" t="s">
        <v>1752</v>
      </c>
      <c r="D1487" s="27" t="s">
        <v>1753</v>
      </c>
      <c r="E1487" s="28" t="s">
        <v>83</v>
      </c>
      <c r="F1487" s="20" t="n">
        <f>124</f>
        <v>124.0</v>
      </c>
      <c r="G1487" s="21" t="n">
        <f>522501</f>
        <v>522501.0</v>
      </c>
      <c r="H1487" s="21"/>
      <c r="I1487" s="21" t="n">
        <f>483562</f>
        <v>483562.0</v>
      </c>
      <c r="J1487" s="21" t="n">
        <f>4214</f>
        <v>4214.0</v>
      </c>
      <c r="K1487" s="21" t="n">
        <f>3900</f>
        <v>3900.0</v>
      </c>
      <c r="L1487" s="4" t="s">
        <v>272</v>
      </c>
      <c r="M1487" s="22" t="n">
        <f>31456</f>
        <v>31456.0</v>
      </c>
      <c r="N1487" s="5" t="s">
        <v>666</v>
      </c>
      <c r="O1487" s="23" t="n">
        <f>305</f>
        <v>305.0</v>
      </c>
      <c r="P1487" s="3" t="s">
        <v>2664</v>
      </c>
      <c r="Q1487" s="21"/>
      <c r="R1487" s="3" t="s">
        <v>2665</v>
      </c>
      <c r="S1487" s="21" t="n">
        <f>57132226</f>
        <v>5.7132226E7</v>
      </c>
      <c r="T1487" s="21" t="n">
        <f>57004276</f>
        <v>5.7004276E7</v>
      </c>
      <c r="U1487" s="5" t="s">
        <v>656</v>
      </c>
      <c r="V1487" s="23" t="n">
        <f>603815800</f>
        <v>6.038158E8</v>
      </c>
      <c r="W1487" s="5" t="s">
        <v>666</v>
      </c>
      <c r="X1487" s="23" t="n">
        <f>839280</f>
        <v>839280.0</v>
      </c>
      <c r="Y1487" s="23" t="n">
        <f>38478</f>
        <v>38478.0</v>
      </c>
      <c r="Z1487" s="21" t="n">
        <f>14553</f>
        <v>14553.0</v>
      </c>
      <c r="AA1487" s="21" t="n">
        <f>88320</f>
        <v>88320.0</v>
      </c>
      <c r="AB1487" s="4" t="s">
        <v>2129</v>
      </c>
      <c r="AC1487" s="22" t="n">
        <f>109840</f>
        <v>109840.0</v>
      </c>
      <c r="AD1487" s="5" t="s">
        <v>123</v>
      </c>
      <c r="AE1487" s="23" t="n">
        <f>24000</f>
        <v>24000.0</v>
      </c>
    </row>
    <row r="1488">
      <c r="A1488" s="24" t="s">
        <v>2478</v>
      </c>
      <c r="B1488" s="25" t="s">
        <v>2479</v>
      </c>
      <c r="C1488" s="26" t="s">
        <v>1744</v>
      </c>
      <c r="D1488" s="27" t="s">
        <v>1745</v>
      </c>
      <c r="E1488" s="28" t="s">
        <v>89</v>
      </c>
      <c r="F1488" s="20" t="n">
        <f>121</f>
        <v>121.0</v>
      </c>
      <c r="G1488" s="21" t="n">
        <f>236339</f>
        <v>236339.0</v>
      </c>
      <c r="H1488" s="21"/>
      <c r="I1488" s="21" t="n">
        <f>197301</f>
        <v>197301.0</v>
      </c>
      <c r="J1488" s="21" t="n">
        <f>1953</f>
        <v>1953.0</v>
      </c>
      <c r="K1488" s="21" t="n">
        <f>1631</f>
        <v>1631.0</v>
      </c>
      <c r="L1488" s="4" t="s">
        <v>184</v>
      </c>
      <c r="M1488" s="22" t="n">
        <f>34240</f>
        <v>34240.0</v>
      </c>
      <c r="N1488" s="5" t="s">
        <v>1304</v>
      </c>
      <c r="O1488" s="23" t="str">
        <f>"－"</f>
        <v>－</v>
      </c>
      <c r="P1488" s="3" t="s">
        <v>2666</v>
      </c>
      <c r="Q1488" s="21"/>
      <c r="R1488" s="3" t="s">
        <v>2667</v>
      </c>
      <c r="S1488" s="21" t="n">
        <f>27679528</f>
        <v>2.7679528E7</v>
      </c>
      <c r="T1488" s="21" t="n">
        <f>27576555</f>
        <v>2.7576555E7</v>
      </c>
      <c r="U1488" s="5" t="s">
        <v>184</v>
      </c>
      <c r="V1488" s="23" t="n">
        <f>158807500</f>
        <v>1.588075E8</v>
      </c>
      <c r="W1488" s="5" t="s">
        <v>1304</v>
      </c>
      <c r="X1488" s="23" t="str">
        <f>"－"</f>
        <v>－</v>
      </c>
      <c r="Y1488" s="23" t="n">
        <f>6656</f>
        <v>6656.0</v>
      </c>
      <c r="Z1488" s="21" t="n">
        <f>43562</f>
        <v>43562.0</v>
      </c>
      <c r="AA1488" s="21" t="n">
        <f>40512</f>
        <v>40512.0</v>
      </c>
      <c r="AB1488" s="4" t="s">
        <v>184</v>
      </c>
      <c r="AC1488" s="22" t="n">
        <f>47649</f>
        <v>47649.0</v>
      </c>
      <c r="AD1488" s="5" t="s">
        <v>175</v>
      </c>
      <c r="AE1488" s="23" t="n">
        <f>4629</f>
        <v>4629.0</v>
      </c>
    </row>
    <row r="1489">
      <c r="A1489" s="24" t="s">
        <v>2478</v>
      </c>
      <c r="B1489" s="25" t="s">
        <v>2479</v>
      </c>
      <c r="C1489" s="26" t="s">
        <v>1748</v>
      </c>
      <c r="D1489" s="27" t="s">
        <v>1749</v>
      </c>
      <c r="E1489" s="28" t="s">
        <v>89</v>
      </c>
      <c r="F1489" s="20" t="n">
        <f>121</f>
        <v>121.0</v>
      </c>
      <c r="G1489" s="21" t="n">
        <f>239703</f>
        <v>239703.0</v>
      </c>
      <c r="H1489" s="21"/>
      <c r="I1489" s="21" t="n">
        <f>208880</f>
        <v>208880.0</v>
      </c>
      <c r="J1489" s="21" t="n">
        <f>1981</f>
        <v>1981.0</v>
      </c>
      <c r="K1489" s="21" t="n">
        <f>1726</f>
        <v>1726.0</v>
      </c>
      <c r="L1489" s="4" t="s">
        <v>184</v>
      </c>
      <c r="M1489" s="22" t="n">
        <f>35735</f>
        <v>35735.0</v>
      </c>
      <c r="N1489" s="5" t="s">
        <v>669</v>
      </c>
      <c r="O1489" s="23" t="str">
        <f>"－"</f>
        <v>－</v>
      </c>
      <c r="P1489" s="3" t="s">
        <v>2668</v>
      </c>
      <c r="Q1489" s="21"/>
      <c r="R1489" s="3" t="s">
        <v>2669</v>
      </c>
      <c r="S1489" s="21" t="n">
        <f>30704029</f>
        <v>3.0704029E7</v>
      </c>
      <c r="T1489" s="21" t="n">
        <f>30614648</f>
        <v>3.0614648E7</v>
      </c>
      <c r="U1489" s="5" t="s">
        <v>1473</v>
      </c>
      <c r="V1489" s="23" t="n">
        <f>424172600</f>
        <v>4.241726E8</v>
      </c>
      <c r="W1489" s="5" t="s">
        <v>669</v>
      </c>
      <c r="X1489" s="23" t="str">
        <f>"－"</f>
        <v>－</v>
      </c>
      <c r="Y1489" s="23" t="n">
        <f>81527</f>
        <v>81527.0</v>
      </c>
      <c r="Z1489" s="21" t="n">
        <f>51510</f>
        <v>51510.0</v>
      </c>
      <c r="AA1489" s="21" t="n">
        <f>80353</f>
        <v>80353.0</v>
      </c>
      <c r="AB1489" s="4" t="s">
        <v>155</v>
      </c>
      <c r="AC1489" s="22" t="n">
        <f>116028</f>
        <v>116028.0</v>
      </c>
      <c r="AD1489" s="5" t="s">
        <v>137</v>
      </c>
      <c r="AE1489" s="23" t="n">
        <f>48437</f>
        <v>48437.0</v>
      </c>
    </row>
    <row r="1490">
      <c r="A1490" s="24" t="s">
        <v>2478</v>
      </c>
      <c r="B1490" s="25" t="s">
        <v>2479</v>
      </c>
      <c r="C1490" s="26" t="s">
        <v>1752</v>
      </c>
      <c r="D1490" s="27" t="s">
        <v>1753</v>
      </c>
      <c r="E1490" s="28" t="s">
        <v>89</v>
      </c>
      <c r="F1490" s="20" t="n">
        <f>121</f>
        <v>121.0</v>
      </c>
      <c r="G1490" s="21" t="n">
        <f>476042</f>
        <v>476042.0</v>
      </c>
      <c r="H1490" s="21"/>
      <c r="I1490" s="21" t="n">
        <f>406181</f>
        <v>406181.0</v>
      </c>
      <c r="J1490" s="21" t="n">
        <f>3934</f>
        <v>3934.0</v>
      </c>
      <c r="K1490" s="21" t="n">
        <f>3357</f>
        <v>3357.0</v>
      </c>
      <c r="L1490" s="4" t="s">
        <v>184</v>
      </c>
      <c r="M1490" s="22" t="n">
        <f>69975</f>
        <v>69975.0</v>
      </c>
      <c r="N1490" s="5" t="s">
        <v>1097</v>
      </c>
      <c r="O1490" s="23" t="str">
        <f>"－"</f>
        <v>－</v>
      </c>
      <c r="P1490" s="3" t="s">
        <v>2670</v>
      </c>
      <c r="Q1490" s="21"/>
      <c r="R1490" s="3" t="s">
        <v>2671</v>
      </c>
      <c r="S1490" s="21" t="n">
        <f>58383557</f>
        <v>5.8383557E7</v>
      </c>
      <c r="T1490" s="21" t="n">
        <f>58191204</f>
        <v>5.8191204E7</v>
      </c>
      <c r="U1490" s="5" t="s">
        <v>1473</v>
      </c>
      <c r="V1490" s="23" t="n">
        <f>502449750</f>
        <v>5.0244975E8</v>
      </c>
      <c r="W1490" s="5" t="s">
        <v>1097</v>
      </c>
      <c r="X1490" s="23" t="str">
        <f>"－"</f>
        <v>－</v>
      </c>
      <c r="Y1490" s="23" t="n">
        <f>88183</f>
        <v>88183.0</v>
      </c>
      <c r="Z1490" s="21" t="n">
        <f>95072</f>
        <v>95072.0</v>
      </c>
      <c r="AA1490" s="21" t="n">
        <f>120865</f>
        <v>120865.0</v>
      </c>
      <c r="AB1490" s="4" t="s">
        <v>184</v>
      </c>
      <c r="AC1490" s="22" t="n">
        <f>161255</f>
        <v>161255.0</v>
      </c>
      <c r="AD1490" s="5" t="s">
        <v>137</v>
      </c>
      <c r="AE1490" s="23" t="n">
        <f>54176</f>
        <v>54176.0</v>
      </c>
    </row>
    <row r="1491">
      <c r="A1491" s="24" t="s">
        <v>2478</v>
      </c>
      <c r="B1491" s="25" t="s">
        <v>2479</v>
      </c>
      <c r="C1491" s="26" t="s">
        <v>1744</v>
      </c>
      <c r="D1491" s="27" t="s">
        <v>1745</v>
      </c>
      <c r="E1491" s="28" t="s">
        <v>95</v>
      </c>
      <c r="F1491" s="20" t="n">
        <f>124</f>
        <v>124.0</v>
      </c>
      <c r="G1491" s="21" t="n">
        <f>188592</f>
        <v>188592.0</v>
      </c>
      <c r="H1491" s="21"/>
      <c r="I1491" s="21" t="n">
        <f>119470</f>
        <v>119470.0</v>
      </c>
      <c r="J1491" s="21" t="n">
        <f>1521</f>
        <v>1521.0</v>
      </c>
      <c r="K1491" s="21" t="n">
        <f>963</f>
        <v>963.0</v>
      </c>
      <c r="L1491" s="4" t="s">
        <v>881</v>
      </c>
      <c r="M1491" s="22" t="n">
        <f>39204</f>
        <v>39204.0</v>
      </c>
      <c r="N1491" s="5" t="s">
        <v>461</v>
      </c>
      <c r="O1491" s="23" t="str">
        <f>"－"</f>
        <v>－</v>
      </c>
      <c r="P1491" s="3" t="s">
        <v>2672</v>
      </c>
      <c r="Q1491" s="21"/>
      <c r="R1491" s="3" t="s">
        <v>2673</v>
      </c>
      <c r="S1491" s="21" t="n">
        <f>14152170</f>
        <v>1.415217E7</v>
      </c>
      <c r="T1491" s="21" t="n">
        <f>14013895</f>
        <v>1.4013895E7</v>
      </c>
      <c r="U1491" s="5" t="s">
        <v>594</v>
      </c>
      <c r="V1491" s="23" t="n">
        <f>285933800</f>
        <v>2.859338E8</v>
      </c>
      <c r="W1491" s="5" t="s">
        <v>461</v>
      </c>
      <c r="X1491" s="23" t="str">
        <f>"－"</f>
        <v>－</v>
      </c>
      <c r="Y1491" s="23" t="n">
        <f>4035</f>
        <v>4035.0</v>
      </c>
      <c r="Z1491" s="21" t="n">
        <f>2136</f>
        <v>2136.0</v>
      </c>
      <c r="AA1491" s="21" t="n">
        <f>3407</f>
        <v>3407.0</v>
      </c>
      <c r="AB1491" s="4" t="s">
        <v>189</v>
      </c>
      <c r="AC1491" s="22" t="n">
        <f>75337</f>
        <v>75337.0</v>
      </c>
      <c r="AD1491" s="5" t="s">
        <v>100</v>
      </c>
      <c r="AE1491" s="23" t="n">
        <f>799</f>
        <v>799.0</v>
      </c>
    </row>
    <row r="1492">
      <c r="A1492" s="24" t="s">
        <v>2478</v>
      </c>
      <c r="B1492" s="25" t="s">
        <v>2479</v>
      </c>
      <c r="C1492" s="26" t="s">
        <v>1748</v>
      </c>
      <c r="D1492" s="27" t="s">
        <v>1749</v>
      </c>
      <c r="E1492" s="28" t="s">
        <v>95</v>
      </c>
      <c r="F1492" s="20" t="n">
        <f>124</f>
        <v>124.0</v>
      </c>
      <c r="G1492" s="21" t="n">
        <f>225809</f>
        <v>225809.0</v>
      </c>
      <c r="H1492" s="21"/>
      <c r="I1492" s="21" t="n">
        <f>121205</f>
        <v>121205.0</v>
      </c>
      <c r="J1492" s="21" t="n">
        <f>1821</f>
        <v>1821.0</v>
      </c>
      <c r="K1492" s="21" t="n">
        <f>977</f>
        <v>977.0</v>
      </c>
      <c r="L1492" s="4" t="s">
        <v>881</v>
      </c>
      <c r="M1492" s="22" t="n">
        <f>39006</f>
        <v>39006.0</v>
      </c>
      <c r="N1492" s="5" t="s">
        <v>263</v>
      </c>
      <c r="O1492" s="23" t="str">
        <f>"－"</f>
        <v>－</v>
      </c>
      <c r="P1492" s="3" t="s">
        <v>2674</v>
      </c>
      <c r="Q1492" s="21"/>
      <c r="R1492" s="3" t="s">
        <v>2675</v>
      </c>
      <c r="S1492" s="21" t="n">
        <f>12219236</f>
        <v>1.2219236E7</v>
      </c>
      <c r="T1492" s="21" t="n">
        <f>12012035</f>
        <v>1.2012035E7</v>
      </c>
      <c r="U1492" s="5" t="s">
        <v>97</v>
      </c>
      <c r="V1492" s="23" t="n">
        <f>442358600</f>
        <v>4.423586E8</v>
      </c>
      <c r="W1492" s="5" t="s">
        <v>263</v>
      </c>
      <c r="X1492" s="23" t="str">
        <f>"－"</f>
        <v>－</v>
      </c>
      <c r="Y1492" s="23" t="n">
        <f>18956</f>
        <v>18956.0</v>
      </c>
      <c r="Z1492" s="21" t="n">
        <f>4920</f>
        <v>4920.0</v>
      </c>
      <c r="AA1492" s="21" t="n">
        <f>46019</f>
        <v>46019.0</v>
      </c>
      <c r="AB1492" s="4" t="s">
        <v>72</v>
      </c>
      <c r="AC1492" s="22" t="n">
        <f>120069</f>
        <v>120069.0</v>
      </c>
      <c r="AD1492" s="5" t="s">
        <v>76</v>
      </c>
      <c r="AE1492" s="23" t="n">
        <f>34900</f>
        <v>34900.0</v>
      </c>
    </row>
    <row r="1493">
      <c r="A1493" s="24" t="s">
        <v>2478</v>
      </c>
      <c r="B1493" s="25" t="s">
        <v>2479</v>
      </c>
      <c r="C1493" s="26" t="s">
        <v>1752</v>
      </c>
      <c r="D1493" s="27" t="s">
        <v>1753</v>
      </c>
      <c r="E1493" s="28" t="s">
        <v>95</v>
      </c>
      <c r="F1493" s="20" t="n">
        <f>124</f>
        <v>124.0</v>
      </c>
      <c r="G1493" s="21" t="n">
        <f>414401</f>
        <v>414401.0</v>
      </c>
      <c r="H1493" s="21"/>
      <c r="I1493" s="21" t="n">
        <f>240675</f>
        <v>240675.0</v>
      </c>
      <c r="J1493" s="21" t="n">
        <f>3342</f>
        <v>3342.0</v>
      </c>
      <c r="K1493" s="21" t="n">
        <f>1941</f>
        <v>1941.0</v>
      </c>
      <c r="L1493" s="4" t="s">
        <v>881</v>
      </c>
      <c r="M1493" s="22" t="n">
        <f>78210</f>
        <v>78210.0</v>
      </c>
      <c r="N1493" s="5" t="s">
        <v>931</v>
      </c>
      <c r="O1493" s="23" t="str">
        <f>"－"</f>
        <v>－</v>
      </c>
      <c r="P1493" s="3" t="s">
        <v>2676</v>
      </c>
      <c r="Q1493" s="21"/>
      <c r="R1493" s="3" t="s">
        <v>2677</v>
      </c>
      <c r="S1493" s="21" t="n">
        <f>26371407</f>
        <v>2.6371407E7</v>
      </c>
      <c r="T1493" s="21" t="n">
        <f>26025930</f>
        <v>2.602593E7</v>
      </c>
      <c r="U1493" s="5" t="s">
        <v>97</v>
      </c>
      <c r="V1493" s="23" t="n">
        <f>454692600</f>
        <v>4.546926E8</v>
      </c>
      <c r="W1493" s="5" t="s">
        <v>931</v>
      </c>
      <c r="X1493" s="23" t="str">
        <f>"－"</f>
        <v>－</v>
      </c>
      <c r="Y1493" s="23" t="n">
        <f>22991</f>
        <v>22991.0</v>
      </c>
      <c r="Z1493" s="21" t="n">
        <f>7056</f>
        <v>7056.0</v>
      </c>
      <c r="AA1493" s="21" t="n">
        <f>49426</f>
        <v>49426.0</v>
      </c>
      <c r="AB1493" s="4" t="s">
        <v>189</v>
      </c>
      <c r="AC1493" s="22" t="n">
        <f>189137</f>
        <v>189137.0</v>
      </c>
      <c r="AD1493" s="5" t="s">
        <v>100</v>
      </c>
      <c r="AE1493" s="23" t="n">
        <f>36987</f>
        <v>36987.0</v>
      </c>
    </row>
    <row r="1494">
      <c r="A1494" s="24" t="s">
        <v>2478</v>
      </c>
      <c r="B1494" s="25" t="s">
        <v>2479</v>
      </c>
      <c r="C1494" s="26" t="s">
        <v>1744</v>
      </c>
      <c r="D1494" s="27" t="s">
        <v>1745</v>
      </c>
      <c r="E1494" s="28" t="s">
        <v>101</v>
      </c>
      <c r="F1494" s="20" t="n">
        <f>120</f>
        <v>120.0</v>
      </c>
      <c r="G1494" s="21" t="n">
        <f>185477</f>
        <v>185477.0</v>
      </c>
      <c r="H1494" s="21"/>
      <c r="I1494" s="21" t="n">
        <f>129471</f>
        <v>129471.0</v>
      </c>
      <c r="J1494" s="21" t="n">
        <f>1546</f>
        <v>1546.0</v>
      </c>
      <c r="K1494" s="21" t="n">
        <f>1079</f>
        <v>1079.0</v>
      </c>
      <c r="L1494" s="4" t="s">
        <v>787</v>
      </c>
      <c r="M1494" s="22" t="n">
        <f>52420</f>
        <v>52420.0</v>
      </c>
      <c r="N1494" s="5" t="s">
        <v>447</v>
      </c>
      <c r="O1494" s="23" t="str">
        <f>"－"</f>
        <v>－</v>
      </c>
      <c r="P1494" s="3" t="s">
        <v>2678</v>
      </c>
      <c r="Q1494" s="21"/>
      <c r="R1494" s="3" t="s">
        <v>2679</v>
      </c>
      <c r="S1494" s="21" t="n">
        <f>17785236</f>
        <v>1.7785236E7</v>
      </c>
      <c r="T1494" s="21" t="n">
        <f>17582714</f>
        <v>1.7582714E7</v>
      </c>
      <c r="U1494" s="5" t="s">
        <v>137</v>
      </c>
      <c r="V1494" s="23" t="n">
        <f>218346800</f>
        <v>2.183468E8</v>
      </c>
      <c r="W1494" s="5" t="s">
        <v>447</v>
      </c>
      <c r="X1494" s="23" t="str">
        <f>"－"</f>
        <v>－</v>
      </c>
      <c r="Y1494" s="23" t="n">
        <f>3161</f>
        <v>3161.0</v>
      </c>
      <c r="Z1494" s="21" t="n">
        <f>51500</f>
        <v>51500.0</v>
      </c>
      <c r="AA1494" s="21" t="n">
        <f>80161</f>
        <v>80161.0</v>
      </c>
      <c r="AB1494" s="4" t="s">
        <v>252</v>
      </c>
      <c r="AC1494" s="22" t="n">
        <f>82161</f>
        <v>82161.0</v>
      </c>
      <c r="AD1494" s="5" t="s">
        <v>279</v>
      </c>
      <c r="AE1494" s="23" t="n">
        <f>2347</f>
        <v>2347.0</v>
      </c>
    </row>
    <row r="1495">
      <c r="A1495" s="24" t="s">
        <v>2478</v>
      </c>
      <c r="B1495" s="25" t="s">
        <v>2479</v>
      </c>
      <c r="C1495" s="26" t="s">
        <v>1748</v>
      </c>
      <c r="D1495" s="27" t="s">
        <v>1749</v>
      </c>
      <c r="E1495" s="28" t="s">
        <v>101</v>
      </c>
      <c r="F1495" s="20" t="n">
        <f>120</f>
        <v>120.0</v>
      </c>
      <c r="G1495" s="21" t="n">
        <f>246202</f>
        <v>246202.0</v>
      </c>
      <c r="H1495" s="21"/>
      <c r="I1495" s="21" t="n">
        <f>101763</f>
        <v>101763.0</v>
      </c>
      <c r="J1495" s="21" t="n">
        <f>2052</f>
        <v>2052.0</v>
      </c>
      <c r="K1495" s="21" t="n">
        <f>848</f>
        <v>848.0</v>
      </c>
      <c r="L1495" s="4" t="s">
        <v>1053</v>
      </c>
      <c r="M1495" s="22" t="n">
        <f>9265</f>
        <v>9265.0</v>
      </c>
      <c r="N1495" s="5" t="s">
        <v>528</v>
      </c>
      <c r="O1495" s="23" t="str">
        <f>"－"</f>
        <v>－</v>
      </c>
      <c r="P1495" s="3" t="s">
        <v>2680</v>
      </c>
      <c r="Q1495" s="21"/>
      <c r="R1495" s="3" t="s">
        <v>2681</v>
      </c>
      <c r="S1495" s="21" t="n">
        <f>22538866</f>
        <v>2.2538866E7</v>
      </c>
      <c r="T1495" s="21" t="n">
        <f>22170766</f>
        <v>2.2170766E7</v>
      </c>
      <c r="U1495" s="5" t="s">
        <v>511</v>
      </c>
      <c r="V1495" s="23" t="n">
        <f>425528700</f>
        <v>4.255287E8</v>
      </c>
      <c r="W1495" s="5" t="s">
        <v>528</v>
      </c>
      <c r="X1495" s="23" t="str">
        <f>"－"</f>
        <v>－</v>
      </c>
      <c r="Y1495" s="23" t="n">
        <f>10251</f>
        <v>10251.0</v>
      </c>
      <c r="Z1495" s="21" t="n">
        <f>11950</f>
        <v>11950.0</v>
      </c>
      <c r="AA1495" s="21" t="n">
        <f>32571</f>
        <v>32571.0</v>
      </c>
      <c r="AB1495" s="4" t="s">
        <v>54</v>
      </c>
      <c r="AC1495" s="22" t="n">
        <f>55927</f>
        <v>55927.0</v>
      </c>
      <c r="AD1495" s="5" t="s">
        <v>93</v>
      </c>
      <c r="AE1495" s="23" t="n">
        <f>26496</f>
        <v>26496.0</v>
      </c>
    </row>
    <row r="1496">
      <c r="A1496" s="24" t="s">
        <v>2478</v>
      </c>
      <c r="B1496" s="25" t="s">
        <v>2479</v>
      </c>
      <c r="C1496" s="26" t="s">
        <v>1752</v>
      </c>
      <c r="D1496" s="27" t="s">
        <v>1753</v>
      </c>
      <c r="E1496" s="28" t="s">
        <v>101</v>
      </c>
      <c r="F1496" s="20" t="n">
        <f>120</f>
        <v>120.0</v>
      </c>
      <c r="G1496" s="21" t="n">
        <f>431679</f>
        <v>431679.0</v>
      </c>
      <c r="H1496" s="21"/>
      <c r="I1496" s="21" t="n">
        <f>231234</f>
        <v>231234.0</v>
      </c>
      <c r="J1496" s="21" t="n">
        <f>3597</f>
        <v>3597.0</v>
      </c>
      <c r="K1496" s="21" t="n">
        <f>1927</f>
        <v>1927.0</v>
      </c>
      <c r="L1496" s="4" t="s">
        <v>787</v>
      </c>
      <c r="M1496" s="22" t="n">
        <f>56480</f>
        <v>56480.0</v>
      </c>
      <c r="N1496" s="5" t="s">
        <v>516</v>
      </c>
      <c r="O1496" s="23" t="str">
        <f>"－"</f>
        <v>－</v>
      </c>
      <c r="P1496" s="3" t="s">
        <v>2682</v>
      </c>
      <c r="Q1496" s="21"/>
      <c r="R1496" s="3" t="s">
        <v>2683</v>
      </c>
      <c r="S1496" s="21" t="n">
        <f>40324102</f>
        <v>4.0324102E7</v>
      </c>
      <c r="T1496" s="21" t="n">
        <f>39753480</f>
        <v>3.975348E7</v>
      </c>
      <c r="U1496" s="5" t="s">
        <v>137</v>
      </c>
      <c r="V1496" s="23" t="n">
        <f>432011700</f>
        <v>4.320117E8</v>
      </c>
      <c r="W1496" s="5" t="s">
        <v>516</v>
      </c>
      <c r="X1496" s="23" t="str">
        <f>"－"</f>
        <v>－</v>
      </c>
      <c r="Y1496" s="23" t="n">
        <f>13412</f>
        <v>13412.0</v>
      </c>
      <c r="Z1496" s="21" t="n">
        <f>63450</f>
        <v>63450.0</v>
      </c>
      <c r="AA1496" s="21" t="n">
        <f>112732</f>
        <v>112732.0</v>
      </c>
      <c r="AB1496" s="4" t="s">
        <v>155</v>
      </c>
      <c r="AC1496" s="22" t="n">
        <f>124275</f>
        <v>124275.0</v>
      </c>
      <c r="AD1496" s="5" t="s">
        <v>194</v>
      </c>
      <c r="AE1496" s="23" t="n">
        <f>41058</f>
        <v>41058.0</v>
      </c>
    </row>
    <row r="1497">
      <c r="A1497" s="24" t="s">
        <v>2478</v>
      </c>
      <c r="B1497" s="25" t="s">
        <v>2479</v>
      </c>
      <c r="C1497" s="26" t="s">
        <v>1744</v>
      </c>
      <c r="D1497" s="27" t="s">
        <v>1745</v>
      </c>
      <c r="E1497" s="28" t="s">
        <v>106</v>
      </c>
      <c r="F1497" s="20" t="n">
        <f>121</f>
        <v>121.0</v>
      </c>
      <c r="G1497" s="21" t="n">
        <f>294152</f>
        <v>294152.0</v>
      </c>
      <c r="H1497" s="21"/>
      <c r="I1497" s="21" t="n">
        <f>100145</f>
        <v>100145.0</v>
      </c>
      <c r="J1497" s="21" t="n">
        <f>2431</f>
        <v>2431.0</v>
      </c>
      <c r="K1497" s="21" t="n">
        <f>828</f>
        <v>828.0</v>
      </c>
      <c r="L1497" s="4" t="s">
        <v>144</v>
      </c>
      <c r="M1497" s="22" t="n">
        <f>10600</f>
        <v>10600.0</v>
      </c>
      <c r="N1497" s="5" t="s">
        <v>848</v>
      </c>
      <c r="O1497" s="23" t="str">
        <f>"－"</f>
        <v>－</v>
      </c>
      <c r="P1497" s="3" t="s">
        <v>2684</v>
      </c>
      <c r="Q1497" s="21"/>
      <c r="R1497" s="3" t="s">
        <v>2685</v>
      </c>
      <c r="S1497" s="21" t="n">
        <f>18002948</f>
        <v>1.8002948E7</v>
      </c>
      <c r="T1497" s="21" t="n">
        <f>17645467</f>
        <v>1.7645467E7</v>
      </c>
      <c r="U1497" s="5" t="s">
        <v>1148</v>
      </c>
      <c r="V1497" s="23" t="n">
        <f>306500750</f>
        <v>3.0650075E8</v>
      </c>
      <c r="W1497" s="5" t="s">
        <v>848</v>
      </c>
      <c r="X1497" s="23" t="str">
        <f>"－"</f>
        <v>－</v>
      </c>
      <c r="Y1497" s="23" t="n">
        <f>5932</f>
        <v>5932.0</v>
      </c>
      <c r="Z1497" s="21" t="n">
        <f>35700</f>
        <v>35700.0</v>
      </c>
      <c r="AA1497" s="21" t="n">
        <f>77950</f>
        <v>77950.0</v>
      </c>
      <c r="AB1497" s="4" t="s">
        <v>84</v>
      </c>
      <c r="AC1497" s="22" t="n">
        <f>120454</f>
        <v>120454.0</v>
      </c>
      <c r="AD1497" s="5" t="s">
        <v>144</v>
      </c>
      <c r="AE1497" s="23" t="n">
        <f>62191</f>
        <v>62191.0</v>
      </c>
    </row>
    <row r="1498">
      <c r="A1498" s="24" t="s">
        <v>2478</v>
      </c>
      <c r="B1498" s="25" t="s">
        <v>2479</v>
      </c>
      <c r="C1498" s="26" t="s">
        <v>1748</v>
      </c>
      <c r="D1498" s="27" t="s">
        <v>1749</v>
      </c>
      <c r="E1498" s="28" t="s">
        <v>106</v>
      </c>
      <c r="F1498" s="20" t="n">
        <f>121</f>
        <v>121.0</v>
      </c>
      <c r="G1498" s="21" t="n">
        <f>443695</f>
        <v>443695.0</v>
      </c>
      <c r="H1498" s="21"/>
      <c r="I1498" s="21" t="n">
        <f>91207</f>
        <v>91207.0</v>
      </c>
      <c r="J1498" s="21" t="n">
        <f>3667</f>
        <v>3667.0</v>
      </c>
      <c r="K1498" s="21" t="n">
        <f>754</f>
        <v>754.0</v>
      </c>
      <c r="L1498" s="4" t="s">
        <v>2042</v>
      </c>
      <c r="M1498" s="22" t="n">
        <f>17400</f>
        <v>17400.0</v>
      </c>
      <c r="N1498" s="5" t="s">
        <v>1008</v>
      </c>
      <c r="O1498" s="23" t="str">
        <f>"－"</f>
        <v>－</v>
      </c>
      <c r="P1498" s="3" t="s">
        <v>2686</v>
      </c>
      <c r="Q1498" s="21"/>
      <c r="R1498" s="3" t="s">
        <v>2687</v>
      </c>
      <c r="S1498" s="21" t="n">
        <f>30048295</f>
        <v>3.0048295E7</v>
      </c>
      <c r="T1498" s="21" t="n">
        <f>29332000</f>
        <v>2.9332E7</v>
      </c>
      <c r="U1498" s="5" t="s">
        <v>1265</v>
      </c>
      <c r="V1498" s="23" t="n">
        <f>620632600</f>
        <v>6.206326E8</v>
      </c>
      <c r="W1498" s="5" t="s">
        <v>1008</v>
      </c>
      <c r="X1498" s="23" t="str">
        <f>"－"</f>
        <v>－</v>
      </c>
      <c r="Y1498" s="23" t="n">
        <f>8234</f>
        <v>8234.0</v>
      </c>
      <c r="Z1498" s="21" t="n">
        <f>54000</f>
        <v>54000.0</v>
      </c>
      <c r="AA1498" s="21" t="n">
        <f>61047</f>
        <v>61047.0</v>
      </c>
      <c r="AB1498" s="4" t="s">
        <v>631</v>
      </c>
      <c r="AC1498" s="22" t="n">
        <f>64547</f>
        <v>64547.0</v>
      </c>
      <c r="AD1498" s="5" t="s">
        <v>224</v>
      </c>
      <c r="AE1498" s="23" t="n">
        <f>33183</f>
        <v>33183.0</v>
      </c>
    </row>
    <row r="1499">
      <c r="A1499" s="24" t="s">
        <v>2478</v>
      </c>
      <c r="B1499" s="25" t="s">
        <v>2479</v>
      </c>
      <c r="C1499" s="26" t="s">
        <v>1752</v>
      </c>
      <c r="D1499" s="27" t="s">
        <v>1753</v>
      </c>
      <c r="E1499" s="28" t="s">
        <v>106</v>
      </c>
      <c r="F1499" s="20" t="n">
        <f>121</f>
        <v>121.0</v>
      </c>
      <c r="G1499" s="21" t="n">
        <f>737847</f>
        <v>737847.0</v>
      </c>
      <c r="H1499" s="21"/>
      <c r="I1499" s="21" t="n">
        <f>191352</f>
        <v>191352.0</v>
      </c>
      <c r="J1499" s="21" t="n">
        <f>6098</f>
        <v>6098.0</v>
      </c>
      <c r="K1499" s="21" t="n">
        <f>1581</f>
        <v>1581.0</v>
      </c>
      <c r="L1499" s="4" t="s">
        <v>2129</v>
      </c>
      <c r="M1499" s="22" t="n">
        <f>21910</f>
        <v>21910.0</v>
      </c>
      <c r="N1499" s="5" t="s">
        <v>76</v>
      </c>
      <c r="O1499" s="23" t="str">
        <f>"－"</f>
        <v>－</v>
      </c>
      <c r="P1499" s="3" t="s">
        <v>2688</v>
      </c>
      <c r="Q1499" s="21"/>
      <c r="R1499" s="3" t="s">
        <v>2689</v>
      </c>
      <c r="S1499" s="21" t="n">
        <f>48051244</f>
        <v>4.8051244E7</v>
      </c>
      <c r="T1499" s="21" t="n">
        <f>46977466</f>
        <v>4.6977466E7</v>
      </c>
      <c r="U1499" s="5" t="s">
        <v>1265</v>
      </c>
      <c r="V1499" s="23" t="n">
        <f>651283700</f>
        <v>6.512837E8</v>
      </c>
      <c r="W1499" s="5" t="s">
        <v>76</v>
      </c>
      <c r="X1499" s="23" t="str">
        <f>"－"</f>
        <v>－</v>
      </c>
      <c r="Y1499" s="23" t="n">
        <f>14166</f>
        <v>14166.0</v>
      </c>
      <c r="Z1499" s="21" t="n">
        <f>89700</f>
        <v>89700.0</v>
      </c>
      <c r="AA1499" s="21" t="n">
        <f>138997</f>
        <v>138997.0</v>
      </c>
      <c r="AB1499" s="4" t="s">
        <v>281</v>
      </c>
      <c r="AC1499" s="22" t="n">
        <f>180906</f>
        <v>180906.0</v>
      </c>
      <c r="AD1499" s="5" t="s">
        <v>263</v>
      </c>
      <c r="AE1499" s="23" t="n">
        <f>113722</f>
        <v>113722.0</v>
      </c>
    </row>
    <row r="1500">
      <c r="A1500" s="24" t="s">
        <v>2478</v>
      </c>
      <c r="B1500" s="25" t="s">
        <v>2479</v>
      </c>
      <c r="C1500" s="26" t="s">
        <v>1744</v>
      </c>
      <c r="D1500" s="27" t="s">
        <v>1745</v>
      </c>
      <c r="E1500" s="28" t="s">
        <v>112</v>
      </c>
      <c r="F1500" s="20" t="n">
        <f>120</f>
        <v>120.0</v>
      </c>
      <c r="G1500" s="21" t="n">
        <f>202289</f>
        <v>202289.0</v>
      </c>
      <c r="H1500" s="21"/>
      <c r="I1500" s="21" t="n">
        <f>49390</f>
        <v>49390.0</v>
      </c>
      <c r="J1500" s="21" t="n">
        <f>1686</f>
        <v>1686.0</v>
      </c>
      <c r="K1500" s="21" t="n">
        <f>412</f>
        <v>412.0</v>
      </c>
      <c r="L1500" s="4" t="s">
        <v>533</v>
      </c>
      <c r="M1500" s="22" t="n">
        <f>11027</f>
        <v>11027.0</v>
      </c>
      <c r="N1500" s="5" t="s">
        <v>268</v>
      </c>
      <c r="O1500" s="23" t="str">
        <f>"－"</f>
        <v>－</v>
      </c>
      <c r="P1500" s="3" t="s">
        <v>2690</v>
      </c>
      <c r="Q1500" s="21"/>
      <c r="R1500" s="3" t="s">
        <v>2691</v>
      </c>
      <c r="S1500" s="21" t="n">
        <f>13470872</f>
        <v>1.3470872E7</v>
      </c>
      <c r="T1500" s="21" t="n">
        <f>13107694</f>
        <v>1.3107694E7</v>
      </c>
      <c r="U1500" s="5" t="s">
        <v>533</v>
      </c>
      <c r="V1500" s="23" t="n">
        <f>180355990</f>
        <v>1.8035599E8</v>
      </c>
      <c r="W1500" s="5" t="s">
        <v>268</v>
      </c>
      <c r="X1500" s="23" t="str">
        <f>"－"</f>
        <v>－</v>
      </c>
      <c r="Y1500" s="23" t="n">
        <f>12157</f>
        <v>12157.0</v>
      </c>
      <c r="Z1500" s="21" t="n">
        <f>14500</f>
        <v>14500.0</v>
      </c>
      <c r="AA1500" s="21" t="n">
        <f>28191</f>
        <v>28191.0</v>
      </c>
      <c r="AB1500" s="4" t="s">
        <v>69</v>
      </c>
      <c r="AC1500" s="22" t="n">
        <f>78325</f>
        <v>78325.0</v>
      </c>
      <c r="AD1500" s="5" t="s">
        <v>1524</v>
      </c>
      <c r="AE1500" s="23" t="n">
        <f>25909</f>
        <v>25909.0</v>
      </c>
    </row>
    <row r="1501">
      <c r="A1501" s="24" t="s">
        <v>2478</v>
      </c>
      <c r="B1501" s="25" t="s">
        <v>2479</v>
      </c>
      <c r="C1501" s="26" t="s">
        <v>1748</v>
      </c>
      <c r="D1501" s="27" t="s">
        <v>1749</v>
      </c>
      <c r="E1501" s="28" t="s">
        <v>112</v>
      </c>
      <c r="F1501" s="20" t="n">
        <f>120</f>
        <v>120.0</v>
      </c>
      <c r="G1501" s="21" t="n">
        <f>399618</f>
        <v>399618.0</v>
      </c>
      <c r="H1501" s="21"/>
      <c r="I1501" s="21" t="n">
        <f>73634</f>
        <v>73634.0</v>
      </c>
      <c r="J1501" s="21" t="n">
        <f>3330</f>
        <v>3330.0</v>
      </c>
      <c r="K1501" s="21" t="n">
        <f>614</f>
        <v>614.0</v>
      </c>
      <c r="L1501" s="4" t="s">
        <v>1594</v>
      </c>
      <c r="M1501" s="22" t="n">
        <f>16000</f>
        <v>16000.0</v>
      </c>
      <c r="N1501" s="5" t="s">
        <v>268</v>
      </c>
      <c r="O1501" s="23" t="str">
        <f>"－"</f>
        <v>－</v>
      </c>
      <c r="P1501" s="3" t="s">
        <v>2692</v>
      </c>
      <c r="Q1501" s="21"/>
      <c r="R1501" s="3" t="s">
        <v>2693</v>
      </c>
      <c r="S1501" s="21" t="n">
        <f>25436899</f>
        <v>2.5436899E7</v>
      </c>
      <c r="T1501" s="21" t="n">
        <f>24579110</f>
        <v>2.457911E7</v>
      </c>
      <c r="U1501" s="5" t="s">
        <v>314</v>
      </c>
      <c r="V1501" s="23" t="n">
        <f>614394200</f>
        <v>6.143942E8</v>
      </c>
      <c r="W1501" s="5" t="s">
        <v>268</v>
      </c>
      <c r="X1501" s="23" t="str">
        <f>"－"</f>
        <v>－</v>
      </c>
      <c r="Y1501" s="23" t="n">
        <f>22623</f>
        <v>22623.0</v>
      </c>
      <c r="Z1501" s="21" t="n">
        <f>19200</f>
        <v>19200.0</v>
      </c>
      <c r="AA1501" s="21" t="n">
        <f>36781</f>
        <v>36781.0</v>
      </c>
      <c r="AB1501" s="4" t="s">
        <v>374</v>
      </c>
      <c r="AC1501" s="22" t="n">
        <f>66302</f>
        <v>66302.0</v>
      </c>
      <c r="AD1501" s="5" t="s">
        <v>540</v>
      </c>
      <c r="AE1501" s="23" t="n">
        <f>25866</f>
        <v>25866.0</v>
      </c>
    </row>
    <row r="1502">
      <c r="A1502" s="24" t="s">
        <v>2478</v>
      </c>
      <c r="B1502" s="25" t="s">
        <v>2479</v>
      </c>
      <c r="C1502" s="26" t="s">
        <v>1752</v>
      </c>
      <c r="D1502" s="27" t="s">
        <v>1753</v>
      </c>
      <c r="E1502" s="28" t="s">
        <v>112</v>
      </c>
      <c r="F1502" s="20" t="n">
        <f>120</f>
        <v>120.0</v>
      </c>
      <c r="G1502" s="21" t="n">
        <f>601907</f>
        <v>601907.0</v>
      </c>
      <c r="H1502" s="21"/>
      <c r="I1502" s="21" t="n">
        <f>123024</f>
        <v>123024.0</v>
      </c>
      <c r="J1502" s="21" t="n">
        <f>5016</f>
        <v>5016.0</v>
      </c>
      <c r="K1502" s="21" t="n">
        <f>1025</f>
        <v>1025.0</v>
      </c>
      <c r="L1502" s="4" t="s">
        <v>2238</v>
      </c>
      <c r="M1502" s="22" t="n">
        <f>21496</f>
        <v>21496.0</v>
      </c>
      <c r="N1502" s="5" t="s">
        <v>268</v>
      </c>
      <c r="O1502" s="23" t="str">
        <f>"－"</f>
        <v>－</v>
      </c>
      <c r="P1502" s="3" t="s">
        <v>2694</v>
      </c>
      <c r="Q1502" s="21"/>
      <c r="R1502" s="3" t="s">
        <v>2695</v>
      </c>
      <c r="S1502" s="21" t="n">
        <f>38907771</f>
        <v>3.8907771E7</v>
      </c>
      <c r="T1502" s="21" t="n">
        <f>37686804</f>
        <v>3.7686804E7</v>
      </c>
      <c r="U1502" s="5" t="s">
        <v>314</v>
      </c>
      <c r="V1502" s="23" t="n">
        <f>622073350</f>
        <v>6.2207335E8</v>
      </c>
      <c r="W1502" s="5" t="s">
        <v>268</v>
      </c>
      <c r="X1502" s="23" t="str">
        <f>"－"</f>
        <v>－</v>
      </c>
      <c r="Y1502" s="23" t="n">
        <f>34780</f>
        <v>34780.0</v>
      </c>
      <c r="Z1502" s="21" t="n">
        <f>33700</f>
        <v>33700.0</v>
      </c>
      <c r="AA1502" s="21" t="n">
        <f>64972</f>
        <v>64972.0</v>
      </c>
      <c r="AB1502" s="4" t="s">
        <v>69</v>
      </c>
      <c r="AC1502" s="22" t="n">
        <f>144207</f>
        <v>144207.0</v>
      </c>
      <c r="AD1502" s="5" t="s">
        <v>1524</v>
      </c>
      <c r="AE1502" s="23" t="n">
        <f>51961</f>
        <v>51961.0</v>
      </c>
    </row>
    <row r="1503">
      <c r="A1503" s="24" t="s">
        <v>2478</v>
      </c>
      <c r="B1503" s="25" t="s">
        <v>2479</v>
      </c>
      <c r="C1503" s="26" t="s">
        <v>1744</v>
      </c>
      <c r="D1503" s="27" t="s">
        <v>1745</v>
      </c>
      <c r="E1503" s="28" t="s">
        <v>118</v>
      </c>
      <c r="F1503" s="20" t="n">
        <f>122</f>
        <v>122.0</v>
      </c>
      <c r="G1503" s="21" t="n">
        <f>141425</f>
        <v>141425.0</v>
      </c>
      <c r="H1503" s="21"/>
      <c r="I1503" s="21" t="n">
        <f>17495</f>
        <v>17495.0</v>
      </c>
      <c r="J1503" s="21" t="n">
        <f>1159</f>
        <v>1159.0</v>
      </c>
      <c r="K1503" s="21" t="n">
        <f>143</f>
        <v>143.0</v>
      </c>
      <c r="L1503" s="4" t="s">
        <v>213</v>
      </c>
      <c r="M1503" s="22" t="n">
        <f>12594</f>
        <v>12594.0</v>
      </c>
      <c r="N1503" s="5" t="s">
        <v>931</v>
      </c>
      <c r="O1503" s="23" t="str">
        <f>"－"</f>
        <v>－</v>
      </c>
      <c r="P1503" s="3" t="s">
        <v>2696</v>
      </c>
      <c r="Q1503" s="21"/>
      <c r="R1503" s="3" t="s">
        <v>2697</v>
      </c>
      <c r="S1503" s="21" t="n">
        <f>9111932</f>
        <v>9111932.0</v>
      </c>
      <c r="T1503" s="21" t="n">
        <f>8790361</f>
        <v>8790361.0</v>
      </c>
      <c r="U1503" s="5" t="s">
        <v>213</v>
      </c>
      <c r="V1503" s="23" t="n">
        <f>36495940</f>
        <v>3.649594E7</v>
      </c>
      <c r="W1503" s="5" t="s">
        <v>931</v>
      </c>
      <c r="X1503" s="23" t="str">
        <f>"－"</f>
        <v>－</v>
      </c>
      <c r="Y1503" s="23" t="n">
        <f>11336</f>
        <v>11336.0</v>
      </c>
      <c r="Z1503" s="21" t="str">
        <f>"－"</f>
        <v>－</v>
      </c>
      <c r="AA1503" s="21" t="n">
        <f>33224</f>
        <v>33224.0</v>
      </c>
      <c r="AB1503" s="4" t="s">
        <v>248</v>
      </c>
      <c r="AC1503" s="22" t="n">
        <f>33224</f>
        <v>33224.0</v>
      </c>
      <c r="AD1503" s="5" t="s">
        <v>792</v>
      </c>
      <c r="AE1503" s="23" t="n">
        <f>19782</f>
        <v>19782.0</v>
      </c>
    </row>
    <row r="1504">
      <c r="A1504" s="24" t="s">
        <v>2478</v>
      </c>
      <c r="B1504" s="25" t="s">
        <v>2479</v>
      </c>
      <c r="C1504" s="26" t="s">
        <v>1748</v>
      </c>
      <c r="D1504" s="27" t="s">
        <v>1749</v>
      </c>
      <c r="E1504" s="28" t="s">
        <v>118</v>
      </c>
      <c r="F1504" s="20" t="n">
        <f>122</f>
        <v>122.0</v>
      </c>
      <c r="G1504" s="21" t="n">
        <f>496166</f>
        <v>496166.0</v>
      </c>
      <c r="H1504" s="21"/>
      <c r="I1504" s="21" t="n">
        <f>30355</f>
        <v>30355.0</v>
      </c>
      <c r="J1504" s="21" t="n">
        <f>4067</f>
        <v>4067.0</v>
      </c>
      <c r="K1504" s="21" t="n">
        <f>249</f>
        <v>249.0</v>
      </c>
      <c r="L1504" s="4" t="s">
        <v>75</v>
      </c>
      <c r="M1504" s="22" t="n">
        <f>21760</f>
        <v>21760.0</v>
      </c>
      <c r="N1504" s="5" t="s">
        <v>848</v>
      </c>
      <c r="O1504" s="23" t="str">
        <f>"－"</f>
        <v>－</v>
      </c>
      <c r="P1504" s="3" t="s">
        <v>2698</v>
      </c>
      <c r="Q1504" s="21"/>
      <c r="R1504" s="3" t="s">
        <v>2699</v>
      </c>
      <c r="S1504" s="21" t="n">
        <f>9878655</f>
        <v>9878655.0</v>
      </c>
      <c r="T1504" s="21" t="n">
        <f>8017973</f>
        <v>8017973.0</v>
      </c>
      <c r="U1504" s="5" t="s">
        <v>75</v>
      </c>
      <c r="V1504" s="23" t="n">
        <f>57976700</f>
        <v>5.79767E7</v>
      </c>
      <c r="W1504" s="5" t="s">
        <v>848</v>
      </c>
      <c r="X1504" s="23" t="str">
        <f>"－"</f>
        <v>－</v>
      </c>
      <c r="Y1504" s="23" t="n">
        <f>80156</f>
        <v>80156.0</v>
      </c>
      <c r="Z1504" s="21" t="str">
        <f>"－"</f>
        <v>－</v>
      </c>
      <c r="AA1504" s="21" t="n">
        <f>46628</f>
        <v>46628.0</v>
      </c>
      <c r="AB1504" s="4" t="s">
        <v>75</v>
      </c>
      <c r="AC1504" s="22" t="n">
        <f>61704</f>
        <v>61704.0</v>
      </c>
      <c r="AD1504" s="5" t="s">
        <v>263</v>
      </c>
      <c r="AE1504" s="23" t="n">
        <f>29080</f>
        <v>29080.0</v>
      </c>
    </row>
    <row r="1505">
      <c r="A1505" s="24" t="s">
        <v>2478</v>
      </c>
      <c r="B1505" s="25" t="s">
        <v>2479</v>
      </c>
      <c r="C1505" s="26" t="s">
        <v>1752</v>
      </c>
      <c r="D1505" s="27" t="s">
        <v>1753</v>
      </c>
      <c r="E1505" s="28" t="s">
        <v>118</v>
      </c>
      <c r="F1505" s="20" t="n">
        <f>122</f>
        <v>122.0</v>
      </c>
      <c r="G1505" s="21" t="n">
        <f>637591</f>
        <v>637591.0</v>
      </c>
      <c r="H1505" s="21"/>
      <c r="I1505" s="21" t="n">
        <f>47850</f>
        <v>47850.0</v>
      </c>
      <c r="J1505" s="21" t="n">
        <f>5226</f>
        <v>5226.0</v>
      </c>
      <c r="K1505" s="21" t="n">
        <f>392</f>
        <v>392.0</v>
      </c>
      <c r="L1505" s="4" t="s">
        <v>213</v>
      </c>
      <c r="M1505" s="22" t="n">
        <f>27579</f>
        <v>27579.0</v>
      </c>
      <c r="N1505" s="5" t="s">
        <v>85</v>
      </c>
      <c r="O1505" s="23" t="str">
        <f>"－"</f>
        <v>－</v>
      </c>
      <c r="P1505" s="3" t="s">
        <v>2700</v>
      </c>
      <c r="Q1505" s="21"/>
      <c r="R1505" s="3" t="s">
        <v>2701</v>
      </c>
      <c r="S1505" s="21" t="n">
        <f>18990587</f>
        <v>1.8990587E7</v>
      </c>
      <c r="T1505" s="21" t="n">
        <f>16808334</f>
        <v>1.6808334E7</v>
      </c>
      <c r="U1505" s="5" t="s">
        <v>213</v>
      </c>
      <c r="V1505" s="23" t="n">
        <f>66279340</f>
        <v>6.627934E7</v>
      </c>
      <c r="W1505" s="5" t="s">
        <v>85</v>
      </c>
      <c r="X1505" s="23" t="str">
        <f>"－"</f>
        <v>－</v>
      </c>
      <c r="Y1505" s="23" t="n">
        <f>91492</f>
        <v>91492.0</v>
      </c>
      <c r="Z1505" s="21" t="str">
        <f>"－"</f>
        <v>－</v>
      </c>
      <c r="AA1505" s="21" t="n">
        <f>79852</f>
        <v>79852.0</v>
      </c>
      <c r="AB1505" s="4" t="s">
        <v>75</v>
      </c>
      <c r="AC1505" s="22" t="n">
        <f>91807</f>
        <v>91807.0</v>
      </c>
      <c r="AD1505" s="5" t="s">
        <v>111</v>
      </c>
      <c r="AE1505" s="23" t="n">
        <f>51668</f>
        <v>51668.0</v>
      </c>
    </row>
    <row r="1506">
      <c r="A1506" s="24" t="s">
        <v>2478</v>
      </c>
      <c r="B1506" s="25" t="s">
        <v>2479</v>
      </c>
      <c r="C1506" s="26" t="s">
        <v>1744</v>
      </c>
      <c r="D1506" s="27" t="s">
        <v>1745</v>
      </c>
      <c r="E1506" s="28" t="s">
        <v>124</v>
      </c>
      <c r="F1506" s="20" t="n">
        <f>123</f>
        <v>123.0</v>
      </c>
      <c r="G1506" s="21" t="n">
        <f>279252</f>
        <v>279252.0</v>
      </c>
      <c r="H1506" s="21"/>
      <c r="I1506" s="21" t="n">
        <f>5499</f>
        <v>5499.0</v>
      </c>
      <c r="J1506" s="21" t="n">
        <f>2270</f>
        <v>2270.0</v>
      </c>
      <c r="K1506" s="21" t="n">
        <f>45</f>
        <v>45.0</v>
      </c>
      <c r="L1506" s="4" t="s">
        <v>1140</v>
      </c>
      <c r="M1506" s="22" t="n">
        <f>22000</f>
        <v>22000.0</v>
      </c>
      <c r="N1506" s="5" t="s">
        <v>669</v>
      </c>
      <c r="O1506" s="23" t="str">
        <f>"－"</f>
        <v>－</v>
      </c>
      <c r="P1506" s="3" t="s">
        <v>2702</v>
      </c>
      <c r="Q1506" s="21"/>
      <c r="R1506" s="3" t="s">
        <v>2703</v>
      </c>
      <c r="S1506" s="21" t="n">
        <f>3797884</f>
        <v>3797884.0</v>
      </c>
      <c r="T1506" s="21" t="n">
        <f>3069930</f>
        <v>3069930.0</v>
      </c>
      <c r="U1506" s="5" t="s">
        <v>945</v>
      </c>
      <c r="V1506" s="23" t="n">
        <f>36689418</f>
        <v>3.6689418E7</v>
      </c>
      <c r="W1506" s="5" t="s">
        <v>669</v>
      </c>
      <c r="X1506" s="23" t="str">
        <f>"－"</f>
        <v>－</v>
      </c>
      <c r="Y1506" s="23" t="n">
        <f>11041</f>
        <v>11041.0</v>
      </c>
      <c r="Z1506" s="21" t="str">
        <f>"－"</f>
        <v>－</v>
      </c>
      <c r="AA1506" s="21" t="n">
        <f>11800</f>
        <v>11800.0</v>
      </c>
      <c r="AB1506" s="4" t="s">
        <v>987</v>
      </c>
      <c r="AC1506" s="22" t="n">
        <f>55425</f>
        <v>55425.0</v>
      </c>
      <c r="AD1506" s="5" t="s">
        <v>187</v>
      </c>
      <c r="AE1506" s="23" t="n">
        <f>8703</f>
        <v>8703.0</v>
      </c>
    </row>
    <row r="1507">
      <c r="A1507" s="24" t="s">
        <v>2478</v>
      </c>
      <c r="B1507" s="25" t="s">
        <v>2479</v>
      </c>
      <c r="C1507" s="26" t="s">
        <v>1748</v>
      </c>
      <c r="D1507" s="27" t="s">
        <v>1749</v>
      </c>
      <c r="E1507" s="28" t="s">
        <v>124</v>
      </c>
      <c r="F1507" s="20" t="n">
        <f>123</f>
        <v>123.0</v>
      </c>
      <c r="G1507" s="21" t="n">
        <f>708248</f>
        <v>708248.0</v>
      </c>
      <c r="H1507" s="21"/>
      <c r="I1507" s="21" t="n">
        <f>1619</f>
        <v>1619.0</v>
      </c>
      <c r="J1507" s="21" t="n">
        <f>5758</f>
        <v>5758.0</v>
      </c>
      <c r="K1507" s="21" t="n">
        <f>13</f>
        <v>13.0</v>
      </c>
      <c r="L1507" s="4" t="s">
        <v>155</v>
      </c>
      <c r="M1507" s="22" t="n">
        <f>34000</f>
        <v>34000.0</v>
      </c>
      <c r="N1507" s="5" t="s">
        <v>519</v>
      </c>
      <c r="O1507" s="23" t="str">
        <f>"－"</f>
        <v>－</v>
      </c>
      <c r="P1507" s="3" t="s">
        <v>2704</v>
      </c>
      <c r="Q1507" s="21"/>
      <c r="R1507" s="3" t="s">
        <v>2705</v>
      </c>
      <c r="S1507" s="21" t="n">
        <f>3979928</f>
        <v>3979928.0</v>
      </c>
      <c r="T1507" s="21" t="n">
        <f>411196</f>
        <v>411196.0</v>
      </c>
      <c r="U1507" s="5" t="s">
        <v>49</v>
      </c>
      <c r="V1507" s="23" t="n">
        <f>50198000</f>
        <v>5.0198E7</v>
      </c>
      <c r="W1507" s="5" t="s">
        <v>519</v>
      </c>
      <c r="X1507" s="23" t="str">
        <f>"－"</f>
        <v>－</v>
      </c>
      <c r="Y1507" s="23" t="n">
        <f>96006</f>
        <v>96006.0</v>
      </c>
      <c r="Z1507" s="21" t="str">
        <f>"－"</f>
        <v>－</v>
      </c>
      <c r="AA1507" s="21" t="n">
        <f>27551</f>
        <v>27551.0</v>
      </c>
      <c r="AB1507" s="4" t="s">
        <v>292</v>
      </c>
      <c r="AC1507" s="22" t="n">
        <f>65648</f>
        <v>65648.0</v>
      </c>
      <c r="AD1507" s="5" t="s">
        <v>197</v>
      </c>
      <c r="AE1507" s="23" t="n">
        <f>17530</f>
        <v>17530.0</v>
      </c>
    </row>
    <row r="1508">
      <c r="A1508" s="24" t="s">
        <v>2478</v>
      </c>
      <c r="B1508" s="25" t="s">
        <v>2479</v>
      </c>
      <c r="C1508" s="26" t="s">
        <v>1752</v>
      </c>
      <c r="D1508" s="27" t="s">
        <v>1753</v>
      </c>
      <c r="E1508" s="28" t="s">
        <v>124</v>
      </c>
      <c r="F1508" s="20" t="n">
        <f>123</f>
        <v>123.0</v>
      </c>
      <c r="G1508" s="21" t="n">
        <f>987500</f>
        <v>987500.0</v>
      </c>
      <c r="H1508" s="21"/>
      <c r="I1508" s="21" t="n">
        <f>7118</f>
        <v>7118.0</v>
      </c>
      <c r="J1508" s="21" t="n">
        <f>8028</f>
        <v>8028.0</v>
      </c>
      <c r="K1508" s="21" t="n">
        <f>58</f>
        <v>58.0</v>
      </c>
      <c r="L1508" s="4" t="s">
        <v>1140</v>
      </c>
      <c r="M1508" s="22" t="n">
        <f>52000</f>
        <v>52000.0</v>
      </c>
      <c r="N1508" s="5" t="s">
        <v>94</v>
      </c>
      <c r="O1508" s="23" t="str">
        <f>"－"</f>
        <v>－</v>
      </c>
      <c r="P1508" s="3" t="s">
        <v>2706</v>
      </c>
      <c r="Q1508" s="21"/>
      <c r="R1508" s="3" t="s">
        <v>2707</v>
      </c>
      <c r="S1508" s="21" t="n">
        <f>7777812</f>
        <v>7777812.0</v>
      </c>
      <c r="T1508" s="21" t="n">
        <f>3481126</f>
        <v>3481126.0</v>
      </c>
      <c r="U1508" s="5" t="s">
        <v>49</v>
      </c>
      <c r="V1508" s="23" t="n">
        <f>52929850</f>
        <v>5.292985E7</v>
      </c>
      <c r="W1508" s="5" t="s">
        <v>94</v>
      </c>
      <c r="X1508" s="23" t="str">
        <f>"－"</f>
        <v>－</v>
      </c>
      <c r="Y1508" s="23" t="n">
        <f>107047</f>
        <v>107047.0</v>
      </c>
      <c r="Z1508" s="21" t="str">
        <f>"－"</f>
        <v>－</v>
      </c>
      <c r="AA1508" s="21" t="n">
        <f>39351</f>
        <v>39351.0</v>
      </c>
      <c r="AB1508" s="4" t="s">
        <v>292</v>
      </c>
      <c r="AC1508" s="22" t="n">
        <f>117631</f>
        <v>117631.0</v>
      </c>
      <c r="AD1508" s="5" t="s">
        <v>197</v>
      </c>
      <c r="AE1508" s="23" t="n">
        <f>27913</f>
        <v>27913.0</v>
      </c>
    </row>
    <row r="1509">
      <c r="A1509" s="24" t="s">
        <v>2478</v>
      </c>
      <c r="B1509" s="25" t="s">
        <v>2479</v>
      </c>
      <c r="C1509" s="26" t="s">
        <v>1744</v>
      </c>
      <c r="D1509" s="27" t="s">
        <v>1745</v>
      </c>
      <c r="E1509" s="28" t="s">
        <v>127</v>
      </c>
      <c r="F1509" s="20" t="n">
        <f>122</f>
        <v>122.0</v>
      </c>
      <c r="G1509" s="21" t="n">
        <f>204449</f>
        <v>204449.0</v>
      </c>
      <c r="H1509" s="21"/>
      <c r="I1509" s="21" t="n">
        <f>30797</f>
        <v>30797.0</v>
      </c>
      <c r="J1509" s="21" t="n">
        <f>1676</f>
        <v>1676.0</v>
      </c>
      <c r="K1509" s="21" t="n">
        <f>252</f>
        <v>252.0</v>
      </c>
      <c r="L1509" s="4" t="s">
        <v>174</v>
      </c>
      <c r="M1509" s="22" t="n">
        <f>14029</f>
        <v>14029.0</v>
      </c>
      <c r="N1509" s="5" t="s">
        <v>784</v>
      </c>
      <c r="O1509" s="23" t="str">
        <f>"－"</f>
        <v>－</v>
      </c>
      <c r="P1509" s="3" t="s">
        <v>2708</v>
      </c>
      <c r="Q1509" s="21"/>
      <c r="R1509" s="3" t="s">
        <v>2709</v>
      </c>
      <c r="S1509" s="21" t="n">
        <f>6116492</f>
        <v>6116492.0</v>
      </c>
      <c r="T1509" s="21" t="n">
        <f>5451325</f>
        <v>5451325.0</v>
      </c>
      <c r="U1509" s="5" t="s">
        <v>659</v>
      </c>
      <c r="V1509" s="23" t="n">
        <f>88333950</f>
        <v>8.833395E7</v>
      </c>
      <c r="W1509" s="5" t="s">
        <v>784</v>
      </c>
      <c r="X1509" s="23" t="str">
        <f>"－"</f>
        <v>－</v>
      </c>
      <c r="Y1509" s="23" t="n">
        <f>11027</f>
        <v>11027.0</v>
      </c>
      <c r="Z1509" s="21" t="n">
        <f>5772</f>
        <v>5772.0</v>
      </c>
      <c r="AA1509" s="21" t="n">
        <f>14038</f>
        <v>14038.0</v>
      </c>
      <c r="AB1509" s="4" t="s">
        <v>1306</v>
      </c>
      <c r="AC1509" s="22" t="n">
        <f>35810</f>
        <v>35810.0</v>
      </c>
      <c r="AD1509" s="5" t="s">
        <v>119</v>
      </c>
      <c r="AE1509" s="23" t="n">
        <f>5701</f>
        <v>5701.0</v>
      </c>
    </row>
    <row r="1510">
      <c r="A1510" s="24" t="s">
        <v>2478</v>
      </c>
      <c r="B1510" s="25" t="s">
        <v>2479</v>
      </c>
      <c r="C1510" s="26" t="s">
        <v>1748</v>
      </c>
      <c r="D1510" s="27" t="s">
        <v>1749</v>
      </c>
      <c r="E1510" s="28" t="s">
        <v>127</v>
      </c>
      <c r="F1510" s="20" t="n">
        <f>122</f>
        <v>122.0</v>
      </c>
      <c r="G1510" s="21" t="n">
        <f>650198</f>
        <v>650198.0</v>
      </c>
      <c r="H1510" s="21"/>
      <c r="I1510" s="21" t="n">
        <f>13459</f>
        <v>13459.0</v>
      </c>
      <c r="J1510" s="21" t="n">
        <f>5329</f>
        <v>5329.0</v>
      </c>
      <c r="K1510" s="21" t="n">
        <f>110</f>
        <v>110.0</v>
      </c>
      <c r="L1510" s="4" t="s">
        <v>216</v>
      </c>
      <c r="M1510" s="22" t="n">
        <f>35000</f>
        <v>35000.0</v>
      </c>
      <c r="N1510" s="5" t="s">
        <v>737</v>
      </c>
      <c r="O1510" s="23" t="str">
        <f>"－"</f>
        <v>－</v>
      </c>
      <c r="P1510" s="3" t="s">
        <v>2710</v>
      </c>
      <c r="Q1510" s="21"/>
      <c r="R1510" s="3" t="s">
        <v>2711</v>
      </c>
      <c r="S1510" s="21" t="n">
        <f>4236020</f>
        <v>4236020.0</v>
      </c>
      <c r="T1510" s="21" t="n">
        <f>1957293</f>
        <v>1957293.0</v>
      </c>
      <c r="U1510" s="5" t="s">
        <v>659</v>
      </c>
      <c r="V1510" s="23" t="n">
        <f>162515800</f>
        <v>1.625158E8</v>
      </c>
      <c r="W1510" s="5" t="s">
        <v>737</v>
      </c>
      <c r="X1510" s="23" t="str">
        <f>"－"</f>
        <v>－</v>
      </c>
      <c r="Y1510" s="23" t="n">
        <f>12974</f>
        <v>12974.0</v>
      </c>
      <c r="Z1510" s="21" t="n">
        <f>11541</f>
        <v>11541.0</v>
      </c>
      <c r="AA1510" s="21" t="n">
        <f>33520</f>
        <v>33520.0</v>
      </c>
      <c r="AB1510" s="4" t="s">
        <v>364</v>
      </c>
      <c r="AC1510" s="22" t="n">
        <f>54144</f>
        <v>54144.0</v>
      </c>
      <c r="AD1510" s="5" t="s">
        <v>1295</v>
      </c>
      <c r="AE1510" s="23" t="n">
        <f>14330</f>
        <v>14330.0</v>
      </c>
    </row>
    <row r="1511">
      <c r="A1511" s="24" t="s">
        <v>2478</v>
      </c>
      <c r="B1511" s="25" t="s">
        <v>2479</v>
      </c>
      <c r="C1511" s="26" t="s">
        <v>1752</v>
      </c>
      <c r="D1511" s="27" t="s">
        <v>1753</v>
      </c>
      <c r="E1511" s="28" t="s">
        <v>127</v>
      </c>
      <c r="F1511" s="20" t="n">
        <f>122</f>
        <v>122.0</v>
      </c>
      <c r="G1511" s="21" t="n">
        <f>854647</f>
        <v>854647.0</v>
      </c>
      <c r="H1511" s="21"/>
      <c r="I1511" s="21" t="n">
        <f>44256</f>
        <v>44256.0</v>
      </c>
      <c r="J1511" s="21" t="n">
        <f>7005</f>
        <v>7005.0</v>
      </c>
      <c r="K1511" s="21" t="n">
        <f>363</f>
        <v>363.0</v>
      </c>
      <c r="L1511" s="4" t="s">
        <v>216</v>
      </c>
      <c r="M1511" s="22" t="n">
        <f>47110</f>
        <v>47110.0</v>
      </c>
      <c r="N1511" s="5" t="s">
        <v>737</v>
      </c>
      <c r="O1511" s="23" t="str">
        <f>"－"</f>
        <v>－</v>
      </c>
      <c r="P1511" s="3" t="s">
        <v>2712</v>
      </c>
      <c r="Q1511" s="21"/>
      <c r="R1511" s="3" t="s">
        <v>2713</v>
      </c>
      <c r="S1511" s="21" t="n">
        <f>10352512</f>
        <v>1.0352512E7</v>
      </c>
      <c r="T1511" s="21" t="n">
        <f>7408618</f>
        <v>7408618.0</v>
      </c>
      <c r="U1511" s="5" t="s">
        <v>659</v>
      </c>
      <c r="V1511" s="23" t="n">
        <f>250849750</f>
        <v>2.5084975E8</v>
      </c>
      <c r="W1511" s="5" t="s">
        <v>737</v>
      </c>
      <c r="X1511" s="23" t="str">
        <f>"－"</f>
        <v>－</v>
      </c>
      <c r="Y1511" s="23" t="n">
        <f>24001</f>
        <v>24001.0</v>
      </c>
      <c r="Z1511" s="21" t="n">
        <f>17313</f>
        <v>17313.0</v>
      </c>
      <c r="AA1511" s="21" t="n">
        <f>47558</f>
        <v>47558.0</v>
      </c>
      <c r="AB1511" s="4" t="s">
        <v>364</v>
      </c>
      <c r="AC1511" s="22" t="n">
        <f>88065</f>
        <v>88065.0</v>
      </c>
      <c r="AD1511" s="5" t="s">
        <v>119</v>
      </c>
      <c r="AE1511" s="23" t="n">
        <f>24301</f>
        <v>24301.0</v>
      </c>
    </row>
    <row r="1512">
      <c r="A1512" s="24" t="s">
        <v>2478</v>
      </c>
      <c r="B1512" s="25" t="s">
        <v>2479</v>
      </c>
      <c r="C1512" s="26" t="s">
        <v>1744</v>
      </c>
      <c r="D1512" s="27" t="s">
        <v>1745</v>
      </c>
      <c r="E1512" s="28" t="s">
        <v>133</v>
      </c>
      <c r="F1512" s="20" t="n">
        <f>122</f>
        <v>122.0</v>
      </c>
      <c r="G1512" s="21" t="n">
        <f>337238</f>
        <v>337238.0</v>
      </c>
      <c r="H1512" s="21"/>
      <c r="I1512" s="21" t="n">
        <f>23104</f>
        <v>23104.0</v>
      </c>
      <c r="J1512" s="21" t="n">
        <f>2764</f>
        <v>2764.0</v>
      </c>
      <c r="K1512" s="21" t="n">
        <f>189</f>
        <v>189.0</v>
      </c>
      <c r="L1512" s="4" t="s">
        <v>767</v>
      </c>
      <c r="M1512" s="22" t="n">
        <f>20300</f>
        <v>20300.0</v>
      </c>
      <c r="N1512" s="5" t="s">
        <v>994</v>
      </c>
      <c r="O1512" s="23" t="str">
        <f>"－"</f>
        <v>－</v>
      </c>
      <c r="P1512" s="3" t="s">
        <v>2714</v>
      </c>
      <c r="Q1512" s="21"/>
      <c r="R1512" s="3" t="s">
        <v>2715</v>
      </c>
      <c r="S1512" s="21" t="n">
        <f>4215993</f>
        <v>4215993.0</v>
      </c>
      <c r="T1512" s="21" t="n">
        <f>3825336</f>
        <v>3825336.0</v>
      </c>
      <c r="U1512" s="5" t="s">
        <v>641</v>
      </c>
      <c r="V1512" s="23" t="n">
        <f>71228020</f>
        <v>7.122802E7</v>
      </c>
      <c r="W1512" s="5" t="s">
        <v>994</v>
      </c>
      <c r="X1512" s="23" t="str">
        <f>"－"</f>
        <v>－</v>
      </c>
      <c r="Y1512" s="23" t="n">
        <f>15827</f>
        <v>15827.0</v>
      </c>
      <c r="Z1512" s="21" t="str">
        <f>"－"</f>
        <v>－</v>
      </c>
      <c r="AA1512" s="21" t="n">
        <f>14917</f>
        <v>14917.0</v>
      </c>
      <c r="AB1512" s="4" t="s">
        <v>1116</v>
      </c>
      <c r="AC1512" s="22" t="n">
        <f>31911</f>
        <v>31911.0</v>
      </c>
      <c r="AD1512" s="5" t="s">
        <v>49</v>
      </c>
      <c r="AE1512" s="23" t="n">
        <f>1496</f>
        <v>1496.0</v>
      </c>
    </row>
    <row r="1513">
      <c r="A1513" s="24" t="s">
        <v>2478</v>
      </c>
      <c r="B1513" s="25" t="s">
        <v>2479</v>
      </c>
      <c r="C1513" s="26" t="s">
        <v>1748</v>
      </c>
      <c r="D1513" s="27" t="s">
        <v>1749</v>
      </c>
      <c r="E1513" s="28" t="s">
        <v>133</v>
      </c>
      <c r="F1513" s="20" t="n">
        <f>122</f>
        <v>122.0</v>
      </c>
      <c r="G1513" s="21" t="n">
        <f>683216</f>
        <v>683216.0</v>
      </c>
      <c r="H1513" s="21"/>
      <c r="I1513" s="21" t="n">
        <f>8719</f>
        <v>8719.0</v>
      </c>
      <c r="J1513" s="21" t="n">
        <f>5600</f>
        <v>5600.0</v>
      </c>
      <c r="K1513" s="21" t="n">
        <f>71</f>
        <v>71.0</v>
      </c>
      <c r="L1513" s="4" t="s">
        <v>339</v>
      </c>
      <c r="M1513" s="22" t="n">
        <f>42000</f>
        <v>42000.0</v>
      </c>
      <c r="N1513" s="5" t="s">
        <v>994</v>
      </c>
      <c r="O1513" s="23" t="str">
        <f>"－"</f>
        <v>－</v>
      </c>
      <c r="P1513" s="3" t="s">
        <v>2716</v>
      </c>
      <c r="Q1513" s="21"/>
      <c r="R1513" s="3" t="s">
        <v>2717</v>
      </c>
      <c r="S1513" s="21" t="n">
        <f>2461425</f>
        <v>2461425.0</v>
      </c>
      <c r="T1513" s="21" t="n">
        <f>825969</f>
        <v>825969.0</v>
      </c>
      <c r="U1513" s="5" t="s">
        <v>1002</v>
      </c>
      <c r="V1513" s="23" t="n">
        <f>41986210</f>
        <v>4.198621E7</v>
      </c>
      <c r="W1513" s="5" t="s">
        <v>994</v>
      </c>
      <c r="X1513" s="23" t="str">
        <f>"－"</f>
        <v>－</v>
      </c>
      <c r="Y1513" s="23" t="n">
        <f>25781</f>
        <v>25781.0</v>
      </c>
      <c r="Z1513" s="21" t="str">
        <f>"－"</f>
        <v>－</v>
      </c>
      <c r="AA1513" s="21" t="n">
        <f>21456</f>
        <v>21456.0</v>
      </c>
      <c r="AB1513" s="4" t="s">
        <v>1012</v>
      </c>
      <c r="AC1513" s="22" t="n">
        <f>52805</f>
        <v>52805.0</v>
      </c>
      <c r="AD1513" s="5" t="s">
        <v>55</v>
      </c>
      <c r="AE1513" s="23" t="n">
        <f>7136</f>
        <v>7136.0</v>
      </c>
    </row>
    <row r="1514">
      <c r="A1514" s="24" t="s">
        <v>2478</v>
      </c>
      <c r="B1514" s="25" t="s">
        <v>2479</v>
      </c>
      <c r="C1514" s="26" t="s">
        <v>1752</v>
      </c>
      <c r="D1514" s="27" t="s">
        <v>1753</v>
      </c>
      <c r="E1514" s="28" t="s">
        <v>133</v>
      </c>
      <c r="F1514" s="20" t="n">
        <f>122</f>
        <v>122.0</v>
      </c>
      <c r="G1514" s="21" t="n">
        <f>1020454</f>
        <v>1020454.0</v>
      </c>
      <c r="H1514" s="21"/>
      <c r="I1514" s="21" t="n">
        <f>31823</f>
        <v>31823.0</v>
      </c>
      <c r="J1514" s="21" t="n">
        <f>8364</f>
        <v>8364.0</v>
      </c>
      <c r="K1514" s="21" t="n">
        <f>261</f>
        <v>261.0</v>
      </c>
      <c r="L1514" s="4" t="s">
        <v>339</v>
      </c>
      <c r="M1514" s="22" t="n">
        <f>62171</f>
        <v>62171.0</v>
      </c>
      <c r="N1514" s="5" t="s">
        <v>994</v>
      </c>
      <c r="O1514" s="23" t="str">
        <f>"－"</f>
        <v>－</v>
      </c>
      <c r="P1514" s="3" t="s">
        <v>2718</v>
      </c>
      <c r="Q1514" s="21"/>
      <c r="R1514" s="3" t="s">
        <v>2719</v>
      </c>
      <c r="S1514" s="21" t="n">
        <f>6677418</f>
        <v>6677418.0</v>
      </c>
      <c r="T1514" s="21" t="n">
        <f>4651305</f>
        <v>4651305.0</v>
      </c>
      <c r="U1514" s="5" t="s">
        <v>641</v>
      </c>
      <c r="V1514" s="23" t="n">
        <f>79692020</f>
        <v>7.969202E7</v>
      </c>
      <c r="W1514" s="5" t="s">
        <v>994</v>
      </c>
      <c r="X1514" s="23" t="str">
        <f>"－"</f>
        <v>－</v>
      </c>
      <c r="Y1514" s="23" t="n">
        <f>41608</f>
        <v>41608.0</v>
      </c>
      <c r="Z1514" s="21" t="str">
        <f>"－"</f>
        <v>－</v>
      </c>
      <c r="AA1514" s="21" t="n">
        <f>36373</f>
        <v>36373.0</v>
      </c>
      <c r="AB1514" s="4" t="s">
        <v>1116</v>
      </c>
      <c r="AC1514" s="22" t="n">
        <f>84662</f>
        <v>84662.0</v>
      </c>
      <c r="AD1514" s="5" t="s">
        <v>55</v>
      </c>
      <c r="AE1514" s="23" t="n">
        <f>12681</f>
        <v>12681.0</v>
      </c>
    </row>
    <row r="1515">
      <c r="A1515" s="24" t="s">
        <v>2478</v>
      </c>
      <c r="B1515" s="25" t="s">
        <v>2479</v>
      </c>
      <c r="C1515" s="26" t="s">
        <v>1744</v>
      </c>
      <c r="D1515" s="27" t="s">
        <v>1745</v>
      </c>
      <c r="E1515" s="28" t="s">
        <v>139</v>
      </c>
      <c r="F1515" s="20" t="n">
        <f>123</f>
        <v>123.0</v>
      </c>
      <c r="G1515" s="21" t="n">
        <f>367307</f>
        <v>367307.0</v>
      </c>
      <c r="H1515" s="21"/>
      <c r="I1515" s="21" t="n">
        <f>31198</f>
        <v>31198.0</v>
      </c>
      <c r="J1515" s="21" t="n">
        <f>2986</f>
        <v>2986.0</v>
      </c>
      <c r="K1515" s="21" t="n">
        <f>254</f>
        <v>254.0</v>
      </c>
      <c r="L1515" s="4" t="s">
        <v>818</v>
      </c>
      <c r="M1515" s="22" t="n">
        <f>20016</f>
        <v>20016.0</v>
      </c>
      <c r="N1515" s="5" t="s">
        <v>881</v>
      </c>
      <c r="O1515" s="23" t="str">
        <f>"－"</f>
        <v>－</v>
      </c>
      <c r="P1515" s="3" t="s">
        <v>2720</v>
      </c>
      <c r="Q1515" s="21"/>
      <c r="R1515" s="3" t="s">
        <v>2721</v>
      </c>
      <c r="S1515" s="21" t="n">
        <f>3592025</f>
        <v>3592025.0</v>
      </c>
      <c r="T1515" s="21" t="n">
        <f>2573879</f>
        <v>2573879.0</v>
      </c>
      <c r="U1515" s="5" t="s">
        <v>1270</v>
      </c>
      <c r="V1515" s="23" t="n">
        <f>36006650</f>
        <v>3.600665E7</v>
      </c>
      <c r="W1515" s="5" t="s">
        <v>881</v>
      </c>
      <c r="X1515" s="23" t="str">
        <f>"－"</f>
        <v>－</v>
      </c>
      <c r="Y1515" s="23" t="n">
        <f>9117</f>
        <v>9117.0</v>
      </c>
      <c r="Z1515" s="21" t="str">
        <f>"－"</f>
        <v>－</v>
      </c>
      <c r="AA1515" s="21" t="n">
        <f>19737</f>
        <v>19737.0</v>
      </c>
      <c r="AB1515" s="4" t="s">
        <v>265</v>
      </c>
      <c r="AC1515" s="22" t="n">
        <f>26974</f>
        <v>26974.0</v>
      </c>
      <c r="AD1515" s="5" t="s">
        <v>1416</v>
      </c>
      <c r="AE1515" s="23" t="n">
        <f>7360</f>
        <v>7360.0</v>
      </c>
    </row>
    <row r="1516">
      <c r="A1516" s="24" t="s">
        <v>2478</v>
      </c>
      <c r="B1516" s="25" t="s">
        <v>2479</v>
      </c>
      <c r="C1516" s="26" t="s">
        <v>1748</v>
      </c>
      <c r="D1516" s="27" t="s">
        <v>1749</v>
      </c>
      <c r="E1516" s="28" t="s">
        <v>139</v>
      </c>
      <c r="F1516" s="20" t="n">
        <f>123</f>
        <v>123.0</v>
      </c>
      <c r="G1516" s="21" t="n">
        <f>757050</f>
        <v>757050.0</v>
      </c>
      <c r="H1516" s="21"/>
      <c r="I1516" s="21" t="n">
        <f>2361</f>
        <v>2361.0</v>
      </c>
      <c r="J1516" s="21" t="n">
        <f>6155</f>
        <v>6155.0</v>
      </c>
      <c r="K1516" s="21" t="n">
        <f>19</f>
        <v>19.0</v>
      </c>
      <c r="L1516" s="4" t="s">
        <v>1306</v>
      </c>
      <c r="M1516" s="22" t="n">
        <f>27000</f>
        <v>27000.0</v>
      </c>
      <c r="N1516" s="5" t="s">
        <v>111</v>
      </c>
      <c r="O1516" s="23" t="str">
        <f>"－"</f>
        <v>－</v>
      </c>
      <c r="P1516" s="3" t="s">
        <v>2722</v>
      </c>
      <c r="Q1516" s="21"/>
      <c r="R1516" s="3" t="s">
        <v>2723</v>
      </c>
      <c r="S1516" s="21" t="n">
        <f>3236375</f>
        <v>3236375.0</v>
      </c>
      <c r="T1516" s="21" t="n">
        <f>798258</f>
        <v>798258.0</v>
      </c>
      <c r="U1516" s="5" t="s">
        <v>829</v>
      </c>
      <c r="V1516" s="23" t="n">
        <f>51079160</f>
        <v>5.107916E7</v>
      </c>
      <c r="W1516" s="5" t="s">
        <v>111</v>
      </c>
      <c r="X1516" s="23" t="str">
        <f>"－"</f>
        <v>－</v>
      </c>
      <c r="Y1516" s="23" t="n">
        <f>29956</f>
        <v>29956.0</v>
      </c>
      <c r="Z1516" s="21" t="str">
        <f>"－"</f>
        <v>－</v>
      </c>
      <c r="AA1516" s="21" t="n">
        <f>18918</f>
        <v>18918.0</v>
      </c>
      <c r="AB1516" s="4" t="s">
        <v>823</v>
      </c>
      <c r="AC1516" s="22" t="n">
        <f>41851</f>
        <v>41851.0</v>
      </c>
      <c r="AD1516" s="5" t="s">
        <v>869</v>
      </c>
      <c r="AE1516" s="23" t="n">
        <f>5256</f>
        <v>5256.0</v>
      </c>
    </row>
    <row r="1517">
      <c r="A1517" s="24" t="s">
        <v>2478</v>
      </c>
      <c r="B1517" s="25" t="s">
        <v>2479</v>
      </c>
      <c r="C1517" s="26" t="s">
        <v>1752</v>
      </c>
      <c r="D1517" s="27" t="s">
        <v>1753</v>
      </c>
      <c r="E1517" s="28" t="s">
        <v>139</v>
      </c>
      <c r="F1517" s="20" t="n">
        <f>123</f>
        <v>123.0</v>
      </c>
      <c r="G1517" s="21" t="n">
        <f>1124357</f>
        <v>1124357.0</v>
      </c>
      <c r="H1517" s="21"/>
      <c r="I1517" s="21" t="n">
        <f>33559</f>
        <v>33559.0</v>
      </c>
      <c r="J1517" s="21" t="n">
        <f>9141</f>
        <v>9141.0</v>
      </c>
      <c r="K1517" s="21" t="n">
        <f>273</f>
        <v>273.0</v>
      </c>
      <c r="L1517" s="4" t="s">
        <v>818</v>
      </c>
      <c r="M1517" s="22" t="n">
        <f>46016</f>
        <v>46016.0</v>
      </c>
      <c r="N1517" s="5" t="s">
        <v>282</v>
      </c>
      <c r="O1517" s="23" t="str">
        <f>"－"</f>
        <v>－</v>
      </c>
      <c r="P1517" s="3" t="s">
        <v>2724</v>
      </c>
      <c r="Q1517" s="21"/>
      <c r="R1517" s="3" t="s">
        <v>2725</v>
      </c>
      <c r="S1517" s="21" t="n">
        <f>6828399</f>
        <v>6828399.0</v>
      </c>
      <c r="T1517" s="21" t="n">
        <f>3372137</f>
        <v>3372137.0</v>
      </c>
      <c r="U1517" s="5" t="s">
        <v>829</v>
      </c>
      <c r="V1517" s="23" t="n">
        <f>51620160</f>
        <v>5.162016E7</v>
      </c>
      <c r="W1517" s="5" t="s">
        <v>282</v>
      </c>
      <c r="X1517" s="23" t="str">
        <f>"－"</f>
        <v>－</v>
      </c>
      <c r="Y1517" s="23" t="n">
        <f>39073</f>
        <v>39073.0</v>
      </c>
      <c r="Z1517" s="21" t="str">
        <f>"－"</f>
        <v>－</v>
      </c>
      <c r="AA1517" s="21" t="n">
        <f>38655</f>
        <v>38655.0</v>
      </c>
      <c r="AB1517" s="4" t="s">
        <v>823</v>
      </c>
      <c r="AC1517" s="22" t="n">
        <f>65996</f>
        <v>65996.0</v>
      </c>
      <c r="AD1517" s="5" t="s">
        <v>1416</v>
      </c>
      <c r="AE1517" s="23" t="n">
        <f>14448</f>
        <v>14448.0</v>
      </c>
    </row>
    <row r="1518">
      <c r="A1518" s="24" t="s">
        <v>2478</v>
      </c>
      <c r="B1518" s="25" t="s">
        <v>2479</v>
      </c>
      <c r="C1518" s="26" t="s">
        <v>1744</v>
      </c>
      <c r="D1518" s="27" t="s">
        <v>1745</v>
      </c>
      <c r="E1518" s="28" t="s">
        <v>145</v>
      </c>
      <c r="F1518" s="20" t="n">
        <f>122</f>
        <v>122.0</v>
      </c>
      <c r="G1518" s="21" t="n">
        <f>234352</f>
        <v>234352.0</v>
      </c>
      <c r="H1518" s="21"/>
      <c r="I1518" s="21" t="n">
        <f>30044</f>
        <v>30044.0</v>
      </c>
      <c r="J1518" s="21" t="n">
        <f>1921</f>
        <v>1921.0</v>
      </c>
      <c r="K1518" s="21" t="n">
        <f>246</f>
        <v>246.0</v>
      </c>
      <c r="L1518" s="4" t="s">
        <v>698</v>
      </c>
      <c r="M1518" s="22" t="n">
        <f>10300</f>
        <v>10300.0</v>
      </c>
      <c r="N1518" s="5" t="s">
        <v>82</v>
      </c>
      <c r="O1518" s="23" t="str">
        <f>"－"</f>
        <v>－</v>
      </c>
      <c r="P1518" s="3" t="s">
        <v>2726</v>
      </c>
      <c r="Q1518" s="21"/>
      <c r="R1518" s="3" t="s">
        <v>2727</v>
      </c>
      <c r="S1518" s="21" t="n">
        <f>4062151</f>
        <v>4062151.0</v>
      </c>
      <c r="T1518" s="21" t="n">
        <f>3188576</f>
        <v>3188576.0</v>
      </c>
      <c r="U1518" s="5" t="s">
        <v>641</v>
      </c>
      <c r="V1518" s="23" t="n">
        <f>50580650</f>
        <v>5.058065E7</v>
      </c>
      <c r="W1518" s="5" t="s">
        <v>82</v>
      </c>
      <c r="X1518" s="23" t="str">
        <f>"－"</f>
        <v>－</v>
      </c>
      <c r="Y1518" s="23" t="n">
        <f>26606</f>
        <v>26606.0</v>
      </c>
      <c r="Z1518" s="21" t="str">
        <f>"－"</f>
        <v>－</v>
      </c>
      <c r="AA1518" s="21" t="n">
        <f>23203</f>
        <v>23203.0</v>
      </c>
      <c r="AB1518" s="4" t="s">
        <v>314</v>
      </c>
      <c r="AC1518" s="22" t="n">
        <f>30286</f>
        <v>30286.0</v>
      </c>
      <c r="AD1518" s="5" t="s">
        <v>208</v>
      </c>
      <c r="AE1518" s="23" t="n">
        <f>3831</f>
        <v>3831.0</v>
      </c>
    </row>
    <row r="1519">
      <c r="A1519" s="24" t="s">
        <v>2478</v>
      </c>
      <c r="B1519" s="25" t="s">
        <v>2479</v>
      </c>
      <c r="C1519" s="26" t="s">
        <v>1748</v>
      </c>
      <c r="D1519" s="27" t="s">
        <v>1749</v>
      </c>
      <c r="E1519" s="28" t="s">
        <v>145</v>
      </c>
      <c r="F1519" s="20" t="n">
        <f>122</f>
        <v>122.0</v>
      </c>
      <c r="G1519" s="21" t="n">
        <f>713727</f>
        <v>713727.0</v>
      </c>
      <c r="H1519" s="21"/>
      <c r="I1519" s="21" t="n">
        <f>7280</f>
        <v>7280.0</v>
      </c>
      <c r="J1519" s="21" t="n">
        <f>5850</f>
        <v>5850.0</v>
      </c>
      <c r="K1519" s="21" t="n">
        <f>60</f>
        <v>60.0</v>
      </c>
      <c r="L1519" s="4" t="s">
        <v>171</v>
      </c>
      <c r="M1519" s="22" t="n">
        <f>26000</f>
        <v>26000.0</v>
      </c>
      <c r="N1519" s="5" t="s">
        <v>339</v>
      </c>
      <c r="O1519" s="23" t="str">
        <f>"－"</f>
        <v>－</v>
      </c>
      <c r="P1519" s="3" t="s">
        <v>2728</v>
      </c>
      <c r="Q1519" s="21"/>
      <c r="R1519" s="3" t="s">
        <v>2729</v>
      </c>
      <c r="S1519" s="21" t="n">
        <f>4086316</f>
        <v>4086316.0</v>
      </c>
      <c r="T1519" s="21" t="n">
        <f>1635163</f>
        <v>1635163.0</v>
      </c>
      <c r="U1519" s="5" t="s">
        <v>149</v>
      </c>
      <c r="V1519" s="23" t="n">
        <f>134082260</f>
        <v>1.3408226E8</v>
      </c>
      <c r="W1519" s="5" t="s">
        <v>339</v>
      </c>
      <c r="X1519" s="23" t="str">
        <f>"－"</f>
        <v>－</v>
      </c>
      <c r="Y1519" s="23" t="n">
        <f>9597</f>
        <v>9597.0</v>
      </c>
      <c r="Z1519" s="21" t="str">
        <f>"－"</f>
        <v>－</v>
      </c>
      <c r="AA1519" s="21" t="n">
        <f>27215</f>
        <v>27215.0</v>
      </c>
      <c r="AB1519" s="4" t="s">
        <v>171</v>
      </c>
      <c r="AC1519" s="22" t="n">
        <f>34124</f>
        <v>34124.0</v>
      </c>
      <c r="AD1519" s="5" t="s">
        <v>974</v>
      </c>
      <c r="AE1519" s="23" t="n">
        <f>3921</f>
        <v>3921.0</v>
      </c>
    </row>
    <row r="1520">
      <c r="A1520" s="24" t="s">
        <v>2478</v>
      </c>
      <c r="B1520" s="25" t="s">
        <v>2479</v>
      </c>
      <c r="C1520" s="26" t="s">
        <v>1752</v>
      </c>
      <c r="D1520" s="27" t="s">
        <v>1753</v>
      </c>
      <c r="E1520" s="28" t="s">
        <v>145</v>
      </c>
      <c r="F1520" s="20" t="n">
        <f>122</f>
        <v>122.0</v>
      </c>
      <c r="G1520" s="21" t="n">
        <f>948079</f>
        <v>948079.0</v>
      </c>
      <c r="H1520" s="21"/>
      <c r="I1520" s="21" t="n">
        <f>37324</f>
        <v>37324.0</v>
      </c>
      <c r="J1520" s="21" t="n">
        <f>7771</f>
        <v>7771.0</v>
      </c>
      <c r="K1520" s="21" t="n">
        <f>306</f>
        <v>306.0</v>
      </c>
      <c r="L1520" s="4" t="s">
        <v>194</v>
      </c>
      <c r="M1520" s="22" t="n">
        <f>28185</f>
        <v>28185.0</v>
      </c>
      <c r="N1520" s="5" t="s">
        <v>221</v>
      </c>
      <c r="O1520" s="23" t="str">
        <f>"－"</f>
        <v>－</v>
      </c>
      <c r="P1520" s="3" t="s">
        <v>2730</v>
      </c>
      <c r="Q1520" s="21"/>
      <c r="R1520" s="3" t="s">
        <v>2731</v>
      </c>
      <c r="S1520" s="21" t="n">
        <f>8148467</f>
        <v>8148467.0</v>
      </c>
      <c r="T1520" s="21" t="n">
        <f>4823739</f>
        <v>4823739.0</v>
      </c>
      <c r="U1520" s="5" t="s">
        <v>149</v>
      </c>
      <c r="V1520" s="23" t="n">
        <f>134082260</f>
        <v>1.3408226E8</v>
      </c>
      <c r="W1520" s="5" t="s">
        <v>221</v>
      </c>
      <c r="X1520" s="23" t="str">
        <f>"－"</f>
        <v>－</v>
      </c>
      <c r="Y1520" s="23" t="n">
        <f>36203</f>
        <v>36203.0</v>
      </c>
      <c r="Z1520" s="21" t="str">
        <f>"－"</f>
        <v>－</v>
      </c>
      <c r="AA1520" s="21" t="n">
        <f>50418</f>
        <v>50418.0</v>
      </c>
      <c r="AB1520" s="4" t="s">
        <v>90</v>
      </c>
      <c r="AC1520" s="22" t="n">
        <f>54898</f>
        <v>54898.0</v>
      </c>
      <c r="AD1520" s="5" t="s">
        <v>54</v>
      </c>
      <c r="AE1520" s="23" t="n">
        <f>16562</f>
        <v>16562.0</v>
      </c>
    </row>
    <row r="1521">
      <c r="A1521" s="24" t="s">
        <v>2478</v>
      </c>
      <c r="B1521" s="25" t="s">
        <v>2479</v>
      </c>
      <c r="C1521" s="26" t="s">
        <v>1744</v>
      </c>
      <c r="D1521" s="27" t="s">
        <v>1745</v>
      </c>
      <c r="E1521" s="28" t="s">
        <v>150</v>
      </c>
      <c r="F1521" s="20" t="n">
        <f>124</f>
        <v>124.0</v>
      </c>
      <c r="G1521" s="21" t="n">
        <f>709630</f>
        <v>709630.0</v>
      </c>
      <c r="H1521" s="21"/>
      <c r="I1521" s="21" t="n">
        <f>283067</f>
        <v>283067.0</v>
      </c>
      <c r="J1521" s="21" t="n">
        <f>5723</f>
        <v>5723.0</v>
      </c>
      <c r="K1521" s="21" t="n">
        <f>2283</f>
        <v>2283.0</v>
      </c>
      <c r="L1521" s="4" t="s">
        <v>993</v>
      </c>
      <c r="M1521" s="22" t="n">
        <f>118545</f>
        <v>118545.0</v>
      </c>
      <c r="N1521" s="5" t="s">
        <v>1306</v>
      </c>
      <c r="O1521" s="23" t="str">
        <f>"－"</f>
        <v>－</v>
      </c>
      <c r="P1521" s="3" t="s">
        <v>2732</v>
      </c>
      <c r="Q1521" s="21"/>
      <c r="R1521" s="3" t="s">
        <v>2733</v>
      </c>
      <c r="S1521" s="21" t="n">
        <f>5396214</f>
        <v>5396214.0</v>
      </c>
      <c r="T1521" s="21" t="n">
        <f>3816941</f>
        <v>3816941.0</v>
      </c>
      <c r="U1521" s="5" t="s">
        <v>993</v>
      </c>
      <c r="V1521" s="23" t="n">
        <f>42692340</f>
        <v>4.269234E7</v>
      </c>
      <c r="W1521" s="5" t="s">
        <v>1306</v>
      </c>
      <c r="X1521" s="23" t="str">
        <f>"－"</f>
        <v>－</v>
      </c>
      <c r="Y1521" s="23" t="n">
        <f>1827</f>
        <v>1827.0</v>
      </c>
      <c r="Z1521" s="21" t="n">
        <f>21902</f>
        <v>21902.0</v>
      </c>
      <c r="AA1521" s="21" t="n">
        <f>150876</f>
        <v>150876.0</v>
      </c>
      <c r="AB1521" s="4" t="s">
        <v>450</v>
      </c>
      <c r="AC1521" s="22" t="n">
        <f>151726</f>
        <v>151726.0</v>
      </c>
      <c r="AD1521" s="5" t="s">
        <v>717</v>
      </c>
      <c r="AE1521" s="23" t="n">
        <f>4880</f>
        <v>4880.0</v>
      </c>
    </row>
    <row r="1522">
      <c r="A1522" s="24" t="s">
        <v>2478</v>
      </c>
      <c r="B1522" s="25" t="s">
        <v>2479</v>
      </c>
      <c r="C1522" s="26" t="s">
        <v>1748</v>
      </c>
      <c r="D1522" s="27" t="s">
        <v>1749</v>
      </c>
      <c r="E1522" s="28" t="s">
        <v>150</v>
      </c>
      <c r="F1522" s="20" t="n">
        <f>124</f>
        <v>124.0</v>
      </c>
      <c r="G1522" s="21" t="n">
        <f>1047538</f>
        <v>1047538.0</v>
      </c>
      <c r="H1522" s="21"/>
      <c r="I1522" s="21" t="n">
        <f>44247</f>
        <v>44247.0</v>
      </c>
      <c r="J1522" s="21" t="n">
        <f>8448</f>
        <v>8448.0</v>
      </c>
      <c r="K1522" s="21" t="n">
        <f>357</f>
        <v>357.0</v>
      </c>
      <c r="L1522" s="4" t="s">
        <v>2129</v>
      </c>
      <c r="M1522" s="22" t="n">
        <f>31160</f>
        <v>31160.0</v>
      </c>
      <c r="N1522" s="5" t="s">
        <v>737</v>
      </c>
      <c r="O1522" s="23" t="str">
        <f>"－"</f>
        <v>－</v>
      </c>
      <c r="P1522" s="3" t="s">
        <v>2734</v>
      </c>
      <c r="Q1522" s="21"/>
      <c r="R1522" s="3" t="s">
        <v>2735</v>
      </c>
      <c r="S1522" s="21" t="n">
        <f>8679596</f>
        <v>8679596.0</v>
      </c>
      <c r="T1522" s="21" t="n">
        <f>4308661</f>
        <v>4308661.0</v>
      </c>
      <c r="U1522" s="5" t="s">
        <v>909</v>
      </c>
      <c r="V1522" s="23" t="n">
        <f>100821638</f>
        <v>1.00821638E8</v>
      </c>
      <c r="W1522" s="5" t="s">
        <v>737</v>
      </c>
      <c r="X1522" s="23" t="str">
        <f>"－"</f>
        <v>－</v>
      </c>
      <c r="Y1522" s="23" t="n">
        <f>44072</f>
        <v>44072.0</v>
      </c>
      <c r="Z1522" s="21" t="str">
        <f>"－"</f>
        <v>－</v>
      </c>
      <c r="AA1522" s="21" t="n">
        <f>59157</f>
        <v>59157.0</v>
      </c>
      <c r="AB1522" s="4" t="s">
        <v>966</v>
      </c>
      <c r="AC1522" s="22" t="n">
        <f>86434</f>
        <v>86434.0</v>
      </c>
      <c r="AD1522" s="5" t="s">
        <v>461</v>
      </c>
      <c r="AE1522" s="23" t="n">
        <f>13521</f>
        <v>13521.0</v>
      </c>
    </row>
    <row r="1523">
      <c r="A1523" s="24" t="s">
        <v>2478</v>
      </c>
      <c r="B1523" s="25" t="s">
        <v>2479</v>
      </c>
      <c r="C1523" s="26" t="s">
        <v>1752</v>
      </c>
      <c r="D1523" s="27" t="s">
        <v>1753</v>
      </c>
      <c r="E1523" s="28" t="s">
        <v>150</v>
      </c>
      <c r="F1523" s="20" t="n">
        <f>124</f>
        <v>124.0</v>
      </c>
      <c r="G1523" s="21" t="n">
        <f>1757168</f>
        <v>1757168.0</v>
      </c>
      <c r="H1523" s="21"/>
      <c r="I1523" s="21" t="n">
        <f>327314</f>
        <v>327314.0</v>
      </c>
      <c r="J1523" s="21" t="n">
        <f>14171</f>
        <v>14171.0</v>
      </c>
      <c r="K1523" s="21" t="n">
        <f>2640</f>
        <v>2640.0</v>
      </c>
      <c r="L1523" s="4" t="s">
        <v>993</v>
      </c>
      <c r="M1523" s="22" t="n">
        <f>118546</f>
        <v>118546.0</v>
      </c>
      <c r="N1523" s="5" t="s">
        <v>675</v>
      </c>
      <c r="O1523" s="23" t="str">
        <f>"－"</f>
        <v>－</v>
      </c>
      <c r="P1523" s="3" t="s">
        <v>2736</v>
      </c>
      <c r="Q1523" s="21"/>
      <c r="R1523" s="3" t="s">
        <v>2737</v>
      </c>
      <c r="S1523" s="21" t="n">
        <f>14075809</f>
        <v>1.4075809E7</v>
      </c>
      <c r="T1523" s="21" t="n">
        <f>8125602</f>
        <v>8125602.0</v>
      </c>
      <c r="U1523" s="5" t="s">
        <v>909</v>
      </c>
      <c r="V1523" s="23" t="n">
        <f>102136263</f>
        <v>1.02136263E8</v>
      </c>
      <c r="W1523" s="5" t="s">
        <v>675</v>
      </c>
      <c r="X1523" s="23" t="str">
        <f>"－"</f>
        <v>－</v>
      </c>
      <c r="Y1523" s="23" t="n">
        <f>45899</f>
        <v>45899.0</v>
      </c>
      <c r="Z1523" s="21" t="n">
        <f>21902</f>
        <v>21902.0</v>
      </c>
      <c r="AA1523" s="21" t="n">
        <f>210033</f>
        <v>210033.0</v>
      </c>
      <c r="AB1523" s="4" t="s">
        <v>1132</v>
      </c>
      <c r="AC1523" s="22" t="n">
        <f>220571</f>
        <v>220571.0</v>
      </c>
      <c r="AD1523" s="5" t="s">
        <v>461</v>
      </c>
      <c r="AE1523" s="23" t="n">
        <f>28121</f>
        <v>28121.0</v>
      </c>
    </row>
    <row r="1524">
      <c r="A1524" s="24" t="s">
        <v>2478</v>
      </c>
      <c r="B1524" s="25" t="s">
        <v>2479</v>
      </c>
      <c r="C1524" s="26" t="s">
        <v>1744</v>
      </c>
      <c r="D1524" s="27" t="s">
        <v>1745</v>
      </c>
      <c r="E1524" s="28" t="s">
        <v>154</v>
      </c>
      <c r="F1524" s="20" t="n">
        <f>120</f>
        <v>120.0</v>
      </c>
      <c r="G1524" s="21" t="n">
        <f>361763</f>
        <v>361763.0</v>
      </c>
      <c r="H1524" s="21"/>
      <c r="I1524" s="21" t="n">
        <f>175367</f>
        <v>175367.0</v>
      </c>
      <c r="J1524" s="21" t="n">
        <f>3015</f>
        <v>3015.0</v>
      </c>
      <c r="K1524" s="21" t="n">
        <f>1461</f>
        <v>1461.0</v>
      </c>
      <c r="L1524" s="4" t="s">
        <v>507</v>
      </c>
      <c r="M1524" s="22" t="n">
        <f>83564</f>
        <v>83564.0</v>
      </c>
      <c r="N1524" s="5" t="s">
        <v>504</v>
      </c>
      <c r="O1524" s="23" t="str">
        <f>"－"</f>
        <v>－</v>
      </c>
      <c r="P1524" s="3" t="s">
        <v>2738</v>
      </c>
      <c r="Q1524" s="21"/>
      <c r="R1524" s="3" t="s">
        <v>2739</v>
      </c>
      <c r="S1524" s="21" t="n">
        <f>8452328</f>
        <v>8452328.0</v>
      </c>
      <c r="T1524" s="21" t="n">
        <f>7779541</f>
        <v>7779541.0</v>
      </c>
      <c r="U1524" s="5" t="s">
        <v>241</v>
      </c>
      <c r="V1524" s="23" t="n">
        <f>125353070</f>
        <v>1.2535307E8</v>
      </c>
      <c r="W1524" s="5" t="s">
        <v>504</v>
      </c>
      <c r="X1524" s="23" t="str">
        <f>"－"</f>
        <v>－</v>
      </c>
      <c r="Y1524" s="23" t="n">
        <f>112915</f>
        <v>112915.0</v>
      </c>
      <c r="Z1524" s="21" t="n">
        <f>3</f>
        <v>3.0</v>
      </c>
      <c r="AA1524" s="21" t="n">
        <f>35001</f>
        <v>35001.0</v>
      </c>
      <c r="AB1524" s="4" t="s">
        <v>308</v>
      </c>
      <c r="AC1524" s="22" t="n">
        <f>168158</f>
        <v>168158.0</v>
      </c>
      <c r="AD1524" s="5" t="s">
        <v>93</v>
      </c>
      <c r="AE1524" s="23" t="n">
        <f>10453</f>
        <v>10453.0</v>
      </c>
    </row>
    <row r="1525">
      <c r="A1525" s="24" t="s">
        <v>2478</v>
      </c>
      <c r="B1525" s="25" t="s">
        <v>2479</v>
      </c>
      <c r="C1525" s="26" t="s">
        <v>1748</v>
      </c>
      <c r="D1525" s="27" t="s">
        <v>1749</v>
      </c>
      <c r="E1525" s="28" t="s">
        <v>154</v>
      </c>
      <c r="F1525" s="20" t="n">
        <f>120</f>
        <v>120.0</v>
      </c>
      <c r="G1525" s="21" t="n">
        <f>552919</f>
        <v>552919.0</v>
      </c>
      <c r="H1525" s="21"/>
      <c r="I1525" s="21" t="n">
        <f>5229</f>
        <v>5229.0</v>
      </c>
      <c r="J1525" s="21" t="n">
        <f>4608</f>
        <v>4608.0</v>
      </c>
      <c r="K1525" s="21" t="n">
        <f>44</f>
        <v>44.0</v>
      </c>
      <c r="L1525" s="4" t="s">
        <v>82</v>
      </c>
      <c r="M1525" s="22" t="n">
        <f>30093</f>
        <v>30093.0</v>
      </c>
      <c r="N1525" s="5" t="s">
        <v>268</v>
      </c>
      <c r="O1525" s="23" t="str">
        <f>"－"</f>
        <v>－</v>
      </c>
      <c r="P1525" s="3" t="s">
        <v>2740</v>
      </c>
      <c r="Q1525" s="21"/>
      <c r="R1525" s="3" t="s">
        <v>2741</v>
      </c>
      <c r="S1525" s="21" t="n">
        <f>5891084</f>
        <v>5891084.0</v>
      </c>
      <c r="T1525" s="21" t="n">
        <f>2135083</f>
        <v>2135083.0</v>
      </c>
      <c r="U1525" s="5" t="s">
        <v>914</v>
      </c>
      <c r="V1525" s="23" t="n">
        <f>192758720</f>
        <v>1.9275872E8</v>
      </c>
      <c r="W1525" s="5" t="s">
        <v>268</v>
      </c>
      <c r="X1525" s="23" t="str">
        <f>"－"</f>
        <v>－</v>
      </c>
      <c r="Y1525" s="23" t="n">
        <f>70591</f>
        <v>70591.0</v>
      </c>
      <c r="Z1525" s="21" t="str">
        <f>"－"</f>
        <v>－</v>
      </c>
      <c r="AA1525" s="21" t="n">
        <f>36194</f>
        <v>36194.0</v>
      </c>
      <c r="AB1525" s="4" t="s">
        <v>194</v>
      </c>
      <c r="AC1525" s="22" t="n">
        <f>75674</f>
        <v>75674.0</v>
      </c>
      <c r="AD1525" s="5" t="s">
        <v>137</v>
      </c>
      <c r="AE1525" s="23" t="n">
        <f>12944</f>
        <v>12944.0</v>
      </c>
    </row>
    <row r="1526">
      <c r="A1526" s="24" t="s">
        <v>2478</v>
      </c>
      <c r="B1526" s="25" t="s">
        <v>2479</v>
      </c>
      <c r="C1526" s="26" t="s">
        <v>1752</v>
      </c>
      <c r="D1526" s="27" t="s">
        <v>1753</v>
      </c>
      <c r="E1526" s="28" t="s">
        <v>154</v>
      </c>
      <c r="F1526" s="20" t="n">
        <f>120</f>
        <v>120.0</v>
      </c>
      <c r="G1526" s="21" t="n">
        <f>914682</f>
        <v>914682.0</v>
      </c>
      <c r="H1526" s="21"/>
      <c r="I1526" s="21" t="n">
        <f>180596</f>
        <v>180596.0</v>
      </c>
      <c r="J1526" s="21" t="n">
        <f>7622</f>
        <v>7622.0</v>
      </c>
      <c r="K1526" s="21" t="n">
        <f>1505</f>
        <v>1505.0</v>
      </c>
      <c r="L1526" s="4" t="s">
        <v>507</v>
      </c>
      <c r="M1526" s="22" t="n">
        <f>89564</f>
        <v>89564.0</v>
      </c>
      <c r="N1526" s="5" t="s">
        <v>374</v>
      </c>
      <c r="O1526" s="23" t="str">
        <f>"－"</f>
        <v>－</v>
      </c>
      <c r="P1526" s="3" t="s">
        <v>2742</v>
      </c>
      <c r="Q1526" s="21"/>
      <c r="R1526" s="3" t="s">
        <v>2743</v>
      </c>
      <c r="S1526" s="21" t="n">
        <f>14343412</f>
        <v>1.4343412E7</v>
      </c>
      <c r="T1526" s="21" t="n">
        <f>9914623</f>
        <v>9914623.0</v>
      </c>
      <c r="U1526" s="5" t="s">
        <v>914</v>
      </c>
      <c r="V1526" s="23" t="n">
        <f>196036020</f>
        <v>1.9603602E8</v>
      </c>
      <c r="W1526" s="5" t="s">
        <v>374</v>
      </c>
      <c r="X1526" s="23" t="str">
        <f>"－"</f>
        <v>－</v>
      </c>
      <c r="Y1526" s="23" t="n">
        <f>183506</f>
        <v>183506.0</v>
      </c>
      <c r="Z1526" s="21" t="n">
        <f>3</f>
        <v>3.0</v>
      </c>
      <c r="AA1526" s="21" t="n">
        <f>71195</f>
        <v>71195.0</v>
      </c>
      <c r="AB1526" s="4" t="s">
        <v>339</v>
      </c>
      <c r="AC1526" s="22" t="n">
        <f>234518</f>
        <v>234518.0</v>
      </c>
      <c r="AD1526" s="5" t="s">
        <v>146</v>
      </c>
      <c r="AE1526" s="23" t="n">
        <f>29852</f>
        <v>29852.0</v>
      </c>
    </row>
    <row r="1527">
      <c r="A1527" s="24" t="s">
        <v>2744</v>
      </c>
      <c r="B1527" s="25" t="s">
        <v>2745</v>
      </c>
      <c r="C1527" s="26" t="s">
        <v>1744</v>
      </c>
      <c r="D1527" s="27" t="s">
        <v>1745</v>
      </c>
      <c r="E1527" s="28" t="s">
        <v>118</v>
      </c>
      <c r="F1527" s="20" t="n">
        <f>45</f>
        <v>45.0</v>
      </c>
      <c r="G1527" s="21" t="str">
        <f>"－"</f>
        <v>－</v>
      </c>
      <c r="H1527" s="21"/>
      <c r="I1527" s="21" t="str">
        <f>"－"</f>
        <v>－</v>
      </c>
      <c r="J1527" s="21" t="str">
        <f>"－"</f>
        <v>－</v>
      </c>
      <c r="K1527" s="21" t="str">
        <f>"－"</f>
        <v>－</v>
      </c>
      <c r="L1527" s="4" t="s">
        <v>853</v>
      </c>
      <c r="M1527" s="22" t="str">
        <f>"－"</f>
        <v>－</v>
      </c>
      <c r="N1527" s="5" t="s">
        <v>853</v>
      </c>
      <c r="O1527" s="23" t="str">
        <f>"－"</f>
        <v>－</v>
      </c>
      <c r="P1527" s="3" t="s">
        <v>247</v>
      </c>
      <c r="Q1527" s="21"/>
      <c r="R1527" s="3" t="s">
        <v>247</v>
      </c>
      <c r="S1527" s="21" t="str">
        <f>"－"</f>
        <v>－</v>
      </c>
      <c r="T1527" s="21" t="str">
        <f>"－"</f>
        <v>－</v>
      </c>
      <c r="U1527" s="5" t="s">
        <v>853</v>
      </c>
      <c r="V1527" s="23" t="str">
        <f>"－"</f>
        <v>－</v>
      </c>
      <c r="W1527" s="5" t="s">
        <v>853</v>
      </c>
      <c r="X1527" s="23" t="str">
        <f>"－"</f>
        <v>－</v>
      </c>
      <c r="Y1527" s="23" t="str">
        <f>"－"</f>
        <v>－</v>
      </c>
      <c r="Z1527" s="21" t="str">
        <f>"－"</f>
        <v>－</v>
      </c>
      <c r="AA1527" s="21" t="str">
        <f>"－"</f>
        <v>－</v>
      </c>
      <c r="AB1527" s="4" t="s">
        <v>853</v>
      </c>
      <c r="AC1527" s="22" t="str">
        <f>"－"</f>
        <v>－</v>
      </c>
      <c r="AD1527" s="5" t="s">
        <v>853</v>
      </c>
      <c r="AE1527" s="23" t="str">
        <f>"－"</f>
        <v>－</v>
      </c>
    </row>
    <row r="1528">
      <c r="A1528" s="24" t="s">
        <v>2744</v>
      </c>
      <c r="B1528" s="25" t="s">
        <v>2745</v>
      </c>
      <c r="C1528" s="26" t="s">
        <v>1748</v>
      </c>
      <c r="D1528" s="27" t="s">
        <v>1749</v>
      </c>
      <c r="E1528" s="28" t="s">
        <v>118</v>
      </c>
      <c r="F1528" s="20" t="n">
        <f>45</f>
        <v>45.0</v>
      </c>
      <c r="G1528" s="21" t="str">
        <f>"－"</f>
        <v>－</v>
      </c>
      <c r="H1528" s="21"/>
      <c r="I1528" s="21" t="str">
        <f>"－"</f>
        <v>－</v>
      </c>
      <c r="J1528" s="21" t="str">
        <f>"－"</f>
        <v>－</v>
      </c>
      <c r="K1528" s="21" t="str">
        <f>"－"</f>
        <v>－</v>
      </c>
      <c r="L1528" s="4" t="s">
        <v>853</v>
      </c>
      <c r="M1528" s="22" t="str">
        <f>"－"</f>
        <v>－</v>
      </c>
      <c r="N1528" s="5" t="s">
        <v>853</v>
      </c>
      <c r="O1528" s="23" t="str">
        <f>"－"</f>
        <v>－</v>
      </c>
      <c r="P1528" s="3" t="s">
        <v>247</v>
      </c>
      <c r="Q1528" s="21"/>
      <c r="R1528" s="3" t="s">
        <v>247</v>
      </c>
      <c r="S1528" s="21" t="str">
        <f>"－"</f>
        <v>－</v>
      </c>
      <c r="T1528" s="21" t="str">
        <f>"－"</f>
        <v>－</v>
      </c>
      <c r="U1528" s="5" t="s">
        <v>853</v>
      </c>
      <c r="V1528" s="23" t="str">
        <f>"－"</f>
        <v>－</v>
      </c>
      <c r="W1528" s="5" t="s">
        <v>853</v>
      </c>
      <c r="X1528" s="23" t="str">
        <f>"－"</f>
        <v>－</v>
      </c>
      <c r="Y1528" s="23" t="str">
        <f>"－"</f>
        <v>－</v>
      </c>
      <c r="Z1528" s="21" t="str">
        <f>"－"</f>
        <v>－</v>
      </c>
      <c r="AA1528" s="21" t="str">
        <f>"－"</f>
        <v>－</v>
      </c>
      <c r="AB1528" s="4" t="s">
        <v>853</v>
      </c>
      <c r="AC1528" s="22" t="str">
        <f>"－"</f>
        <v>－</v>
      </c>
      <c r="AD1528" s="5" t="s">
        <v>853</v>
      </c>
      <c r="AE1528" s="23" t="str">
        <f>"－"</f>
        <v>－</v>
      </c>
    </row>
    <row r="1529">
      <c r="A1529" s="24" t="s">
        <v>2744</v>
      </c>
      <c r="B1529" s="25" t="s">
        <v>2745</v>
      </c>
      <c r="C1529" s="26" t="s">
        <v>1752</v>
      </c>
      <c r="D1529" s="27" t="s">
        <v>1753</v>
      </c>
      <c r="E1529" s="28" t="s">
        <v>118</v>
      </c>
      <c r="F1529" s="20" t="n">
        <f>45</f>
        <v>45.0</v>
      </c>
      <c r="G1529" s="21" t="str">
        <f>"－"</f>
        <v>－</v>
      </c>
      <c r="H1529" s="21"/>
      <c r="I1529" s="21" t="str">
        <f>"－"</f>
        <v>－</v>
      </c>
      <c r="J1529" s="21" t="str">
        <f>"－"</f>
        <v>－</v>
      </c>
      <c r="K1529" s="21" t="str">
        <f>"－"</f>
        <v>－</v>
      </c>
      <c r="L1529" s="4" t="s">
        <v>853</v>
      </c>
      <c r="M1529" s="22" t="str">
        <f>"－"</f>
        <v>－</v>
      </c>
      <c r="N1529" s="5" t="s">
        <v>853</v>
      </c>
      <c r="O1529" s="23" t="str">
        <f>"－"</f>
        <v>－</v>
      </c>
      <c r="P1529" s="3" t="s">
        <v>247</v>
      </c>
      <c r="Q1529" s="21"/>
      <c r="R1529" s="3" t="s">
        <v>247</v>
      </c>
      <c r="S1529" s="21" t="str">
        <f>"－"</f>
        <v>－</v>
      </c>
      <c r="T1529" s="21" t="str">
        <f>"－"</f>
        <v>－</v>
      </c>
      <c r="U1529" s="5" t="s">
        <v>853</v>
      </c>
      <c r="V1529" s="23" t="str">
        <f>"－"</f>
        <v>－</v>
      </c>
      <c r="W1529" s="5" t="s">
        <v>853</v>
      </c>
      <c r="X1529" s="23" t="str">
        <f>"－"</f>
        <v>－</v>
      </c>
      <c r="Y1529" s="23" t="str">
        <f>"－"</f>
        <v>－</v>
      </c>
      <c r="Z1529" s="21" t="str">
        <f>"－"</f>
        <v>－</v>
      </c>
      <c r="AA1529" s="21" t="str">
        <f>"－"</f>
        <v>－</v>
      </c>
      <c r="AB1529" s="4" t="s">
        <v>853</v>
      </c>
      <c r="AC1529" s="22" t="str">
        <f>"－"</f>
        <v>－</v>
      </c>
      <c r="AD1529" s="5" t="s">
        <v>853</v>
      </c>
      <c r="AE1529" s="23" t="str">
        <f>"－"</f>
        <v>－</v>
      </c>
    </row>
    <row r="1530">
      <c r="A1530" s="24" t="s">
        <v>2744</v>
      </c>
      <c r="B1530" s="25" t="s">
        <v>2745</v>
      </c>
      <c r="C1530" s="26" t="s">
        <v>1744</v>
      </c>
      <c r="D1530" s="27" t="s">
        <v>1745</v>
      </c>
      <c r="E1530" s="28" t="s">
        <v>124</v>
      </c>
      <c r="F1530" s="20" t="n">
        <f>123</f>
        <v>123.0</v>
      </c>
      <c r="G1530" s="21" t="str">
        <f>"－"</f>
        <v>－</v>
      </c>
      <c r="H1530" s="21"/>
      <c r="I1530" s="21" t="str">
        <f>"－"</f>
        <v>－</v>
      </c>
      <c r="J1530" s="21" t="str">
        <f>"－"</f>
        <v>－</v>
      </c>
      <c r="K1530" s="21" t="str">
        <f>"－"</f>
        <v>－</v>
      </c>
      <c r="L1530" s="4" t="s">
        <v>279</v>
      </c>
      <c r="M1530" s="22" t="str">
        <f>"－"</f>
        <v>－</v>
      </c>
      <c r="N1530" s="5" t="s">
        <v>279</v>
      </c>
      <c r="O1530" s="23" t="str">
        <f>"－"</f>
        <v>－</v>
      </c>
      <c r="P1530" s="3" t="s">
        <v>247</v>
      </c>
      <c r="Q1530" s="21"/>
      <c r="R1530" s="3" t="s">
        <v>247</v>
      </c>
      <c r="S1530" s="21" t="str">
        <f>"－"</f>
        <v>－</v>
      </c>
      <c r="T1530" s="21" t="str">
        <f>"－"</f>
        <v>－</v>
      </c>
      <c r="U1530" s="5" t="s">
        <v>279</v>
      </c>
      <c r="V1530" s="23" t="str">
        <f>"－"</f>
        <v>－</v>
      </c>
      <c r="W1530" s="5" t="s">
        <v>279</v>
      </c>
      <c r="X1530" s="23" t="str">
        <f>"－"</f>
        <v>－</v>
      </c>
      <c r="Y1530" s="23" t="str">
        <f>"－"</f>
        <v>－</v>
      </c>
      <c r="Z1530" s="21" t="str">
        <f>"－"</f>
        <v>－</v>
      </c>
      <c r="AA1530" s="21" t="str">
        <f>"－"</f>
        <v>－</v>
      </c>
      <c r="AB1530" s="4" t="s">
        <v>279</v>
      </c>
      <c r="AC1530" s="22" t="str">
        <f>"－"</f>
        <v>－</v>
      </c>
      <c r="AD1530" s="5" t="s">
        <v>279</v>
      </c>
      <c r="AE1530" s="23" t="str">
        <f>"－"</f>
        <v>－</v>
      </c>
    </row>
    <row r="1531">
      <c r="A1531" s="24" t="s">
        <v>2744</v>
      </c>
      <c r="B1531" s="25" t="s">
        <v>2745</v>
      </c>
      <c r="C1531" s="26" t="s">
        <v>1748</v>
      </c>
      <c r="D1531" s="27" t="s">
        <v>1749</v>
      </c>
      <c r="E1531" s="28" t="s">
        <v>124</v>
      </c>
      <c r="F1531" s="20" t="n">
        <f>123</f>
        <v>123.0</v>
      </c>
      <c r="G1531" s="21" t="str">
        <f>"－"</f>
        <v>－</v>
      </c>
      <c r="H1531" s="21"/>
      <c r="I1531" s="21" t="str">
        <f>"－"</f>
        <v>－</v>
      </c>
      <c r="J1531" s="21" t="str">
        <f>"－"</f>
        <v>－</v>
      </c>
      <c r="K1531" s="21" t="str">
        <f>"－"</f>
        <v>－</v>
      </c>
      <c r="L1531" s="4" t="s">
        <v>279</v>
      </c>
      <c r="M1531" s="22" t="str">
        <f>"－"</f>
        <v>－</v>
      </c>
      <c r="N1531" s="5" t="s">
        <v>279</v>
      </c>
      <c r="O1531" s="23" t="str">
        <f>"－"</f>
        <v>－</v>
      </c>
      <c r="P1531" s="3" t="s">
        <v>247</v>
      </c>
      <c r="Q1531" s="21"/>
      <c r="R1531" s="3" t="s">
        <v>247</v>
      </c>
      <c r="S1531" s="21" t="str">
        <f>"－"</f>
        <v>－</v>
      </c>
      <c r="T1531" s="21" t="str">
        <f>"－"</f>
        <v>－</v>
      </c>
      <c r="U1531" s="5" t="s">
        <v>279</v>
      </c>
      <c r="V1531" s="23" t="str">
        <f>"－"</f>
        <v>－</v>
      </c>
      <c r="W1531" s="5" t="s">
        <v>279</v>
      </c>
      <c r="X1531" s="23" t="str">
        <f>"－"</f>
        <v>－</v>
      </c>
      <c r="Y1531" s="23" t="str">
        <f>"－"</f>
        <v>－</v>
      </c>
      <c r="Z1531" s="21" t="str">
        <f>"－"</f>
        <v>－</v>
      </c>
      <c r="AA1531" s="21" t="str">
        <f>"－"</f>
        <v>－</v>
      </c>
      <c r="AB1531" s="4" t="s">
        <v>279</v>
      </c>
      <c r="AC1531" s="22" t="str">
        <f>"－"</f>
        <v>－</v>
      </c>
      <c r="AD1531" s="5" t="s">
        <v>279</v>
      </c>
      <c r="AE1531" s="23" t="str">
        <f>"－"</f>
        <v>－</v>
      </c>
    </row>
    <row r="1532">
      <c r="A1532" s="24" t="s">
        <v>2744</v>
      </c>
      <c r="B1532" s="25" t="s">
        <v>2745</v>
      </c>
      <c r="C1532" s="26" t="s">
        <v>1752</v>
      </c>
      <c r="D1532" s="27" t="s">
        <v>1753</v>
      </c>
      <c r="E1532" s="28" t="s">
        <v>124</v>
      </c>
      <c r="F1532" s="20" t="n">
        <f>123</f>
        <v>123.0</v>
      </c>
      <c r="G1532" s="21" t="str">
        <f>"－"</f>
        <v>－</v>
      </c>
      <c r="H1532" s="21"/>
      <c r="I1532" s="21" t="str">
        <f>"－"</f>
        <v>－</v>
      </c>
      <c r="J1532" s="21" t="str">
        <f>"－"</f>
        <v>－</v>
      </c>
      <c r="K1532" s="21" t="str">
        <f>"－"</f>
        <v>－</v>
      </c>
      <c r="L1532" s="4" t="s">
        <v>279</v>
      </c>
      <c r="M1532" s="22" t="str">
        <f>"－"</f>
        <v>－</v>
      </c>
      <c r="N1532" s="5" t="s">
        <v>279</v>
      </c>
      <c r="O1532" s="23" t="str">
        <f>"－"</f>
        <v>－</v>
      </c>
      <c r="P1532" s="3" t="s">
        <v>247</v>
      </c>
      <c r="Q1532" s="21"/>
      <c r="R1532" s="3" t="s">
        <v>247</v>
      </c>
      <c r="S1532" s="21" t="str">
        <f>"－"</f>
        <v>－</v>
      </c>
      <c r="T1532" s="21" t="str">
        <f>"－"</f>
        <v>－</v>
      </c>
      <c r="U1532" s="5" t="s">
        <v>279</v>
      </c>
      <c r="V1532" s="23" t="str">
        <f>"－"</f>
        <v>－</v>
      </c>
      <c r="W1532" s="5" t="s">
        <v>279</v>
      </c>
      <c r="X1532" s="23" t="str">
        <f>"－"</f>
        <v>－</v>
      </c>
      <c r="Y1532" s="23" t="str">
        <f>"－"</f>
        <v>－</v>
      </c>
      <c r="Z1532" s="21" t="str">
        <f>"－"</f>
        <v>－</v>
      </c>
      <c r="AA1532" s="21" t="str">
        <f>"－"</f>
        <v>－</v>
      </c>
      <c r="AB1532" s="4" t="s">
        <v>279</v>
      </c>
      <c r="AC1532" s="22" t="str">
        <f>"－"</f>
        <v>－</v>
      </c>
      <c r="AD1532" s="5" t="s">
        <v>279</v>
      </c>
      <c r="AE1532" s="23" t="str">
        <f>"－"</f>
        <v>－</v>
      </c>
    </row>
    <row r="1533">
      <c r="A1533" s="24" t="s">
        <v>2744</v>
      </c>
      <c r="B1533" s="25" t="s">
        <v>2745</v>
      </c>
      <c r="C1533" s="26" t="s">
        <v>1744</v>
      </c>
      <c r="D1533" s="27" t="s">
        <v>1745</v>
      </c>
      <c r="E1533" s="28" t="s">
        <v>127</v>
      </c>
      <c r="F1533" s="20" t="n">
        <f>122</f>
        <v>122.0</v>
      </c>
      <c r="G1533" s="21" t="str">
        <f>"－"</f>
        <v>－</v>
      </c>
      <c r="H1533" s="21"/>
      <c r="I1533" s="21" t="str">
        <f>"－"</f>
        <v>－</v>
      </c>
      <c r="J1533" s="21" t="str">
        <f>"－"</f>
        <v>－</v>
      </c>
      <c r="K1533" s="21" t="str">
        <f>"－"</f>
        <v>－</v>
      </c>
      <c r="L1533" s="4" t="s">
        <v>335</v>
      </c>
      <c r="M1533" s="22" t="str">
        <f>"－"</f>
        <v>－</v>
      </c>
      <c r="N1533" s="5" t="s">
        <v>335</v>
      </c>
      <c r="O1533" s="23" t="str">
        <f>"－"</f>
        <v>－</v>
      </c>
      <c r="P1533" s="3" t="s">
        <v>247</v>
      </c>
      <c r="Q1533" s="21"/>
      <c r="R1533" s="3" t="s">
        <v>247</v>
      </c>
      <c r="S1533" s="21" t="str">
        <f>"－"</f>
        <v>－</v>
      </c>
      <c r="T1533" s="21" t="str">
        <f>"－"</f>
        <v>－</v>
      </c>
      <c r="U1533" s="5" t="s">
        <v>335</v>
      </c>
      <c r="V1533" s="23" t="str">
        <f>"－"</f>
        <v>－</v>
      </c>
      <c r="W1533" s="5" t="s">
        <v>335</v>
      </c>
      <c r="X1533" s="23" t="str">
        <f>"－"</f>
        <v>－</v>
      </c>
      <c r="Y1533" s="23" t="str">
        <f>"－"</f>
        <v>－</v>
      </c>
      <c r="Z1533" s="21" t="str">
        <f>"－"</f>
        <v>－</v>
      </c>
      <c r="AA1533" s="21" t="str">
        <f>"－"</f>
        <v>－</v>
      </c>
      <c r="AB1533" s="4" t="s">
        <v>335</v>
      </c>
      <c r="AC1533" s="22" t="str">
        <f>"－"</f>
        <v>－</v>
      </c>
      <c r="AD1533" s="5" t="s">
        <v>335</v>
      </c>
      <c r="AE1533" s="23" t="str">
        <f>"－"</f>
        <v>－</v>
      </c>
    </row>
    <row r="1534">
      <c r="A1534" s="24" t="s">
        <v>2744</v>
      </c>
      <c r="B1534" s="25" t="s">
        <v>2745</v>
      </c>
      <c r="C1534" s="26" t="s">
        <v>1748</v>
      </c>
      <c r="D1534" s="27" t="s">
        <v>1749</v>
      </c>
      <c r="E1534" s="28" t="s">
        <v>127</v>
      </c>
      <c r="F1534" s="20" t="n">
        <f>122</f>
        <v>122.0</v>
      </c>
      <c r="G1534" s="21" t="str">
        <f>"－"</f>
        <v>－</v>
      </c>
      <c r="H1534" s="21"/>
      <c r="I1534" s="21" t="str">
        <f>"－"</f>
        <v>－</v>
      </c>
      <c r="J1534" s="21" t="str">
        <f>"－"</f>
        <v>－</v>
      </c>
      <c r="K1534" s="21" t="str">
        <f>"－"</f>
        <v>－</v>
      </c>
      <c r="L1534" s="4" t="s">
        <v>335</v>
      </c>
      <c r="M1534" s="22" t="str">
        <f>"－"</f>
        <v>－</v>
      </c>
      <c r="N1534" s="5" t="s">
        <v>335</v>
      </c>
      <c r="O1534" s="23" t="str">
        <f>"－"</f>
        <v>－</v>
      </c>
      <c r="P1534" s="3" t="s">
        <v>247</v>
      </c>
      <c r="Q1534" s="21"/>
      <c r="R1534" s="3" t="s">
        <v>247</v>
      </c>
      <c r="S1534" s="21" t="str">
        <f>"－"</f>
        <v>－</v>
      </c>
      <c r="T1534" s="21" t="str">
        <f>"－"</f>
        <v>－</v>
      </c>
      <c r="U1534" s="5" t="s">
        <v>335</v>
      </c>
      <c r="V1534" s="23" t="str">
        <f>"－"</f>
        <v>－</v>
      </c>
      <c r="W1534" s="5" t="s">
        <v>335</v>
      </c>
      <c r="X1534" s="23" t="str">
        <f>"－"</f>
        <v>－</v>
      </c>
      <c r="Y1534" s="23" t="str">
        <f>"－"</f>
        <v>－</v>
      </c>
      <c r="Z1534" s="21" t="str">
        <f>"－"</f>
        <v>－</v>
      </c>
      <c r="AA1534" s="21" t="str">
        <f>"－"</f>
        <v>－</v>
      </c>
      <c r="AB1534" s="4" t="s">
        <v>335</v>
      </c>
      <c r="AC1534" s="22" t="str">
        <f>"－"</f>
        <v>－</v>
      </c>
      <c r="AD1534" s="5" t="s">
        <v>335</v>
      </c>
      <c r="AE1534" s="23" t="str">
        <f>"－"</f>
        <v>－</v>
      </c>
    </row>
    <row r="1535">
      <c r="A1535" s="24" t="s">
        <v>2744</v>
      </c>
      <c r="B1535" s="25" t="s">
        <v>2745</v>
      </c>
      <c r="C1535" s="26" t="s">
        <v>1752</v>
      </c>
      <c r="D1535" s="27" t="s">
        <v>1753</v>
      </c>
      <c r="E1535" s="28" t="s">
        <v>127</v>
      </c>
      <c r="F1535" s="20" t="n">
        <f>122</f>
        <v>122.0</v>
      </c>
      <c r="G1535" s="21" t="str">
        <f>"－"</f>
        <v>－</v>
      </c>
      <c r="H1535" s="21"/>
      <c r="I1535" s="21" t="str">
        <f>"－"</f>
        <v>－</v>
      </c>
      <c r="J1535" s="21" t="str">
        <f>"－"</f>
        <v>－</v>
      </c>
      <c r="K1535" s="21" t="str">
        <f>"－"</f>
        <v>－</v>
      </c>
      <c r="L1535" s="4" t="s">
        <v>335</v>
      </c>
      <c r="M1535" s="22" t="str">
        <f>"－"</f>
        <v>－</v>
      </c>
      <c r="N1535" s="5" t="s">
        <v>335</v>
      </c>
      <c r="O1535" s="23" t="str">
        <f>"－"</f>
        <v>－</v>
      </c>
      <c r="P1535" s="3" t="s">
        <v>247</v>
      </c>
      <c r="Q1535" s="21"/>
      <c r="R1535" s="3" t="s">
        <v>247</v>
      </c>
      <c r="S1535" s="21" t="str">
        <f>"－"</f>
        <v>－</v>
      </c>
      <c r="T1535" s="21" t="str">
        <f>"－"</f>
        <v>－</v>
      </c>
      <c r="U1535" s="5" t="s">
        <v>335</v>
      </c>
      <c r="V1535" s="23" t="str">
        <f>"－"</f>
        <v>－</v>
      </c>
      <c r="W1535" s="5" t="s">
        <v>335</v>
      </c>
      <c r="X1535" s="23" t="str">
        <f>"－"</f>
        <v>－</v>
      </c>
      <c r="Y1535" s="23" t="str">
        <f>"－"</f>
        <v>－</v>
      </c>
      <c r="Z1535" s="21" t="str">
        <f>"－"</f>
        <v>－</v>
      </c>
      <c r="AA1535" s="21" t="str">
        <f>"－"</f>
        <v>－</v>
      </c>
      <c r="AB1535" s="4" t="s">
        <v>335</v>
      </c>
      <c r="AC1535" s="22" t="str">
        <f>"－"</f>
        <v>－</v>
      </c>
      <c r="AD1535" s="5" t="s">
        <v>335</v>
      </c>
      <c r="AE1535" s="23" t="str">
        <f>"－"</f>
        <v>－</v>
      </c>
    </row>
    <row r="1536">
      <c r="A1536" s="24" t="s">
        <v>2744</v>
      </c>
      <c r="B1536" s="25" t="s">
        <v>2745</v>
      </c>
      <c r="C1536" s="26" t="s">
        <v>1744</v>
      </c>
      <c r="D1536" s="27" t="s">
        <v>1745</v>
      </c>
      <c r="E1536" s="28" t="s">
        <v>133</v>
      </c>
      <c r="F1536" s="20" t="n">
        <f>122</f>
        <v>122.0</v>
      </c>
      <c r="G1536" s="21" t="str">
        <f>"－"</f>
        <v>－</v>
      </c>
      <c r="H1536" s="21"/>
      <c r="I1536" s="21" t="str">
        <f>"－"</f>
        <v>－</v>
      </c>
      <c r="J1536" s="21" t="str">
        <f>"－"</f>
        <v>－</v>
      </c>
      <c r="K1536" s="21" t="str">
        <f>"－"</f>
        <v>－</v>
      </c>
      <c r="L1536" s="4" t="s">
        <v>279</v>
      </c>
      <c r="M1536" s="22" t="str">
        <f>"－"</f>
        <v>－</v>
      </c>
      <c r="N1536" s="5" t="s">
        <v>279</v>
      </c>
      <c r="O1536" s="23" t="str">
        <f>"－"</f>
        <v>－</v>
      </c>
      <c r="P1536" s="3" t="s">
        <v>247</v>
      </c>
      <c r="Q1536" s="21"/>
      <c r="R1536" s="3" t="s">
        <v>247</v>
      </c>
      <c r="S1536" s="21" t="str">
        <f>"－"</f>
        <v>－</v>
      </c>
      <c r="T1536" s="21" t="str">
        <f>"－"</f>
        <v>－</v>
      </c>
      <c r="U1536" s="5" t="s">
        <v>279</v>
      </c>
      <c r="V1536" s="23" t="str">
        <f>"－"</f>
        <v>－</v>
      </c>
      <c r="W1536" s="5" t="s">
        <v>279</v>
      </c>
      <c r="X1536" s="23" t="str">
        <f>"－"</f>
        <v>－</v>
      </c>
      <c r="Y1536" s="23" t="str">
        <f>"－"</f>
        <v>－</v>
      </c>
      <c r="Z1536" s="21" t="str">
        <f>"－"</f>
        <v>－</v>
      </c>
      <c r="AA1536" s="21" t="str">
        <f>"－"</f>
        <v>－</v>
      </c>
      <c r="AB1536" s="4" t="s">
        <v>279</v>
      </c>
      <c r="AC1536" s="22" t="str">
        <f>"－"</f>
        <v>－</v>
      </c>
      <c r="AD1536" s="5" t="s">
        <v>279</v>
      </c>
      <c r="AE1536" s="23" t="str">
        <f>"－"</f>
        <v>－</v>
      </c>
    </row>
    <row r="1537">
      <c r="A1537" s="24" t="s">
        <v>2744</v>
      </c>
      <c r="B1537" s="25" t="s">
        <v>2745</v>
      </c>
      <c r="C1537" s="26" t="s">
        <v>1748</v>
      </c>
      <c r="D1537" s="27" t="s">
        <v>1749</v>
      </c>
      <c r="E1537" s="28" t="s">
        <v>133</v>
      </c>
      <c r="F1537" s="20" t="n">
        <f>122</f>
        <v>122.0</v>
      </c>
      <c r="G1537" s="21" t="str">
        <f>"－"</f>
        <v>－</v>
      </c>
      <c r="H1537" s="21"/>
      <c r="I1537" s="21" t="str">
        <f>"－"</f>
        <v>－</v>
      </c>
      <c r="J1537" s="21" t="str">
        <f>"－"</f>
        <v>－</v>
      </c>
      <c r="K1537" s="21" t="str">
        <f>"－"</f>
        <v>－</v>
      </c>
      <c r="L1537" s="4" t="s">
        <v>279</v>
      </c>
      <c r="M1537" s="22" t="str">
        <f>"－"</f>
        <v>－</v>
      </c>
      <c r="N1537" s="5" t="s">
        <v>279</v>
      </c>
      <c r="O1537" s="23" t="str">
        <f>"－"</f>
        <v>－</v>
      </c>
      <c r="P1537" s="3" t="s">
        <v>247</v>
      </c>
      <c r="Q1537" s="21"/>
      <c r="R1537" s="3" t="s">
        <v>247</v>
      </c>
      <c r="S1537" s="21" t="str">
        <f>"－"</f>
        <v>－</v>
      </c>
      <c r="T1537" s="21" t="str">
        <f>"－"</f>
        <v>－</v>
      </c>
      <c r="U1537" s="5" t="s">
        <v>279</v>
      </c>
      <c r="V1537" s="23" t="str">
        <f>"－"</f>
        <v>－</v>
      </c>
      <c r="W1537" s="5" t="s">
        <v>279</v>
      </c>
      <c r="X1537" s="23" t="str">
        <f>"－"</f>
        <v>－</v>
      </c>
      <c r="Y1537" s="23" t="str">
        <f>"－"</f>
        <v>－</v>
      </c>
      <c r="Z1537" s="21" t="str">
        <f>"－"</f>
        <v>－</v>
      </c>
      <c r="AA1537" s="21" t="str">
        <f>"－"</f>
        <v>－</v>
      </c>
      <c r="AB1537" s="4" t="s">
        <v>279</v>
      </c>
      <c r="AC1537" s="22" t="str">
        <f>"－"</f>
        <v>－</v>
      </c>
      <c r="AD1537" s="5" t="s">
        <v>279</v>
      </c>
      <c r="AE1537" s="23" t="str">
        <f>"－"</f>
        <v>－</v>
      </c>
    </row>
    <row r="1538">
      <c r="A1538" s="24" t="s">
        <v>2744</v>
      </c>
      <c r="B1538" s="25" t="s">
        <v>2745</v>
      </c>
      <c r="C1538" s="26" t="s">
        <v>1752</v>
      </c>
      <c r="D1538" s="27" t="s">
        <v>1753</v>
      </c>
      <c r="E1538" s="28" t="s">
        <v>133</v>
      </c>
      <c r="F1538" s="20" t="n">
        <f>122</f>
        <v>122.0</v>
      </c>
      <c r="G1538" s="21" t="str">
        <f>"－"</f>
        <v>－</v>
      </c>
      <c r="H1538" s="21"/>
      <c r="I1538" s="21" t="str">
        <f>"－"</f>
        <v>－</v>
      </c>
      <c r="J1538" s="21" t="str">
        <f>"－"</f>
        <v>－</v>
      </c>
      <c r="K1538" s="21" t="str">
        <f>"－"</f>
        <v>－</v>
      </c>
      <c r="L1538" s="4" t="s">
        <v>279</v>
      </c>
      <c r="M1538" s="22" t="str">
        <f>"－"</f>
        <v>－</v>
      </c>
      <c r="N1538" s="5" t="s">
        <v>279</v>
      </c>
      <c r="O1538" s="23" t="str">
        <f>"－"</f>
        <v>－</v>
      </c>
      <c r="P1538" s="3" t="s">
        <v>247</v>
      </c>
      <c r="Q1538" s="21"/>
      <c r="R1538" s="3" t="s">
        <v>247</v>
      </c>
      <c r="S1538" s="21" t="str">
        <f>"－"</f>
        <v>－</v>
      </c>
      <c r="T1538" s="21" t="str">
        <f>"－"</f>
        <v>－</v>
      </c>
      <c r="U1538" s="5" t="s">
        <v>279</v>
      </c>
      <c r="V1538" s="23" t="str">
        <f>"－"</f>
        <v>－</v>
      </c>
      <c r="W1538" s="5" t="s">
        <v>279</v>
      </c>
      <c r="X1538" s="23" t="str">
        <f>"－"</f>
        <v>－</v>
      </c>
      <c r="Y1538" s="23" t="str">
        <f>"－"</f>
        <v>－</v>
      </c>
      <c r="Z1538" s="21" t="str">
        <f>"－"</f>
        <v>－</v>
      </c>
      <c r="AA1538" s="21" t="str">
        <f>"－"</f>
        <v>－</v>
      </c>
      <c r="AB1538" s="4" t="s">
        <v>279</v>
      </c>
      <c r="AC1538" s="22" t="str">
        <f>"－"</f>
        <v>－</v>
      </c>
      <c r="AD1538" s="5" t="s">
        <v>279</v>
      </c>
      <c r="AE1538" s="23" t="str">
        <f>"－"</f>
        <v>－</v>
      </c>
    </row>
    <row r="1539">
      <c r="A1539" s="24" t="s">
        <v>2744</v>
      </c>
      <c r="B1539" s="25" t="s">
        <v>2745</v>
      </c>
      <c r="C1539" s="26" t="s">
        <v>1744</v>
      </c>
      <c r="D1539" s="27" t="s">
        <v>1745</v>
      </c>
      <c r="E1539" s="28" t="s">
        <v>139</v>
      </c>
      <c r="F1539" s="20" t="n">
        <f>123</f>
        <v>123.0</v>
      </c>
      <c r="G1539" s="21" t="str">
        <f>"－"</f>
        <v>－</v>
      </c>
      <c r="H1539" s="21"/>
      <c r="I1539" s="21" t="str">
        <f>"－"</f>
        <v>－</v>
      </c>
      <c r="J1539" s="21" t="str">
        <f>"－"</f>
        <v>－</v>
      </c>
      <c r="K1539" s="21" t="str">
        <f>"－"</f>
        <v>－</v>
      </c>
      <c r="L1539" s="4" t="s">
        <v>335</v>
      </c>
      <c r="M1539" s="22" t="str">
        <f>"－"</f>
        <v>－</v>
      </c>
      <c r="N1539" s="5" t="s">
        <v>335</v>
      </c>
      <c r="O1539" s="23" t="str">
        <f>"－"</f>
        <v>－</v>
      </c>
      <c r="P1539" s="3" t="s">
        <v>247</v>
      </c>
      <c r="Q1539" s="21"/>
      <c r="R1539" s="3" t="s">
        <v>247</v>
      </c>
      <c r="S1539" s="21" t="str">
        <f>"－"</f>
        <v>－</v>
      </c>
      <c r="T1539" s="21" t="str">
        <f>"－"</f>
        <v>－</v>
      </c>
      <c r="U1539" s="5" t="s">
        <v>335</v>
      </c>
      <c r="V1539" s="23" t="str">
        <f>"－"</f>
        <v>－</v>
      </c>
      <c r="W1539" s="5" t="s">
        <v>335</v>
      </c>
      <c r="X1539" s="23" t="str">
        <f>"－"</f>
        <v>－</v>
      </c>
      <c r="Y1539" s="23" t="str">
        <f>"－"</f>
        <v>－</v>
      </c>
      <c r="Z1539" s="21" t="str">
        <f>"－"</f>
        <v>－</v>
      </c>
      <c r="AA1539" s="21" t="str">
        <f>"－"</f>
        <v>－</v>
      </c>
      <c r="AB1539" s="4" t="s">
        <v>335</v>
      </c>
      <c r="AC1539" s="22" t="str">
        <f>"－"</f>
        <v>－</v>
      </c>
      <c r="AD1539" s="5" t="s">
        <v>335</v>
      </c>
      <c r="AE1539" s="23" t="str">
        <f>"－"</f>
        <v>－</v>
      </c>
    </row>
    <row r="1540">
      <c r="A1540" s="24" t="s">
        <v>2744</v>
      </c>
      <c r="B1540" s="25" t="s">
        <v>2745</v>
      </c>
      <c r="C1540" s="26" t="s">
        <v>1748</v>
      </c>
      <c r="D1540" s="27" t="s">
        <v>1749</v>
      </c>
      <c r="E1540" s="28" t="s">
        <v>139</v>
      </c>
      <c r="F1540" s="20" t="n">
        <f>123</f>
        <v>123.0</v>
      </c>
      <c r="G1540" s="21" t="str">
        <f>"－"</f>
        <v>－</v>
      </c>
      <c r="H1540" s="21"/>
      <c r="I1540" s="21" t="str">
        <f>"－"</f>
        <v>－</v>
      </c>
      <c r="J1540" s="21" t="str">
        <f>"－"</f>
        <v>－</v>
      </c>
      <c r="K1540" s="21" t="str">
        <f>"－"</f>
        <v>－</v>
      </c>
      <c r="L1540" s="4" t="s">
        <v>335</v>
      </c>
      <c r="M1540" s="22" t="str">
        <f>"－"</f>
        <v>－</v>
      </c>
      <c r="N1540" s="5" t="s">
        <v>335</v>
      </c>
      <c r="O1540" s="23" t="str">
        <f>"－"</f>
        <v>－</v>
      </c>
      <c r="P1540" s="3" t="s">
        <v>247</v>
      </c>
      <c r="Q1540" s="21"/>
      <c r="R1540" s="3" t="s">
        <v>247</v>
      </c>
      <c r="S1540" s="21" t="str">
        <f>"－"</f>
        <v>－</v>
      </c>
      <c r="T1540" s="21" t="str">
        <f>"－"</f>
        <v>－</v>
      </c>
      <c r="U1540" s="5" t="s">
        <v>335</v>
      </c>
      <c r="V1540" s="23" t="str">
        <f>"－"</f>
        <v>－</v>
      </c>
      <c r="W1540" s="5" t="s">
        <v>335</v>
      </c>
      <c r="X1540" s="23" t="str">
        <f>"－"</f>
        <v>－</v>
      </c>
      <c r="Y1540" s="23" t="str">
        <f>"－"</f>
        <v>－</v>
      </c>
      <c r="Z1540" s="21" t="str">
        <f>"－"</f>
        <v>－</v>
      </c>
      <c r="AA1540" s="21" t="str">
        <f>"－"</f>
        <v>－</v>
      </c>
      <c r="AB1540" s="4" t="s">
        <v>335</v>
      </c>
      <c r="AC1540" s="22" t="str">
        <f>"－"</f>
        <v>－</v>
      </c>
      <c r="AD1540" s="5" t="s">
        <v>335</v>
      </c>
      <c r="AE1540" s="23" t="str">
        <f>"－"</f>
        <v>－</v>
      </c>
    </row>
    <row r="1541">
      <c r="A1541" s="24" t="s">
        <v>2744</v>
      </c>
      <c r="B1541" s="25" t="s">
        <v>2745</v>
      </c>
      <c r="C1541" s="26" t="s">
        <v>1752</v>
      </c>
      <c r="D1541" s="27" t="s">
        <v>1753</v>
      </c>
      <c r="E1541" s="28" t="s">
        <v>139</v>
      </c>
      <c r="F1541" s="20" t="n">
        <f>123</f>
        <v>123.0</v>
      </c>
      <c r="G1541" s="21" t="str">
        <f>"－"</f>
        <v>－</v>
      </c>
      <c r="H1541" s="21"/>
      <c r="I1541" s="21" t="str">
        <f>"－"</f>
        <v>－</v>
      </c>
      <c r="J1541" s="21" t="str">
        <f>"－"</f>
        <v>－</v>
      </c>
      <c r="K1541" s="21" t="str">
        <f>"－"</f>
        <v>－</v>
      </c>
      <c r="L1541" s="4" t="s">
        <v>335</v>
      </c>
      <c r="M1541" s="22" t="str">
        <f>"－"</f>
        <v>－</v>
      </c>
      <c r="N1541" s="5" t="s">
        <v>335</v>
      </c>
      <c r="O1541" s="23" t="str">
        <f>"－"</f>
        <v>－</v>
      </c>
      <c r="P1541" s="3" t="s">
        <v>247</v>
      </c>
      <c r="Q1541" s="21"/>
      <c r="R1541" s="3" t="s">
        <v>247</v>
      </c>
      <c r="S1541" s="21" t="str">
        <f>"－"</f>
        <v>－</v>
      </c>
      <c r="T1541" s="21" t="str">
        <f>"－"</f>
        <v>－</v>
      </c>
      <c r="U1541" s="5" t="s">
        <v>335</v>
      </c>
      <c r="V1541" s="23" t="str">
        <f>"－"</f>
        <v>－</v>
      </c>
      <c r="W1541" s="5" t="s">
        <v>335</v>
      </c>
      <c r="X1541" s="23" t="str">
        <f>"－"</f>
        <v>－</v>
      </c>
      <c r="Y1541" s="23" t="str">
        <f>"－"</f>
        <v>－</v>
      </c>
      <c r="Z1541" s="21" t="str">
        <f>"－"</f>
        <v>－</v>
      </c>
      <c r="AA1541" s="21" t="str">
        <f>"－"</f>
        <v>－</v>
      </c>
      <c r="AB1541" s="4" t="s">
        <v>335</v>
      </c>
      <c r="AC1541" s="22" t="str">
        <f>"－"</f>
        <v>－</v>
      </c>
      <c r="AD1541" s="5" t="s">
        <v>335</v>
      </c>
      <c r="AE1541" s="23" t="str">
        <f>"－"</f>
        <v>－</v>
      </c>
    </row>
    <row r="1542">
      <c r="A1542" s="24" t="s">
        <v>2744</v>
      </c>
      <c r="B1542" s="25" t="s">
        <v>2745</v>
      </c>
      <c r="C1542" s="26" t="s">
        <v>1744</v>
      </c>
      <c r="D1542" s="27" t="s">
        <v>1745</v>
      </c>
      <c r="E1542" s="28" t="s">
        <v>145</v>
      </c>
      <c r="F1542" s="20" t="n">
        <f>122</f>
        <v>122.0</v>
      </c>
      <c r="G1542" s="21" t="str">
        <f>"－"</f>
        <v>－</v>
      </c>
      <c r="H1542" s="21"/>
      <c r="I1542" s="21" t="str">
        <f>"－"</f>
        <v>－</v>
      </c>
      <c r="J1542" s="21" t="str">
        <f>"－"</f>
        <v>－</v>
      </c>
      <c r="K1542" s="21" t="str">
        <f>"－"</f>
        <v>－</v>
      </c>
      <c r="L1542" s="4" t="s">
        <v>82</v>
      </c>
      <c r="M1542" s="22" t="str">
        <f>"－"</f>
        <v>－</v>
      </c>
      <c r="N1542" s="5" t="s">
        <v>82</v>
      </c>
      <c r="O1542" s="23" t="str">
        <f>"－"</f>
        <v>－</v>
      </c>
      <c r="P1542" s="3" t="s">
        <v>247</v>
      </c>
      <c r="Q1542" s="21"/>
      <c r="R1542" s="3" t="s">
        <v>247</v>
      </c>
      <c r="S1542" s="21" t="str">
        <f>"－"</f>
        <v>－</v>
      </c>
      <c r="T1542" s="21" t="str">
        <f>"－"</f>
        <v>－</v>
      </c>
      <c r="U1542" s="5" t="s">
        <v>82</v>
      </c>
      <c r="V1542" s="23" t="str">
        <f>"－"</f>
        <v>－</v>
      </c>
      <c r="W1542" s="5" t="s">
        <v>82</v>
      </c>
      <c r="X1542" s="23" t="str">
        <f>"－"</f>
        <v>－</v>
      </c>
      <c r="Y1542" s="23" t="str">
        <f>"－"</f>
        <v>－</v>
      </c>
      <c r="Z1542" s="21" t="str">
        <f>"－"</f>
        <v>－</v>
      </c>
      <c r="AA1542" s="21" t="str">
        <f>"－"</f>
        <v>－</v>
      </c>
      <c r="AB1542" s="4" t="s">
        <v>82</v>
      </c>
      <c r="AC1542" s="22" t="str">
        <f>"－"</f>
        <v>－</v>
      </c>
      <c r="AD1542" s="5" t="s">
        <v>82</v>
      </c>
      <c r="AE1542" s="23" t="str">
        <f>"－"</f>
        <v>－</v>
      </c>
    </row>
    <row r="1543">
      <c r="A1543" s="24" t="s">
        <v>2744</v>
      </c>
      <c r="B1543" s="25" t="s">
        <v>2745</v>
      </c>
      <c r="C1543" s="26" t="s">
        <v>1748</v>
      </c>
      <c r="D1543" s="27" t="s">
        <v>1749</v>
      </c>
      <c r="E1543" s="28" t="s">
        <v>145</v>
      </c>
      <c r="F1543" s="20" t="n">
        <f>122</f>
        <v>122.0</v>
      </c>
      <c r="G1543" s="21" t="str">
        <f>"－"</f>
        <v>－</v>
      </c>
      <c r="H1543" s="21"/>
      <c r="I1543" s="21" t="str">
        <f>"－"</f>
        <v>－</v>
      </c>
      <c r="J1543" s="21" t="str">
        <f>"－"</f>
        <v>－</v>
      </c>
      <c r="K1543" s="21" t="str">
        <f>"－"</f>
        <v>－</v>
      </c>
      <c r="L1543" s="4" t="s">
        <v>82</v>
      </c>
      <c r="M1543" s="22" t="str">
        <f>"－"</f>
        <v>－</v>
      </c>
      <c r="N1543" s="5" t="s">
        <v>82</v>
      </c>
      <c r="O1543" s="23" t="str">
        <f>"－"</f>
        <v>－</v>
      </c>
      <c r="P1543" s="3" t="s">
        <v>247</v>
      </c>
      <c r="Q1543" s="21"/>
      <c r="R1543" s="3" t="s">
        <v>247</v>
      </c>
      <c r="S1543" s="21" t="str">
        <f>"－"</f>
        <v>－</v>
      </c>
      <c r="T1543" s="21" t="str">
        <f>"－"</f>
        <v>－</v>
      </c>
      <c r="U1543" s="5" t="s">
        <v>82</v>
      </c>
      <c r="V1543" s="23" t="str">
        <f>"－"</f>
        <v>－</v>
      </c>
      <c r="W1543" s="5" t="s">
        <v>82</v>
      </c>
      <c r="X1543" s="23" t="str">
        <f>"－"</f>
        <v>－</v>
      </c>
      <c r="Y1543" s="23" t="str">
        <f>"－"</f>
        <v>－</v>
      </c>
      <c r="Z1543" s="21" t="str">
        <f>"－"</f>
        <v>－</v>
      </c>
      <c r="AA1543" s="21" t="str">
        <f>"－"</f>
        <v>－</v>
      </c>
      <c r="AB1543" s="4" t="s">
        <v>82</v>
      </c>
      <c r="AC1543" s="22" t="str">
        <f>"－"</f>
        <v>－</v>
      </c>
      <c r="AD1543" s="5" t="s">
        <v>82</v>
      </c>
      <c r="AE1543" s="23" t="str">
        <f>"－"</f>
        <v>－</v>
      </c>
    </row>
    <row r="1544">
      <c r="A1544" s="24" t="s">
        <v>2744</v>
      </c>
      <c r="B1544" s="25" t="s">
        <v>2745</v>
      </c>
      <c r="C1544" s="26" t="s">
        <v>1752</v>
      </c>
      <c r="D1544" s="27" t="s">
        <v>1753</v>
      </c>
      <c r="E1544" s="28" t="s">
        <v>145</v>
      </c>
      <c r="F1544" s="20" t="n">
        <f>122</f>
        <v>122.0</v>
      </c>
      <c r="G1544" s="21" t="str">
        <f>"－"</f>
        <v>－</v>
      </c>
      <c r="H1544" s="21"/>
      <c r="I1544" s="21" t="str">
        <f>"－"</f>
        <v>－</v>
      </c>
      <c r="J1544" s="21" t="str">
        <f>"－"</f>
        <v>－</v>
      </c>
      <c r="K1544" s="21" t="str">
        <f>"－"</f>
        <v>－</v>
      </c>
      <c r="L1544" s="4" t="s">
        <v>82</v>
      </c>
      <c r="M1544" s="22" t="str">
        <f>"－"</f>
        <v>－</v>
      </c>
      <c r="N1544" s="5" t="s">
        <v>82</v>
      </c>
      <c r="O1544" s="23" t="str">
        <f>"－"</f>
        <v>－</v>
      </c>
      <c r="P1544" s="3" t="s">
        <v>247</v>
      </c>
      <c r="Q1544" s="21"/>
      <c r="R1544" s="3" t="s">
        <v>247</v>
      </c>
      <c r="S1544" s="21" t="str">
        <f>"－"</f>
        <v>－</v>
      </c>
      <c r="T1544" s="21" t="str">
        <f>"－"</f>
        <v>－</v>
      </c>
      <c r="U1544" s="5" t="s">
        <v>82</v>
      </c>
      <c r="V1544" s="23" t="str">
        <f>"－"</f>
        <v>－</v>
      </c>
      <c r="W1544" s="5" t="s">
        <v>82</v>
      </c>
      <c r="X1544" s="23" t="str">
        <f>"－"</f>
        <v>－</v>
      </c>
      <c r="Y1544" s="23" t="str">
        <f>"－"</f>
        <v>－</v>
      </c>
      <c r="Z1544" s="21" t="str">
        <f>"－"</f>
        <v>－</v>
      </c>
      <c r="AA1544" s="21" t="str">
        <f>"－"</f>
        <v>－</v>
      </c>
      <c r="AB1544" s="4" t="s">
        <v>82</v>
      </c>
      <c r="AC1544" s="22" t="str">
        <f>"－"</f>
        <v>－</v>
      </c>
      <c r="AD1544" s="5" t="s">
        <v>82</v>
      </c>
      <c r="AE1544" s="23" t="str">
        <f>"－"</f>
        <v>－</v>
      </c>
    </row>
    <row r="1545">
      <c r="A1545" s="24" t="s">
        <v>2744</v>
      </c>
      <c r="B1545" s="25" t="s">
        <v>2745</v>
      </c>
      <c r="C1545" s="26" t="s">
        <v>1744</v>
      </c>
      <c r="D1545" s="27" t="s">
        <v>1745</v>
      </c>
      <c r="E1545" s="28" t="s">
        <v>150</v>
      </c>
      <c r="F1545" s="20" t="n">
        <f>124</f>
        <v>124.0</v>
      </c>
      <c r="G1545" s="21" t="str">
        <f>"－"</f>
        <v>－</v>
      </c>
      <c r="H1545" s="21"/>
      <c r="I1545" s="21" t="str">
        <f>"－"</f>
        <v>－</v>
      </c>
      <c r="J1545" s="21" t="str">
        <f>"－"</f>
        <v>－</v>
      </c>
      <c r="K1545" s="21" t="str">
        <f>"－"</f>
        <v>－</v>
      </c>
      <c r="L1545" s="4" t="s">
        <v>666</v>
      </c>
      <c r="M1545" s="22" t="str">
        <f>"－"</f>
        <v>－</v>
      </c>
      <c r="N1545" s="5" t="s">
        <v>666</v>
      </c>
      <c r="O1545" s="23" t="str">
        <f>"－"</f>
        <v>－</v>
      </c>
      <c r="P1545" s="3" t="s">
        <v>247</v>
      </c>
      <c r="Q1545" s="21"/>
      <c r="R1545" s="3" t="s">
        <v>247</v>
      </c>
      <c r="S1545" s="21" t="str">
        <f>"－"</f>
        <v>－</v>
      </c>
      <c r="T1545" s="21" t="str">
        <f>"－"</f>
        <v>－</v>
      </c>
      <c r="U1545" s="5" t="s">
        <v>666</v>
      </c>
      <c r="V1545" s="23" t="str">
        <f>"－"</f>
        <v>－</v>
      </c>
      <c r="W1545" s="5" t="s">
        <v>666</v>
      </c>
      <c r="X1545" s="23" t="str">
        <f>"－"</f>
        <v>－</v>
      </c>
      <c r="Y1545" s="23" t="str">
        <f>"－"</f>
        <v>－</v>
      </c>
      <c r="Z1545" s="21" t="str">
        <f>"－"</f>
        <v>－</v>
      </c>
      <c r="AA1545" s="21" t="str">
        <f>"－"</f>
        <v>－</v>
      </c>
      <c r="AB1545" s="4" t="s">
        <v>666</v>
      </c>
      <c r="AC1545" s="22" t="str">
        <f>"－"</f>
        <v>－</v>
      </c>
      <c r="AD1545" s="5" t="s">
        <v>666</v>
      </c>
      <c r="AE1545" s="23" t="str">
        <f>"－"</f>
        <v>－</v>
      </c>
    </row>
    <row r="1546">
      <c r="A1546" s="24" t="s">
        <v>2744</v>
      </c>
      <c r="B1546" s="25" t="s">
        <v>2745</v>
      </c>
      <c r="C1546" s="26" t="s">
        <v>1748</v>
      </c>
      <c r="D1546" s="27" t="s">
        <v>1749</v>
      </c>
      <c r="E1546" s="28" t="s">
        <v>150</v>
      </c>
      <c r="F1546" s="20" t="n">
        <f>124</f>
        <v>124.0</v>
      </c>
      <c r="G1546" s="21" t="str">
        <f>"－"</f>
        <v>－</v>
      </c>
      <c r="H1546" s="21"/>
      <c r="I1546" s="21" t="str">
        <f>"－"</f>
        <v>－</v>
      </c>
      <c r="J1546" s="21" t="str">
        <f>"－"</f>
        <v>－</v>
      </c>
      <c r="K1546" s="21" t="str">
        <f>"－"</f>
        <v>－</v>
      </c>
      <c r="L1546" s="4" t="s">
        <v>666</v>
      </c>
      <c r="M1546" s="22" t="str">
        <f>"－"</f>
        <v>－</v>
      </c>
      <c r="N1546" s="5" t="s">
        <v>666</v>
      </c>
      <c r="O1546" s="23" t="str">
        <f>"－"</f>
        <v>－</v>
      </c>
      <c r="P1546" s="3" t="s">
        <v>247</v>
      </c>
      <c r="Q1546" s="21"/>
      <c r="R1546" s="3" t="s">
        <v>247</v>
      </c>
      <c r="S1546" s="21" t="str">
        <f>"－"</f>
        <v>－</v>
      </c>
      <c r="T1546" s="21" t="str">
        <f>"－"</f>
        <v>－</v>
      </c>
      <c r="U1546" s="5" t="s">
        <v>666</v>
      </c>
      <c r="V1546" s="23" t="str">
        <f>"－"</f>
        <v>－</v>
      </c>
      <c r="W1546" s="5" t="s">
        <v>666</v>
      </c>
      <c r="X1546" s="23" t="str">
        <f>"－"</f>
        <v>－</v>
      </c>
      <c r="Y1546" s="23" t="str">
        <f>"－"</f>
        <v>－</v>
      </c>
      <c r="Z1546" s="21" t="str">
        <f>"－"</f>
        <v>－</v>
      </c>
      <c r="AA1546" s="21" t="str">
        <f>"－"</f>
        <v>－</v>
      </c>
      <c r="AB1546" s="4" t="s">
        <v>666</v>
      </c>
      <c r="AC1546" s="22" t="str">
        <f>"－"</f>
        <v>－</v>
      </c>
      <c r="AD1546" s="5" t="s">
        <v>666</v>
      </c>
      <c r="AE1546" s="23" t="str">
        <f>"－"</f>
        <v>－</v>
      </c>
    </row>
    <row r="1547">
      <c r="A1547" s="24" t="s">
        <v>2744</v>
      </c>
      <c r="B1547" s="25" t="s">
        <v>2745</v>
      </c>
      <c r="C1547" s="26" t="s">
        <v>1752</v>
      </c>
      <c r="D1547" s="27" t="s">
        <v>1753</v>
      </c>
      <c r="E1547" s="28" t="s">
        <v>150</v>
      </c>
      <c r="F1547" s="20" t="n">
        <f>124</f>
        <v>124.0</v>
      </c>
      <c r="G1547" s="21" t="str">
        <f>"－"</f>
        <v>－</v>
      </c>
      <c r="H1547" s="21"/>
      <c r="I1547" s="21" t="str">
        <f>"－"</f>
        <v>－</v>
      </c>
      <c r="J1547" s="21" t="str">
        <f>"－"</f>
        <v>－</v>
      </c>
      <c r="K1547" s="21" t="str">
        <f>"－"</f>
        <v>－</v>
      </c>
      <c r="L1547" s="4" t="s">
        <v>666</v>
      </c>
      <c r="M1547" s="22" t="str">
        <f>"－"</f>
        <v>－</v>
      </c>
      <c r="N1547" s="5" t="s">
        <v>666</v>
      </c>
      <c r="O1547" s="23" t="str">
        <f>"－"</f>
        <v>－</v>
      </c>
      <c r="P1547" s="3" t="s">
        <v>247</v>
      </c>
      <c r="Q1547" s="21"/>
      <c r="R1547" s="3" t="s">
        <v>247</v>
      </c>
      <c r="S1547" s="21" t="str">
        <f>"－"</f>
        <v>－</v>
      </c>
      <c r="T1547" s="21" t="str">
        <f>"－"</f>
        <v>－</v>
      </c>
      <c r="U1547" s="5" t="s">
        <v>666</v>
      </c>
      <c r="V1547" s="23" t="str">
        <f>"－"</f>
        <v>－</v>
      </c>
      <c r="W1547" s="5" t="s">
        <v>666</v>
      </c>
      <c r="X1547" s="23" t="str">
        <f>"－"</f>
        <v>－</v>
      </c>
      <c r="Y1547" s="23" t="str">
        <f>"－"</f>
        <v>－</v>
      </c>
      <c r="Z1547" s="21" t="str">
        <f>"－"</f>
        <v>－</v>
      </c>
      <c r="AA1547" s="21" t="str">
        <f>"－"</f>
        <v>－</v>
      </c>
      <c r="AB1547" s="4" t="s">
        <v>666</v>
      </c>
      <c r="AC1547" s="22" t="str">
        <f>"－"</f>
        <v>－</v>
      </c>
      <c r="AD1547" s="5" t="s">
        <v>666</v>
      </c>
      <c r="AE1547" s="23" t="str">
        <f>"－"</f>
        <v>－</v>
      </c>
    </row>
    <row r="1548">
      <c r="A1548" s="24" t="s">
        <v>2744</v>
      </c>
      <c r="B1548" s="25" t="s">
        <v>2745</v>
      </c>
      <c r="C1548" s="26" t="s">
        <v>1744</v>
      </c>
      <c r="D1548" s="27" t="s">
        <v>1745</v>
      </c>
      <c r="E1548" s="28" t="s">
        <v>154</v>
      </c>
      <c r="F1548" s="20" t="n">
        <f>120</f>
        <v>120.0</v>
      </c>
      <c r="G1548" s="21" t="str">
        <f>"－"</f>
        <v>－</v>
      </c>
      <c r="H1548" s="21"/>
      <c r="I1548" s="21" t="str">
        <f>"－"</f>
        <v>－</v>
      </c>
      <c r="J1548" s="21" t="str">
        <f>"－"</f>
        <v>－</v>
      </c>
      <c r="K1548" s="21" t="str">
        <f>"－"</f>
        <v>－</v>
      </c>
      <c r="L1548" s="4" t="s">
        <v>268</v>
      </c>
      <c r="M1548" s="22" t="str">
        <f>"－"</f>
        <v>－</v>
      </c>
      <c r="N1548" s="5" t="s">
        <v>268</v>
      </c>
      <c r="O1548" s="23" t="str">
        <f>"－"</f>
        <v>－</v>
      </c>
      <c r="P1548" s="3" t="s">
        <v>247</v>
      </c>
      <c r="Q1548" s="21"/>
      <c r="R1548" s="3" t="s">
        <v>247</v>
      </c>
      <c r="S1548" s="21" t="str">
        <f>"－"</f>
        <v>－</v>
      </c>
      <c r="T1548" s="21" t="str">
        <f>"－"</f>
        <v>－</v>
      </c>
      <c r="U1548" s="5" t="s">
        <v>268</v>
      </c>
      <c r="V1548" s="23" t="str">
        <f>"－"</f>
        <v>－</v>
      </c>
      <c r="W1548" s="5" t="s">
        <v>268</v>
      </c>
      <c r="X1548" s="23" t="str">
        <f>"－"</f>
        <v>－</v>
      </c>
      <c r="Y1548" s="23" t="str">
        <f>"－"</f>
        <v>－</v>
      </c>
      <c r="Z1548" s="21" t="str">
        <f>"－"</f>
        <v>－</v>
      </c>
      <c r="AA1548" s="21" t="str">
        <f>"－"</f>
        <v>－</v>
      </c>
      <c r="AB1548" s="4" t="s">
        <v>268</v>
      </c>
      <c r="AC1548" s="22" t="str">
        <f>"－"</f>
        <v>－</v>
      </c>
      <c r="AD1548" s="5" t="s">
        <v>268</v>
      </c>
      <c r="AE1548" s="23" t="str">
        <f>"－"</f>
        <v>－</v>
      </c>
    </row>
    <row r="1549">
      <c r="A1549" s="24" t="s">
        <v>2744</v>
      </c>
      <c r="B1549" s="25" t="s">
        <v>2745</v>
      </c>
      <c r="C1549" s="26" t="s">
        <v>1748</v>
      </c>
      <c r="D1549" s="27" t="s">
        <v>1749</v>
      </c>
      <c r="E1549" s="28" t="s">
        <v>154</v>
      </c>
      <c r="F1549" s="20" t="n">
        <f>120</f>
        <v>120.0</v>
      </c>
      <c r="G1549" s="21" t="str">
        <f>"－"</f>
        <v>－</v>
      </c>
      <c r="H1549" s="21"/>
      <c r="I1549" s="21" t="str">
        <f>"－"</f>
        <v>－</v>
      </c>
      <c r="J1549" s="21" t="str">
        <f>"－"</f>
        <v>－</v>
      </c>
      <c r="K1549" s="21" t="str">
        <f>"－"</f>
        <v>－</v>
      </c>
      <c r="L1549" s="4" t="s">
        <v>268</v>
      </c>
      <c r="M1549" s="22" t="str">
        <f>"－"</f>
        <v>－</v>
      </c>
      <c r="N1549" s="5" t="s">
        <v>268</v>
      </c>
      <c r="O1549" s="23" t="str">
        <f>"－"</f>
        <v>－</v>
      </c>
      <c r="P1549" s="3" t="s">
        <v>247</v>
      </c>
      <c r="Q1549" s="21"/>
      <c r="R1549" s="3" t="s">
        <v>247</v>
      </c>
      <c r="S1549" s="21" t="str">
        <f>"－"</f>
        <v>－</v>
      </c>
      <c r="T1549" s="21" t="str">
        <f>"－"</f>
        <v>－</v>
      </c>
      <c r="U1549" s="5" t="s">
        <v>268</v>
      </c>
      <c r="V1549" s="23" t="str">
        <f>"－"</f>
        <v>－</v>
      </c>
      <c r="W1549" s="5" t="s">
        <v>268</v>
      </c>
      <c r="X1549" s="23" t="str">
        <f>"－"</f>
        <v>－</v>
      </c>
      <c r="Y1549" s="23" t="str">
        <f>"－"</f>
        <v>－</v>
      </c>
      <c r="Z1549" s="21" t="str">
        <f>"－"</f>
        <v>－</v>
      </c>
      <c r="AA1549" s="21" t="str">
        <f>"－"</f>
        <v>－</v>
      </c>
      <c r="AB1549" s="4" t="s">
        <v>268</v>
      </c>
      <c r="AC1549" s="22" t="str">
        <f>"－"</f>
        <v>－</v>
      </c>
      <c r="AD1549" s="5" t="s">
        <v>268</v>
      </c>
      <c r="AE1549" s="23" t="str">
        <f>"－"</f>
        <v>－</v>
      </c>
    </row>
    <row r="1550">
      <c r="A1550" s="24" t="s">
        <v>2744</v>
      </c>
      <c r="B1550" s="25" t="s">
        <v>2745</v>
      </c>
      <c r="C1550" s="26" t="s">
        <v>1752</v>
      </c>
      <c r="D1550" s="27" t="s">
        <v>1753</v>
      </c>
      <c r="E1550" s="28" t="s">
        <v>154</v>
      </c>
      <c r="F1550" s="20" t="n">
        <f>120</f>
        <v>120.0</v>
      </c>
      <c r="G1550" s="21" t="str">
        <f>"－"</f>
        <v>－</v>
      </c>
      <c r="H1550" s="21"/>
      <c r="I1550" s="21" t="str">
        <f>"－"</f>
        <v>－</v>
      </c>
      <c r="J1550" s="21" t="str">
        <f>"－"</f>
        <v>－</v>
      </c>
      <c r="K1550" s="21" t="str">
        <f>"－"</f>
        <v>－</v>
      </c>
      <c r="L1550" s="4" t="s">
        <v>268</v>
      </c>
      <c r="M1550" s="22" t="str">
        <f>"－"</f>
        <v>－</v>
      </c>
      <c r="N1550" s="5" t="s">
        <v>268</v>
      </c>
      <c r="O1550" s="23" t="str">
        <f>"－"</f>
        <v>－</v>
      </c>
      <c r="P1550" s="3" t="s">
        <v>247</v>
      </c>
      <c r="Q1550" s="21"/>
      <c r="R1550" s="3" t="s">
        <v>247</v>
      </c>
      <c r="S1550" s="21" t="str">
        <f>"－"</f>
        <v>－</v>
      </c>
      <c r="T1550" s="21" t="str">
        <f>"－"</f>
        <v>－</v>
      </c>
      <c r="U1550" s="5" t="s">
        <v>268</v>
      </c>
      <c r="V1550" s="23" t="str">
        <f>"－"</f>
        <v>－</v>
      </c>
      <c r="W1550" s="5" t="s">
        <v>268</v>
      </c>
      <c r="X1550" s="23" t="str">
        <f>"－"</f>
        <v>－</v>
      </c>
      <c r="Y1550" s="23" t="str">
        <f>"－"</f>
        <v>－</v>
      </c>
      <c r="Z1550" s="21" t="str">
        <f>"－"</f>
        <v>－</v>
      </c>
      <c r="AA1550" s="21" t="str">
        <f>"－"</f>
        <v>－</v>
      </c>
      <c r="AB1550" s="4" t="s">
        <v>268</v>
      </c>
      <c r="AC1550" s="22" t="str">
        <f>"－"</f>
        <v>－</v>
      </c>
      <c r="AD1550" s="5" t="s">
        <v>268</v>
      </c>
      <c r="AE1550" s="23" t="str">
        <f>"－"</f>
        <v>－</v>
      </c>
    </row>
  </sheetData>
  <mergeCells count="24">
    <mergeCell ref="A1:E1"/>
    <mergeCell ref="A2:E2"/>
    <mergeCell ref="E3:E5"/>
    <mergeCell ref="A3:A6"/>
    <mergeCell ref="B3:B6"/>
    <mergeCell ref="D3:D6"/>
    <mergeCell ref="C3:C6"/>
    <mergeCell ref="F3:F5"/>
    <mergeCell ref="G3:O3"/>
    <mergeCell ref="P3:X3"/>
    <mergeCell ref="Y3:Y5"/>
    <mergeCell ref="Z3:Z5"/>
    <mergeCell ref="AA3:AE3"/>
    <mergeCell ref="G4:G5"/>
    <mergeCell ref="J4:J5"/>
    <mergeCell ref="L4:M4"/>
    <mergeCell ref="N4:O4"/>
    <mergeCell ref="AB4:AC4"/>
    <mergeCell ref="AD4:AE4"/>
    <mergeCell ref="U4:V4"/>
    <mergeCell ref="W4:X4"/>
    <mergeCell ref="P4:P5"/>
    <mergeCell ref="S4:S5"/>
    <mergeCell ref="AA4:AA5"/>
  </mergeCells>
  <phoneticPr fontId="4"/>
  <printOptions horizontalCentered="1"/>
  <pageMargins bottom="0.47244094488188981" footer="0.11811023622047245" header="0.11811023622047245" left="0.23622047244094491" right="0.23622047244094491" top="0.35433070866141736"/>
  <pageSetup fitToHeight="0" orientation="landscape" paperSize="9" r:id="rId1" scale="23" useFirstPageNumber="1"/>
  <headerFooter>
    <oddFooter>&amp;C&amp;P/&amp;N&amp;RCopyright (c) Japan Exchange Group,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BO_DM0044</vt:lpstr>
      <vt:lpstr>BO_DM0044!Print_Titles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2018-03-27T02:21:43Z</cp:lastPrinted>
  <dcterms:modified xsi:type="dcterms:W3CDTF">2020-08-31T01:13:18Z</dcterms:modified>
</cp:coreProperties>
</file>