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81543831-44F8-4417-A32D-0E4F0272B39E}" xr6:coauthVersionLast="44" xr6:coauthVersionMax="44" xr10:uidLastSave="{00000000-0000-0000-0000-000000000000}"/>
  <bookViews>
    <workbookView xWindow="765" yWindow="0" windowWidth="18915" windowHeight="11445" xr2:uid="{00000000-000D-0000-FFFF-FFFF00000000}"/>
  </bookViews>
  <sheets>
    <sheet name="規模別・業種別（連結）" sheetId="1" r:id="rId1"/>
    <sheet name="市場別（単体）" sheetId="2" r:id="rId2"/>
  </sheets>
  <definedNames>
    <definedName name="_xlnm.Print_Titles" localSheetId="0">'規模別・業種別（連結）'!$1:$4</definedName>
    <definedName name="_xlnm.Print_Titles" localSheetId="1">'市場別（単体）'!$1:$5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2" l="1"/>
  <c r="K9" i="2"/>
  <c r="J9" i="2"/>
  <c r="I9" i="2"/>
  <c r="H9" i="2"/>
  <c r="G9" i="2"/>
  <c r="F9" i="2"/>
  <c r="E9" i="2"/>
  <c r="D9" i="2"/>
  <c r="L8" i="2"/>
  <c r="K8" i="2"/>
  <c r="J8" i="2"/>
  <c r="I8" i="2"/>
  <c r="H8" i="2"/>
  <c r="G8" i="2"/>
  <c r="F8" i="2"/>
  <c r="E8" i="2"/>
  <c r="D8" i="2"/>
  <c r="L7" i="2"/>
  <c r="K7" i="2"/>
  <c r="J7" i="2"/>
  <c r="I7" i="2"/>
  <c r="H7" i="2"/>
  <c r="G7" i="2"/>
  <c r="F7" i="2"/>
  <c r="E7" i="2"/>
  <c r="D7" i="2"/>
  <c r="L6" i="2"/>
  <c r="K6" i="2"/>
  <c r="J6" i="2"/>
  <c r="I6" i="2"/>
  <c r="H6" i="2"/>
  <c r="G6" i="2"/>
  <c r="F6" i="2"/>
  <c r="E6" i="2"/>
  <c r="D6" i="2"/>
  <c r="N164" i="1"/>
  <c r="M164" i="1"/>
  <c r="L164" i="1"/>
  <c r="K164" i="1"/>
  <c r="J164" i="1"/>
  <c r="I164" i="1"/>
  <c r="H164" i="1"/>
  <c r="G164" i="1"/>
  <c r="F164" i="1"/>
  <c r="N163" i="1"/>
  <c r="M163" i="1"/>
  <c r="L163" i="1"/>
  <c r="K163" i="1"/>
  <c r="J163" i="1"/>
  <c r="I163" i="1"/>
  <c r="H163" i="1"/>
  <c r="G163" i="1"/>
  <c r="F163" i="1"/>
  <c r="N162" i="1"/>
  <c r="M162" i="1"/>
  <c r="L162" i="1"/>
  <c r="K162" i="1"/>
  <c r="J162" i="1"/>
  <c r="I162" i="1"/>
  <c r="H162" i="1"/>
  <c r="G162" i="1"/>
  <c r="F162" i="1"/>
  <c r="N161" i="1"/>
  <c r="M161" i="1"/>
  <c r="L161" i="1"/>
  <c r="K161" i="1"/>
  <c r="J161" i="1"/>
  <c r="I161" i="1"/>
  <c r="H161" i="1"/>
  <c r="G161" i="1"/>
  <c r="F161" i="1"/>
  <c r="N160" i="1"/>
  <c r="M160" i="1"/>
  <c r="L160" i="1"/>
  <c r="K160" i="1"/>
  <c r="J160" i="1"/>
  <c r="I160" i="1"/>
  <c r="H160" i="1"/>
  <c r="G160" i="1"/>
  <c r="F160" i="1"/>
  <c r="N159" i="1"/>
  <c r="M159" i="1"/>
  <c r="L159" i="1"/>
  <c r="K159" i="1"/>
  <c r="J159" i="1"/>
  <c r="I159" i="1"/>
  <c r="H159" i="1"/>
  <c r="G159" i="1"/>
  <c r="F159" i="1"/>
  <c r="N158" i="1"/>
  <c r="M158" i="1"/>
  <c r="L158" i="1"/>
  <c r="K158" i="1"/>
  <c r="J158" i="1"/>
  <c r="I158" i="1"/>
  <c r="H158" i="1"/>
  <c r="G158" i="1"/>
  <c r="F158" i="1"/>
  <c r="N157" i="1"/>
  <c r="M157" i="1"/>
  <c r="L157" i="1"/>
  <c r="K157" i="1"/>
  <c r="J157" i="1"/>
  <c r="I157" i="1"/>
  <c r="H157" i="1"/>
  <c r="G157" i="1"/>
  <c r="F157" i="1"/>
  <c r="N156" i="1"/>
  <c r="M156" i="1"/>
  <c r="L156" i="1"/>
  <c r="K156" i="1"/>
  <c r="J156" i="1"/>
  <c r="I156" i="1"/>
  <c r="H156" i="1"/>
  <c r="G156" i="1"/>
  <c r="F156" i="1"/>
  <c r="N155" i="1"/>
  <c r="M155" i="1"/>
  <c r="L155" i="1"/>
  <c r="K155" i="1"/>
  <c r="J155" i="1"/>
  <c r="I155" i="1"/>
  <c r="H155" i="1"/>
  <c r="G155" i="1"/>
  <c r="F155" i="1"/>
  <c r="N154" i="1"/>
  <c r="M154" i="1"/>
  <c r="L154" i="1"/>
  <c r="K154" i="1"/>
  <c r="J154" i="1"/>
  <c r="I154" i="1"/>
  <c r="H154" i="1"/>
  <c r="G154" i="1"/>
  <c r="F154" i="1"/>
  <c r="N153" i="1"/>
  <c r="M153" i="1"/>
  <c r="L153" i="1"/>
  <c r="K153" i="1"/>
  <c r="J153" i="1"/>
  <c r="I153" i="1"/>
  <c r="H153" i="1"/>
  <c r="G153" i="1"/>
  <c r="F153" i="1"/>
  <c r="N152" i="1"/>
  <c r="M152" i="1"/>
  <c r="L152" i="1"/>
  <c r="K152" i="1"/>
  <c r="J152" i="1"/>
  <c r="I152" i="1"/>
  <c r="H152" i="1"/>
  <c r="G152" i="1"/>
  <c r="F152" i="1"/>
  <c r="N151" i="1"/>
  <c r="M151" i="1"/>
  <c r="L151" i="1"/>
  <c r="K151" i="1"/>
  <c r="J151" i="1"/>
  <c r="I151" i="1"/>
  <c r="H151" i="1"/>
  <c r="G151" i="1"/>
  <c r="F151" i="1"/>
  <c r="N150" i="1"/>
  <c r="M150" i="1"/>
  <c r="L150" i="1"/>
  <c r="K150" i="1"/>
  <c r="J150" i="1"/>
  <c r="I150" i="1"/>
  <c r="H150" i="1"/>
  <c r="G150" i="1"/>
  <c r="F150" i="1"/>
  <c r="N149" i="1"/>
  <c r="M149" i="1"/>
  <c r="L149" i="1"/>
  <c r="K149" i="1"/>
  <c r="J149" i="1"/>
  <c r="I149" i="1"/>
  <c r="H149" i="1"/>
  <c r="G149" i="1"/>
  <c r="F149" i="1"/>
  <c r="N148" i="1"/>
  <c r="M148" i="1"/>
  <c r="L148" i="1"/>
  <c r="K148" i="1"/>
  <c r="J148" i="1"/>
  <c r="I148" i="1"/>
  <c r="H148" i="1"/>
  <c r="G148" i="1"/>
  <c r="F148" i="1"/>
  <c r="N147" i="1"/>
  <c r="M147" i="1"/>
  <c r="L147" i="1"/>
  <c r="K147" i="1"/>
  <c r="J147" i="1"/>
  <c r="I147" i="1"/>
  <c r="H147" i="1"/>
  <c r="G147" i="1"/>
  <c r="F147" i="1"/>
  <c r="N146" i="1"/>
  <c r="M146" i="1"/>
  <c r="L146" i="1"/>
  <c r="K146" i="1"/>
  <c r="J146" i="1"/>
  <c r="I146" i="1"/>
  <c r="H146" i="1"/>
  <c r="G146" i="1"/>
  <c r="F146" i="1"/>
  <c r="N145" i="1"/>
  <c r="M145" i="1"/>
  <c r="L145" i="1"/>
  <c r="K145" i="1"/>
  <c r="J145" i="1"/>
  <c r="I145" i="1"/>
  <c r="H145" i="1"/>
  <c r="G145" i="1"/>
  <c r="F145" i="1"/>
  <c r="N144" i="1"/>
  <c r="M144" i="1"/>
  <c r="L144" i="1"/>
  <c r="K144" i="1"/>
  <c r="J144" i="1"/>
  <c r="I144" i="1"/>
  <c r="H144" i="1"/>
  <c r="G144" i="1"/>
  <c r="F144" i="1"/>
  <c r="N143" i="1"/>
  <c r="M143" i="1"/>
  <c r="L143" i="1"/>
  <c r="K143" i="1"/>
  <c r="J143" i="1"/>
  <c r="I143" i="1"/>
  <c r="H143" i="1"/>
  <c r="G143" i="1"/>
  <c r="F143" i="1"/>
  <c r="N142" i="1"/>
  <c r="M142" i="1"/>
  <c r="L142" i="1"/>
  <c r="K142" i="1"/>
  <c r="J142" i="1"/>
  <c r="I142" i="1"/>
  <c r="H142" i="1"/>
  <c r="G142" i="1"/>
  <c r="F142" i="1"/>
  <c r="N141" i="1"/>
  <c r="M141" i="1"/>
  <c r="L141" i="1"/>
  <c r="K141" i="1"/>
  <c r="J141" i="1"/>
  <c r="I141" i="1"/>
  <c r="H141" i="1"/>
  <c r="G141" i="1"/>
  <c r="F141" i="1"/>
  <c r="N140" i="1"/>
  <c r="M140" i="1"/>
  <c r="L140" i="1"/>
  <c r="K140" i="1"/>
  <c r="J140" i="1"/>
  <c r="I140" i="1"/>
  <c r="H140" i="1"/>
  <c r="G140" i="1"/>
  <c r="F140" i="1"/>
  <c r="N139" i="1"/>
  <c r="M139" i="1"/>
  <c r="L139" i="1"/>
  <c r="K139" i="1"/>
  <c r="J139" i="1"/>
  <c r="I139" i="1"/>
  <c r="H139" i="1"/>
  <c r="G139" i="1"/>
  <c r="F139" i="1"/>
  <c r="N138" i="1"/>
  <c r="M138" i="1"/>
  <c r="L138" i="1"/>
  <c r="K138" i="1"/>
  <c r="J138" i="1"/>
  <c r="I138" i="1"/>
  <c r="H138" i="1"/>
  <c r="G138" i="1"/>
  <c r="F138" i="1"/>
  <c r="N137" i="1"/>
  <c r="M137" i="1"/>
  <c r="L137" i="1"/>
  <c r="K137" i="1"/>
  <c r="J137" i="1"/>
  <c r="I137" i="1"/>
  <c r="H137" i="1"/>
  <c r="G137" i="1"/>
  <c r="F137" i="1"/>
  <c r="N136" i="1"/>
  <c r="M136" i="1"/>
  <c r="L136" i="1"/>
  <c r="K136" i="1"/>
  <c r="J136" i="1"/>
  <c r="I136" i="1"/>
  <c r="H136" i="1"/>
  <c r="G136" i="1"/>
  <c r="F136" i="1"/>
  <c r="N135" i="1"/>
  <c r="M135" i="1"/>
  <c r="L135" i="1"/>
  <c r="K135" i="1"/>
  <c r="J135" i="1"/>
  <c r="I135" i="1"/>
  <c r="H135" i="1"/>
  <c r="G135" i="1"/>
  <c r="F135" i="1"/>
  <c r="N134" i="1"/>
  <c r="M134" i="1"/>
  <c r="L134" i="1"/>
  <c r="K134" i="1"/>
  <c r="J134" i="1"/>
  <c r="I134" i="1"/>
  <c r="H134" i="1"/>
  <c r="G134" i="1"/>
  <c r="F134" i="1"/>
  <c r="N133" i="1"/>
  <c r="M133" i="1"/>
  <c r="L133" i="1"/>
  <c r="K133" i="1"/>
  <c r="J133" i="1"/>
  <c r="I133" i="1"/>
  <c r="H133" i="1"/>
  <c r="G133" i="1"/>
  <c r="F133" i="1"/>
  <c r="N132" i="1"/>
  <c r="M132" i="1"/>
  <c r="L132" i="1"/>
  <c r="K132" i="1"/>
  <c r="J132" i="1"/>
  <c r="I132" i="1"/>
  <c r="H132" i="1"/>
  <c r="G132" i="1"/>
  <c r="F132" i="1"/>
  <c r="N131" i="1"/>
  <c r="M131" i="1"/>
  <c r="L131" i="1"/>
  <c r="K131" i="1"/>
  <c r="J131" i="1"/>
  <c r="I131" i="1"/>
  <c r="H131" i="1"/>
  <c r="G131" i="1"/>
  <c r="F131" i="1"/>
  <c r="N130" i="1"/>
  <c r="M130" i="1"/>
  <c r="L130" i="1"/>
  <c r="K130" i="1"/>
  <c r="J130" i="1"/>
  <c r="I130" i="1"/>
  <c r="H130" i="1"/>
  <c r="G130" i="1"/>
  <c r="F130" i="1"/>
  <c r="N129" i="1"/>
  <c r="M129" i="1"/>
  <c r="L129" i="1"/>
  <c r="K129" i="1"/>
  <c r="J129" i="1"/>
  <c r="I129" i="1"/>
  <c r="H129" i="1"/>
  <c r="G129" i="1"/>
  <c r="F129" i="1"/>
  <c r="N128" i="1"/>
  <c r="M128" i="1"/>
  <c r="L128" i="1"/>
  <c r="K128" i="1"/>
  <c r="J128" i="1"/>
  <c r="I128" i="1"/>
  <c r="H128" i="1"/>
  <c r="G128" i="1"/>
  <c r="F128" i="1"/>
  <c r="N127" i="1"/>
  <c r="M127" i="1"/>
  <c r="L127" i="1"/>
  <c r="K127" i="1"/>
  <c r="J127" i="1"/>
  <c r="I127" i="1"/>
  <c r="H127" i="1"/>
  <c r="G127" i="1"/>
  <c r="F127" i="1"/>
  <c r="N126" i="1"/>
  <c r="M126" i="1"/>
  <c r="L126" i="1"/>
  <c r="K126" i="1"/>
  <c r="J126" i="1"/>
  <c r="I126" i="1"/>
  <c r="H126" i="1"/>
  <c r="G126" i="1"/>
  <c r="F126" i="1"/>
  <c r="N125" i="1"/>
  <c r="M125" i="1"/>
  <c r="L125" i="1"/>
  <c r="K125" i="1"/>
  <c r="J125" i="1"/>
  <c r="I125" i="1"/>
  <c r="H125" i="1"/>
  <c r="G125" i="1"/>
  <c r="F125" i="1"/>
  <c r="N124" i="1"/>
  <c r="M124" i="1"/>
  <c r="L124" i="1"/>
  <c r="K124" i="1"/>
  <c r="J124" i="1"/>
  <c r="I124" i="1"/>
  <c r="H124" i="1"/>
  <c r="G124" i="1"/>
  <c r="F124" i="1"/>
  <c r="N123" i="1"/>
  <c r="M123" i="1"/>
  <c r="L123" i="1"/>
  <c r="K123" i="1"/>
  <c r="J123" i="1"/>
  <c r="I123" i="1"/>
  <c r="H123" i="1"/>
  <c r="G123" i="1"/>
  <c r="F123" i="1"/>
  <c r="N122" i="1"/>
  <c r="M122" i="1"/>
  <c r="L122" i="1"/>
  <c r="K122" i="1"/>
  <c r="J122" i="1"/>
  <c r="I122" i="1"/>
  <c r="H122" i="1"/>
  <c r="G122" i="1"/>
  <c r="F122" i="1"/>
  <c r="N121" i="1"/>
  <c r="M121" i="1"/>
  <c r="L121" i="1"/>
  <c r="K121" i="1"/>
  <c r="J121" i="1"/>
  <c r="I121" i="1"/>
  <c r="H121" i="1"/>
  <c r="G121" i="1"/>
  <c r="F121" i="1"/>
  <c r="N120" i="1"/>
  <c r="M120" i="1"/>
  <c r="L120" i="1"/>
  <c r="K120" i="1"/>
  <c r="J120" i="1"/>
  <c r="I120" i="1"/>
  <c r="H120" i="1"/>
  <c r="G120" i="1"/>
  <c r="F120" i="1"/>
  <c r="N119" i="1"/>
  <c r="M119" i="1"/>
  <c r="L119" i="1"/>
  <c r="K119" i="1"/>
  <c r="J119" i="1"/>
  <c r="I119" i="1"/>
  <c r="H119" i="1"/>
  <c r="G119" i="1"/>
  <c r="F119" i="1"/>
  <c r="N118" i="1"/>
  <c r="M118" i="1"/>
  <c r="L118" i="1"/>
  <c r="K118" i="1"/>
  <c r="J118" i="1"/>
  <c r="I118" i="1"/>
  <c r="H118" i="1"/>
  <c r="G118" i="1"/>
  <c r="F118" i="1"/>
  <c r="N117" i="1"/>
  <c r="M117" i="1"/>
  <c r="L117" i="1"/>
  <c r="K117" i="1"/>
  <c r="J117" i="1"/>
  <c r="I117" i="1"/>
  <c r="H117" i="1"/>
  <c r="G117" i="1"/>
  <c r="F117" i="1"/>
  <c r="N116" i="1"/>
  <c r="M116" i="1"/>
  <c r="L116" i="1"/>
  <c r="K116" i="1"/>
  <c r="J116" i="1"/>
  <c r="I116" i="1"/>
  <c r="H116" i="1"/>
  <c r="G116" i="1"/>
  <c r="F116" i="1"/>
  <c r="N115" i="1"/>
  <c r="M115" i="1"/>
  <c r="L115" i="1"/>
  <c r="K115" i="1"/>
  <c r="J115" i="1"/>
  <c r="I115" i="1"/>
  <c r="H115" i="1"/>
  <c r="G115" i="1"/>
  <c r="F115" i="1"/>
  <c r="N114" i="1"/>
  <c r="M114" i="1"/>
  <c r="L114" i="1"/>
  <c r="K114" i="1"/>
  <c r="J114" i="1"/>
  <c r="I114" i="1"/>
  <c r="H114" i="1"/>
  <c r="G114" i="1"/>
  <c r="F114" i="1"/>
  <c r="N113" i="1"/>
  <c r="M113" i="1"/>
  <c r="L113" i="1"/>
  <c r="K113" i="1"/>
  <c r="J113" i="1"/>
  <c r="I113" i="1"/>
  <c r="H113" i="1"/>
  <c r="G113" i="1"/>
  <c r="F113" i="1"/>
  <c r="N112" i="1"/>
  <c r="M112" i="1"/>
  <c r="L112" i="1"/>
  <c r="K112" i="1"/>
  <c r="J112" i="1"/>
  <c r="I112" i="1"/>
  <c r="H112" i="1"/>
  <c r="G112" i="1"/>
  <c r="F112" i="1"/>
  <c r="N111" i="1"/>
  <c r="M111" i="1"/>
  <c r="L111" i="1"/>
  <c r="K111" i="1"/>
  <c r="J111" i="1"/>
  <c r="I111" i="1"/>
  <c r="H111" i="1"/>
  <c r="G111" i="1"/>
  <c r="F111" i="1"/>
  <c r="N110" i="1"/>
  <c r="M110" i="1"/>
  <c r="L110" i="1"/>
  <c r="K110" i="1"/>
  <c r="J110" i="1"/>
  <c r="I110" i="1"/>
  <c r="H110" i="1"/>
  <c r="G110" i="1"/>
  <c r="F110" i="1"/>
  <c r="N109" i="1"/>
  <c r="M109" i="1"/>
  <c r="L109" i="1"/>
  <c r="K109" i="1"/>
  <c r="J109" i="1"/>
  <c r="I109" i="1"/>
  <c r="H109" i="1"/>
  <c r="G109" i="1"/>
  <c r="F109" i="1"/>
  <c r="N108" i="1"/>
  <c r="M108" i="1"/>
  <c r="L108" i="1"/>
  <c r="K108" i="1"/>
  <c r="J108" i="1"/>
  <c r="I108" i="1"/>
  <c r="H108" i="1"/>
  <c r="G108" i="1"/>
  <c r="F108" i="1"/>
  <c r="N107" i="1"/>
  <c r="M107" i="1"/>
  <c r="L107" i="1"/>
  <c r="K107" i="1"/>
  <c r="J107" i="1"/>
  <c r="I107" i="1"/>
  <c r="H107" i="1"/>
  <c r="G107" i="1"/>
  <c r="F107" i="1"/>
  <c r="N106" i="1"/>
  <c r="M106" i="1"/>
  <c r="L106" i="1"/>
  <c r="K106" i="1"/>
  <c r="J106" i="1"/>
  <c r="I106" i="1"/>
  <c r="H106" i="1"/>
  <c r="G106" i="1"/>
  <c r="F106" i="1"/>
  <c r="N105" i="1"/>
  <c r="M105" i="1"/>
  <c r="L105" i="1"/>
  <c r="K105" i="1"/>
  <c r="J105" i="1"/>
  <c r="I105" i="1"/>
  <c r="H105" i="1"/>
  <c r="G105" i="1"/>
  <c r="F105" i="1"/>
  <c r="N104" i="1"/>
  <c r="M104" i="1"/>
  <c r="L104" i="1"/>
  <c r="K104" i="1"/>
  <c r="J104" i="1"/>
  <c r="I104" i="1"/>
  <c r="H104" i="1"/>
  <c r="G104" i="1"/>
  <c r="F104" i="1"/>
  <c r="N103" i="1"/>
  <c r="M103" i="1"/>
  <c r="L103" i="1"/>
  <c r="K103" i="1"/>
  <c r="J103" i="1"/>
  <c r="I103" i="1"/>
  <c r="H103" i="1"/>
  <c r="G103" i="1"/>
  <c r="F103" i="1"/>
  <c r="N102" i="1"/>
  <c r="M102" i="1"/>
  <c r="L102" i="1"/>
  <c r="K102" i="1"/>
  <c r="J102" i="1"/>
  <c r="I102" i="1"/>
  <c r="H102" i="1"/>
  <c r="G102" i="1"/>
  <c r="F102" i="1"/>
  <c r="N101" i="1"/>
  <c r="M101" i="1"/>
  <c r="L101" i="1"/>
  <c r="K101" i="1"/>
  <c r="J101" i="1"/>
  <c r="I101" i="1"/>
  <c r="H101" i="1"/>
  <c r="G101" i="1"/>
  <c r="F101" i="1"/>
  <c r="N100" i="1"/>
  <c r="M100" i="1"/>
  <c r="L100" i="1"/>
  <c r="K100" i="1"/>
  <c r="J100" i="1"/>
  <c r="I100" i="1"/>
  <c r="H100" i="1"/>
  <c r="G100" i="1"/>
  <c r="F100" i="1"/>
  <c r="N99" i="1"/>
  <c r="M99" i="1"/>
  <c r="L99" i="1"/>
  <c r="K99" i="1"/>
  <c r="J99" i="1"/>
  <c r="I99" i="1"/>
  <c r="H99" i="1"/>
  <c r="G99" i="1"/>
  <c r="F99" i="1"/>
  <c r="N98" i="1"/>
  <c r="M98" i="1"/>
  <c r="L98" i="1"/>
  <c r="K98" i="1"/>
  <c r="J98" i="1"/>
  <c r="I98" i="1"/>
  <c r="H98" i="1"/>
  <c r="G98" i="1"/>
  <c r="F98" i="1"/>
  <c r="N97" i="1"/>
  <c r="M97" i="1"/>
  <c r="L97" i="1"/>
  <c r="K97" i="1"/>
  <c r="J97" i="1"/>
  <c r="I97" i="1"/>
  <c r="H97" i="1"/>
  <c r="G97" i="1"/>
  <c r="F97" i="1"/>
  <c r="N96" i="1"/>
  <c r="M96" i="1"/>
  <c r="L96" i="1"/>
  <c r="K96" i="1"/>
  <c r="J96" i="1"/>
  <c r="I96" i="1"/>
  <c r="H96" i="1"/>
  <c r="G96" i="1"/>
  <c r="F96" i="1"/>
  <c r="N95" i="1"/>
  <c r="M95" i="1"/>
  <c r="L95" i="1"/>
  <c r="K95" i="1"/>
  <c r="J95" i="1"/>
  <c r="I95" i="1"/>
  <c r="H95" i="1"/>
  <c r="G95" i="1"/>
  <c r="F95" i="1"/>
  <c r="N94" i="1"/>
  <c r="M94" i="1"/>
  <c r="L94" i="1"/>
  <c r="K94" i="1"/>
  <c r="J94" i="1"/>
  <c r="I94" i="1"/>
  <c r="H94" i="1"/>
  <c r="G94" i="1"/>
  <c r="F94" i="1"/>
  <c r="N93" i="1"/>
  <c r="M93" i="1"/>
  <c r="L93" i="1"/>
  <c r="K93" i="1"/>
  <c r="J93" i="1"/>
  <c r="I93" i="1"/>
  <c r="H93" i="1"/>
  <c r="G93" i="1"/>
  <c r="F93" i="1"/>
  <c r="N92" i="1"/>
  <c r="M92" i="1"/>
  <c r="L92" i="1"/>
  <c r="K92" i="1"/>
  <c r="J92" i="1"/>
  <c r="I92" i="1"/>
  <c r="H92" i="1"/>
  <c r="G92" i="1"/>
  <c r="F92" i="1"/>
  <c r="N91" i="1"/>
  <c r="M91" i="1"/>
  <c r="L91" i="1"/>
  <c r="K91" i="1"/>
  <c r="J91" i="1"/>
  <c r="I91" i="1"/>
  <c r="H91" i="1"/>
  <c r="G91" i="1"/>
  <c r="F91" i="1"/>
  <c r="N90" i="1"/>
  <c r="M90" i="1"/>
  <c r="L90" i="1"/>
  <c r="K90" i="1"/>
  <c r="J90" i="1"/>
  <c r="I90" i="1"/>
  <c r="H90" i="1"/>
  <c r="G90" i="1"/>
  <c r="F90" i="1"/>
  <c r="N89" i="1"/>
  <c r="M89" i="1"/>
  <c r="L89" i="1"/>
  <c r="K89" i="1"/>
  <c r="J89" i="1"/>
  <c r="I89" i="1"/>
  <c r="H89" i="1"/>
  <c r="G89" i="1"/>
  <c r="F89" i="1"/>
  <c r="N88" i="1"/>
  <c r="M88" i="1"/>
  <c r="L88" i="1"/>
  <c r="K88" i="1"/>
  <c r="J88" i="1"/>
  <c r="I88" i="1"/>
  <c r="H88" i="1"/>
  <c r="G88" i="1"/>
  <c r="F88" i="1"/>
  <c r="N87" i="1"/>
  <c r="M87" i="1"/>
  <c r="L87" i="1"/>
  <c r="K87" i="1"/>
  <c r="J87" i="1"/>
  <c r="I87" i="1"/>
  <c r="H87" i="1"/>
  <c r="G87" i="1"/>
  <c r="F87" i="1"/>
  <c r="N86" i="1"/>
  <c r="M86" i="1"/>
  <c r="L86" i="1"/>
  <c r="K86" i="1"/>
  <c r="J86" i="1"/>
  <c r="I86" i="1"/>
  <c r="H86" i="1"/>
  <c r="G86" i="1"/>
  <c r="F86" i="1"/>
  <c r="N85" i="1"/>
  <c r="M85" i="1"/>
  <c r="L85" i="1"/>
  <c r="K85" i="1"/>
  <c r="J85" i="1"/>
  <c r="I85" i="1"/>
  <c r="H85" i="1"/>
  <c r="G85" i="1"/>
  <c r="F85" i="1"/>
  <c r="N84" i="1"/>
  <c r="M84" i="1"/>
  <c r="L84" i="1"/>
  <c r="K84" i="1"/>
  <c r="J84" i="1"/>
  <c r="I84" i="1"/>
  <c r="H84" i="1"/>
  <c r="G84" i="1"/>
  <c r="F84" i="1"/>
  <c r="N83" i="1"/>
  <c r="M83" i="1"/>
  <c r="L83" i="1"/>
  <c r="K83" i="1"/>
  <c r="J83" i="1"/>
  <c r="I83" i="1"/>
  <c r="H83" i="1"/>
  <c r="G83" i="1"/>
  <c r="F83" i="1"/>
  <c r="N82" i="1"/>
  <c r="M82" i="1"/>
  <c r="L82" i="1"/>
  <c r="K82" i="1"/>
  <c r="J82" i="1"/>
  <c r="I82" i="1"/>
  <c r="H82" i="1"/>
  <c r="G82" i="1"/>
  <c r="F82" i="1"/>
  <c r="N81" i="1"/>
  <c r="M81" i="1"/>
  <c r="L81" i="1"/>
  <c r="K81" i="1"/>
  <c r="J81" i="1"/>
  <c r="I81" i="1"/>
  <c r="H81" i="1"/>
  <c r="G81" i="1"/>
  <c r="F81" i="1"/>
  <c r="N80" i="1"/>
  <c r="M80" i="1"/>
  <c r="L80" i="1"/>
  <c r="K80" i="1"/>
  <c r="J80" i="1"/>
  <c r="I80" i="1"/>
  <c r="H80" i="1"/>
  <c r="G80" i="1"/>
  <c r="F80" i="1"/>
  <c r="N79" i="1"/>
  <c r="M79" i="1"/>
  <c r="L79" i="1"/>
  <c r="K79" i="1"/>
  <c r="J79" i="1"/>
  <c r="I79" i="1"/>
  <c r="H79" i="1"/>
  <c r="G79" i="1"/>
  <c r="F79" i="1"/>
  <c r="N78" i="1"/>
  <c r="M78" i="1"/>
  <c r="L78" i="1"/>
  <c r="K78" i="1"/>
  <c r="J78" i="1"/>
  <c r="I78" i="1"/>
  <c r="H78" i="1"/>
  <c r="G78" i="1"/>
  <c r="F78" i="1"/>
  <c r="N77" i="1"/>
  <c r="M77" i="1"/>
  <c r="L77" i="1"/>
  <c r="K77" i="1"/>
  <c r="J77" i="1"/>
  <c r="I77" i="1"/>
  <c r="H77" i="1"/>
  <c r="G77" i="1"/>
  <c r="F77" i="1"/>
  <c r="N76" i="1"/>
  <c r="M76" i="1"/>
  <c r="L76" i="1"/>
  <c r="K76" i="1"/>
  <c r="J76" i="1"/>
  <c r="I76" i="1"/>
  <c r="H76" i="1"/>
  <c r="G76" i="1"/>
  <c r="F76" i="1"/>
  <c r="N75" i="1"/>
  <c r="M75" i="1"/>
  <c r="L75" i="1"/>
  <c r="K75" i="1"/>
  <c r="J75" i="1"/>
  <c r="I75" i="1"/>
  <c r="H75" i="1"/>
  <c r="G75" i="1"/>
  <c r="F75" i="1"/>
  <c r="N74" i="1"/>
  <c r="M74" i="1"/>
  <c r="L74" i="1"/>
  <c r="K74" i="1"/>
  <c r="J74" i="1"/>
  <c r="I74" i="1"/>
  <c r="H74" i="1"/>
  <c r="G74" i="1"/>
  <c r="F74" i="1"/>
  <c r="N73" i="1"/>
  <c r="M73" i="1"/>
  <c r="L73" i="1"/>
  <c r="K73" i="1"/>
  <c r="J73" i="1"/>
  <c r="I73" i="1"/>
  <c r="H73" i="1"/>
  <c r="G73" i="1"/>
  <c r="F73" i="1"/>
  <c r="N72" i="1"/>
  <c r="M72" i="1"/>
  <c r="L72" i="1"/>
  <c r="K72" i="1"/>
  <c r="J72" i="1"/>
  <c r="I72" i="1"/>
  <c r="H72" i="1"/>
  <c r="G72" i="1"/>
  <c r="F72" i="1"/>
  <c r="N71" i="1"/>
  <c r="M71" i="1"/>
  <c r="L71" i="1"/>
  <c r="K71" i="1"/>
  <c r="J71" i="1"/>
  <c r="I71" i="1"/>
  <c r="H71" i="1"/>
  <c r="G71" i="1"/>
  <c r="F71" i="1"/>
  <c r="N70" i="1"/>
  <c r="M70" i="1"/>
  <c r="L70" i="1"/>
  <c r="K70" i="1"/>
  <c r="J70" i="1"/>
  <c r="I70" i="1"/>
  <c r="H70" i="1"/>
  <c r="G70" i="1"/>
  <c r="F70" i="1"/>
  <c r="N69" i="1"/>
  <c r="M69" i="1"/>
  <c r="L69" i="1"/>
  <c r="K69" i="1"/>
  <c r="J69" i="1"/>
  <c r="I69" i="1"/>
  <c r="H69" i="1"/>
  <c r="G69" i="1"/>
  <c r="F69" i="1"/>
  <c r="N68" i="1"/>
  <c r="M68" i="1"/>
  <c r="L68" i="1"/>
  <c r="K68" i="1"/>
  <c r="J68" i="1"/>
  <c r="I68" i="1"/>
  <c r="H68" i="1"/>
  <c r="G68" i="1"/>
  <c r="F68" i="1"/>
  <c r="N67" i="1"/>
  <c r="M67" i="1"/>
  <c r="L67" i="1"/>
  <c r="K67" i="1"/>
  <c r="J67" i="1"/>
  <c r="I67" i="1"/>
  <c r="H67" i="1"/>
  <c r="G67" i="1"/>
  <c r="F67" i="1"/>
  <c r="N66" i="1"/>
  <c r="M66" i="1"/>
  <c r="L66" i="1"/>
  <c r="K66" i="1"/>
  <c r="J66" i="1"/>
  <c r="I66" i="1"/>
  <c r="H66" i="1"/>
  <c r="G66" i="1"/>
  <c r="F66" i="1"/>
  <c r="N65" i="1"/>
  <c r="M65" i="1"/>
  <c r="L65" i="1"/>
  <c r="K65" i="1"/>
  <c r="J65" i="1"/>
  <c r="I65" i="1"/>
  <c r="H65" i="1"/>
  <c r="G65" i="1"/>
  <c r="F65" i="1"/>
  <c r="N64" i="1"/>
  <c r="M64" i="1"/>
  <c r="L64" i="1"/>
  <c r="K64" i="1"/>
  <c r="J64" i="1"/>
  <c r="I64" i="1"/>
  <c r="H64" i="1"/>
  <c r="G64" i="1"/>
  <c r="F64" i="1"/>
  <c r="N63" i="1"/>
  <c r="M63" i="1"/>
  <c r="L63" i="1"/>
  <c r="K63" i="1"/>
  <c r="J63" i="1"/>
  <c r="I63" i="1"/>
  <c r="H63" i="1"/>
  <c r="G63" i="1"/>
  <c r="F63" i="1"/>
  <c r="N62" i="1"/>
  <c r="M62" i="1"/>
  <c r="L62" i="1"/>
  <c r="K62" i="1"/>
  <c r="J62" i="1"/>
  <c r="I62" i="1"/>
  <c r="H62" i="1"/>
  <c r="G62" i="1"/>
  <c r="F62" i="1"/>
  <c r="N61" i="1"/>
  <c r="M61" i="1"/>
  <c r="L61" i="1"/>
  <c r="K61" i="1"/>
  <c r="J61" i="1"/>
  <c r="I61" i="1"/>
  <c r="H61" i="1"/>
  <c r="G61" i="1"/>
  <c r="F61" i="1"/>
  <c r="N60" i="1"/>
  <c r="M60" i="1"/>
  <c r="L60" i="1"/>
  <c r="K60" i="1"/>
  <c r="J60" i="1"/>
  <c r="I60" i="1"/>
  <c r="H60" i="1"/>
  <c r="G60" i="1"/>
  <c r="F60" i="1"/>
  <c r="N59" i="1"/>
  <c r="M59" i="1"/>
  <c r="L59" i="1"/>
  <c r="K59" i="1"/>
  <c r="J59" i="1"/>
  <c r="I59" i="1"/>
  <c r="H59" i="1"/>
  <c r="G59" i="1"/>
  <c r="F59" i="1"/>
  <c r="N58" i="1"/>
  <c r="M58" i="1"/>
  <c r="L58" i="1"/>
  <c r="K58" i="1"/>
  <c r="J58" i="1"/>
  <c r="I58" i="1"/>
  <c r="H58" i="1"/>
  <c r="G58" i="1"/>
  <c r="F58" i="1"/>
  <c r="N57" i="1"/>
  <c r="M57" i="1"/>
  <c r="L57" i="1"/>
  <c r="K57" i="1"/>
  <c r="J57" i="1"/>
  <c r="I57" i="1"/>
  <c r="H57" i="1"/>
  <c r="G57" i="1"/>
  <c r="F57" i="1"/>
  <c r="N56" i="1"/>
  <c r="M56" i="1"/>
  <c r="L56" i="1"/>
  <c r="K56" i="1"/>
  <c r="J56" i="1"/>
  <c r="I56" i="1"/>
  <c r="H56" i="1"/>
  <c r="G56" i="1"/>
  <c r="F56" i="1"/>
  <c r="N55" i="1"/>
  <c r="M55" i="1"/>
  <c r="L55" i="1"/>
  <c r="K55" i="1"/>
  <c r="J55" i="1"/>
  <c r="I55" i="1"/>
  <c r="H55" i="1"/>
  <c r="G55" i="1"/>
  <c r="F55" i="1"/>
  <c r="N54" i="1"/>
  <c r="M54" i="1"/>
  <c r="L54" i="1"/>
  <c r="K54" i="1"/>
  <c r="J54" i="1"/>
  <c r="I54" i="1"/>
  <c r="H54" i="1"/>
  <c r="G54" i="1"/>
  <c r="F54" i="1"/>
  <c r="N53" i="1"/>
  <c r="M53" i="1"/>
  <c r="L53" i="1"/>
  <c r="K53" i="1"/>
  <c r="J53" i="1"/>
  <c r="I53" i="1"/>
  <c r="H53" i="1"/>
  <c r="G53" i="1"/>
  <c r="F53" i="1"/>
  <c r="N52" i="1"/>
  <c r="M52" i="1"/>
  <c r="L52" i="1"/>
  <c r="K52" i="1"/>
  <c r="J52" i="1"/>
  <c r="I52" i="1"/>
  <c r="H52" i="1"/>
  <c r="G52" i="1"/>
  <c r="F52" i="1"/>
  <c r="N51" i="1"/>
  <c r="M51" i="1"/>
  <c r="L51" i="1"/>
  <c r="K51" i="1"/>
  <c r="J51" i="1"/>
  <c r="I51" i="1"/>
  <c r="H51" i="1"/>
  <c r="G51" i="1"/>
  <c r="F51" i="1"/>
  <c r="N50" i="1"/>
  <c r="M50" i="1"/>
  <c r="L50" i="1"/>
  <c r="K50" i="1"/>
  <c r="J50" i="1"/>
  <c r="I50" i="1"/>
  <c r="H50" i="1"/>
  <c r="G50" i="1"/>
  <c r="F50" i="1"/>
  <c r="N49" i="1"/>
  <c r="M49" i="1"/>
  <c r="L49" i="1"/>
  <c r="K49" i="1"/>
  <c r="J49" i="1"/>
  <c r="I49" i="1"/>
  <c r="H49" i="1"/>
  <c r="G49" i="1"/>
  <c r="F49" i="1"/>
  <c r="N48" i="1"/>
  <c r="M48" i="1"/>
  <c r="L48" i="1"/>
  <c r="K48" i="1"/>
  <c r="J48" i="1"/>
  <c r="I48" i="1"/>
  <c r="H48" i="1"/>
  <c r="G48" i="1"/>
  <c r="F48" i="1"/>
  <c r="N47" i="1"/>
  <c r="M47" i="1"/>
  <c r="L47" i="1"/>
  <c r="K47" i="1"/>
  <c r="J47" i="1"/>
  <c r="I47" i="1"/>
  <c r="H47" i="1"/>
  <c r="G47" i="1"/>
  <c r="F47" i="1"/>
  <c r="N46" i="1"/>
  <c r="M46" i="1"/>
  <c r="L46" i="1"/>
  <c r="K46" i="1"/>
  <c r="J46" i="1"/>
  <c r="I46" i="1"/>
  <c r="H46" i="1"/>
  <c r="G46" i="1"/>
  <c r="F46" i="1"/>
  <c r="N45" i="1"/>
  <c r="M45" i="1"/>
  <c r="L45" i="1"/>
  <c r="K45" i="1"/>
  <c r="J45" i="1"/>
  <c r="I45" i="1"/>
  <c r="H45" i="1"/>
  <c r="G45" i="1"/>
  <c r="F45" i="1"/>
  <c r="N44" i="1"/>
  <c r="M44" i="1"/>
  <c r="L44" i="1"/>
  <c r="K44" i="1"/>
  <c r="J44" i="1"/>
  <c r="I44" i="1"/>
  <c r="H44" i="1"/>
  <c r="G44" i="1"/>
  <c r="F44" i="1"/>
  <c r="N43" i="1"/>
  <c r="M43" i="1"/>
  <c r="L43" i="1"/>
  <c r="K43" i="1"/>
  <c r="J43" i="1"/>
  <c r="I43" i="1"/>
  <c r="H43" i="1"/>
  <c r="G43" i="1"/>
  <c r="F43" i="1"/>
  <c r="N42" i="1"/>
  <c r="M42" i="1"/>
  <c r="L42" i="1"/>
  <c r="K42" i="1"/>
  <c r="J42" i="1"/>
  <c r="I42" i="1"/>
  <c r="H42" i="1"/>
  <c r="G42" i="1"/>
  <c r="F42" i="1"/>
  <c r="N41" i="1"/>
  <c r="M41" i="1"/>
  <c r="L41" i="1"/>
  <c r="K41" i="1"/>
  <c r="J41" i="1"/>
  <c r="I41" i="1"/>
  <c r="H41" i="1"/>
  <c r="G41" i="1"/>
  <c r="F41" i="1"/>
  <c r="N40" i="1"/>
  <c r="M40" i="1"/>
  <c r="L40" i="1"/>
  <c r="K40" i="1"/>
  <c r="J40" i="1"/>
  <c r="I40" i="1"/>
  <c r="H40" i="1"/>
  <c r="G40" i="1"/>
  <c r="F40" i="1"/>
  <c r="N39" i="1"/>
  <c r="M39" i="1"/>
  <c r="L39" i="1"/>
  <c r="K39" i="1"/>
  <c r="J39" i="1"/>
  <c r="I39" i="1"/>
  <c r="H39" i="1"/>
  <c r="G39" i="1"/>
  <c r="F39" i="1"/>
  <c r="N38" i="1"/>
  <c r="M38" i="1"/>
  <c r="L38" i="1"/>
  <c r="K38" i="1"/>
  <c r="J38" i="1"/>
  <c r="I38" i="1"/>
  <c r="H38" i="1"/>
  <c r="G38" i="1"/>
  <c r="F38" i="1"/>
  <c r="N37" i="1"/>
  <c r="M37" i="1"/>
  <c r="L37" i="1"/>
  <c r="K37" i="1"/>
  <c r="J37" i="1"/>
  <c r="I37" i="1"/>
  <c r="H37" i="1"/>
  <c r="G37" i="1"/>
  <c r="F37" i="1"/>
  <c r="N36" i="1"/>
  <c r="M36" i="1"/>
  <c r="L36" i="1"/>
  <c r="K36" i="1"/>
  <c r="J36" i="1"/>
  <c r="I36" i="1"/>
  <c r="H36" i="1"/>
  <c r="G36" i="1"/>
  <c r="F36" i="1"/>
  <c r="N35" i="1"/>
  <c r="M35" i="1"/>
  <c r="L35" i="1"/>
  <c r="K35" i="1"/>
  <c r="J35" i="1"/>
  <c r="I35" i="1"/>
  <c r="H35" i="1"/>
  <c r="G35" i="1"/>
  <c r="F35" i="1"/>
  <c r="N34" i="1"/>
  <c r="M34" i="1"/>
  <c r="L34" i="1"/>
  <c r="K34" i="1"/>
  <c r="J34" i="1"/>
  <c r="I34" i="1"/>
  <c r="H34" i="1"/>
  <c r="G34" i="1"/>
  <c r="F34" i="1"/>
  <c r="N33" i="1"/>
  <c r="M33" i="1"/>
  <c r="L33" i="1"/>
  <c r="K33" i="1"/>
  <c r="J33" i="1"/>
  <c r="I33" i="1"/>
  <c r="H33" i="1"/>
  <c r="G33" i="1"/>
  <c r="F33" i="1"/>
  <c r="N32" i="1"/>
  <c r="M32" i="1"/>
  <c r="L32" i="1"/>
  <c r="K32" i="1"/>
  <c r="J32" i="1"/>
  <c r="I32" i="1"/>
  <c r="H32" i="1"/>
  <c r="G32" i="1"/>
  <c r="F32" i="1"/>
  <c r="N31" i="1"/>
  <c r="M31" i="1"/>
  <c r="L31" i="1"/>
  <c r="K31" i="1"/>
  <c r="J31" i="1"/>
  <c r="I31" i="1"/>
  <c r="H31" i="1"/>
  <c r="G31" i="1"/>
  <c r="F31" i="1"/>
  <c r="N30" i="1"/>
  <c r="M30" i="1"/>
  <c r="L30" i="1"/>
  <c r="K30" i="1"/>
  <c r="J30" i="1"/>
  <c r="I30" i="1"/>
  <c r="H30" i="1"/>
  <c r="G30" i="1"/>
  <c r="F30" i="1"/>
  <c r="N29" i="1"/>
  <c r="M29" i="1"/>
  <c r="L29" i="1"/>
  <c r="K29" i="1"/>
  <c r="J29" i="1"/>
  <c r="I29" i="1"/>
  <c r="H29" i="1"/>
  <c r="G29" i="1"/>
  <c r="F29" i="1"/>
  <c r="N28" i="1"/>
  <c r="M28" i="1"/>
  <c r="L28" i="1"/>
  <c r="K28" i="1"/>
  <c r="J28" i="1"/>
  <c r="I28" i="1"/>
  <c r="H28" i="1"/>
  <c r="G28" i="1"/>
  <c r="F28" i="1"/>
  <c r="N27" i="1"/>
  <c r="M27" i="1"/>
  <c r="L27" i="1"/>
  <c r="K27" i="1"/>
  <c r="J27" i="1"/>
  <c r="I27" i="1"/>
  <c r="H27" i="1"/>
  <c r="G27" i="1"/>
  <c r="F27" i="1"/>
  <c r="N26" i="1"/>
  <c r="M26" i="1"/>
  <c r="L26" i="1"/>
  <c r="K26" i="1"/>
  <c r="J26" i="1"/>
  <c r="I26" i="1"/>
  <c r="H26" i="1"/>
  <c r="G26" i="1"/>
  <c r="F26" i="1"/>
  <c r="N25" i="1"/>
  <c r="M25" i="1"/>
  <c r="L25" i="1"/>
  <c r="K25" i="1"/>
  <c r="J25" i="1"/>
  <c r="I25" i="1"/>
  <c r="H25" i="1"/>
  <c r="G25" i="1"/>
  <c r="F25" i="1"/>
  <c r="N24" i="1"/>
  <c r="M24" i="1"/>
  <c r="L24" i="1"/>
  <c r="K24" i="1"/>
  <c r="J24" i="1"/>
  <c r="I24" i="1"/>
  <c r="H24" i="1"/>
  <c r="G24" i="1"/>
  <c r="F24" i="1"/>
  <c r="N23" i="1"/>
  <c r="M23" i="1"/>
  <c r="L23" i="1"/>
  <c r="K23" i="1"/>
  <c r="J23" i="1"/>
  <c r="I23" i="1"/>
  <c r="H23" i="1"/>
  <c r="G23" i="1"/>
  <c r="F23" i="1"/>
  <c r="N22" i="1"/>
  <c r="M22" i="1"/>
  <c r="L22" i="1"/>
  <c r="K22" i="1"/>
  <c r="J22" i="1"/>
  <c r="I22" i="1"/>
  <c r="H22" i="1"/>
  <c r="G22" i="1"/>
  <c r="F22" i="1"/>
  <c r="N21" i="1"/>
  <c r="M21" i="1"/>
  <c r="L21" i="1"/>
  <c r="K21" i="1"/>
  <c r="J21" i="1"/>
  <c r="I21" i="1"/>
  <c r="H21" i="1"/>
  <c r="G21" i="1"/>
  <c r="F21" i="1"/>
  <c r="N20" i="1"/>
  <c r="M20" i="1"/>
  <c r="L20" i="1"/>
  <c r="K20" i="1"/>
  <c r="J20" i="1"/>
  <c r="I20" i="1"/>
  <c r="H20" i="1"/>
  <c r="G20" i="1"/>
  <c r="F20" i="1"/>
  <c r="N19" i="1"/>
  <c r="M19" i="1"/>
  <c r="L19" i="1"/>
  <c r="K19" i="1"/>
  <c r="J19" i="1"/>
  <c r="I19" i="1"/>
  <c r="H19" i="1"/>
  <c r="G19" i="1"/>
  <c r="F19" i="1"/>
  <c r="N18" i="1"/>
  <c r="M18" i="1"/>
  <c r="L18" i="1"/>
  <c r="K18" i="1"/>
  <c r="J18" i="1"/>
  <c r="I18" i="1"/>
  <c r="H18" i="1"/>
  <c r="G18" i="1"/>
  <c r="F18" i="1"/>
  <c r="N17" i="1"/>
  <c r="M17" i="1"/>
  <c r="L17" i="1"/>
  <c r="K17" i="1"/>
  <c r="J17" i="1"/>
  <c r="I17" i="1"/>
  <c r="H17" i="1"/>
  <c r="G17" i="1"/>
  <c r="F17" i="1"/>
  <c r="N16" i="1"/>
  <c r="M16" i="1"/>
  <c r="L16" i="1"/>
  <c r="K16" i="1"/>
  <c r="J16" i="1"/>
  <c r="I16" i="1"/>
  <c r="H16" i="1"/>
  <c r="G16" i="1"/>
  <c r="F16" i="1"/>
  <c r="N15" i="1"/>
  <c r="M15" i="1"/>
  <c r="L15" i="1"/>
  <c r="K15" i="1"/>
  <c r="J15" i="1"/>
  <c r="I15" i="1"/>
  <c r="H15" i="1"/>
  <c r="G15" i="1"/>
  <c r="F15" i="1"/>
  <c r="N14" i="1"/>
  <c r="M14" i="1"/>
  <c r="L14" i="1"/>
  <c r="K14" i="1"/>
  <c r="J14" i="1"/>
  <c r="I14" i="1"/>
  <c r="H14" i="1"/>
  <c r="G14" i="1"/>
  <c r="F14" i="1"/>
  <c r="N13" i="1"/>
  <c r="M13" i="1"/>
  <c r="L13" i="1"/>
  <c r="K13" i="1"/>
  <c r="J13" i="1"/>
  <c r="I13" i="1"/>
  <c r="H13" i="1"/>
  <c r="G13" i="1"/>
  <c r="F13" i="1"/>
  <c r="N12" i="1"/>
  <c r="M12" i="1"/>
  <c r="L12" i="1"/>
  <c r="K12" i="1"/>
  <c r="J12" i="1"/>
  <c r="I12" i="1"/>
  <c r="H12" i="1"/>
  <c r="G12" i="1"/>
  <c r="F12" i="1"/>
  <c r="N11" i="1"/>
  <c r="M11" i="1"/>
  <c r="L11" i="1"/>
  <c r="K11" i="1"/>
  <c r="J11" i="1"/>
  <c r="I11" i="1"/>
  <c r="H11" i="1"/>
  <c r="G11" i="1"/>
  <c r="F11" i="1"/>
  <c r="N10" i="1"/>
  <c r="M10" i="1"/>
  <c r="L10" i="1"/>
  <c r="K10" i="1"/>
  <c r="J10" i="1"/>
  <c r="I10" i="1"/>
  <c r="H10" i="1"/>
  <c r="G10" i="1"/>
  <c r="F10" i="1"/>
  <c r="N9" i="1"/>
  <c r="M9" i="1"/>
  <c r="L9" i="1"/>
  <c r="K9" i="1"/>
  <c r="J9" i="1"/>
  <c r="I9" i="1"/>
  <c r="H9" i="1"/>
  <c r="G9" i="1"/>
  <c r="F9" i="1"/>
  <c r="N8" i="1"/>
  <c r="M8" i="1"/>
  <c r="L8" i="1"/>
  <c r="K8" i="1"/>
  <c r="J8" i="1"/>
  <c r="I8" i="1"/>
  <c r="H8" i="1"/>
  <c r="G8" i="1"/>
  <c r="F8" i="1"/>
  <c r="N7" i="1"/>
  <c r="M7" i="1"/>
  <c r="L7" i="1"/>
  <c r="K7" i="1"/>
  <c r="J7" i="1"/>
  <c r="I7" i="1"/>
  <c r="H7" i="1"/>
  <c r="G7" i="1"/>
  <c r="F7" i="1"/>
  <c r="N6" i="1"/>
  <c r="M6" i="1"/>
  <c r="L6" i="1"/>
  <c r="K6" i="1"/>
  <c r="J6" i="1"/>
  <c r="I6" i="1"/>
  <c r="H6" i="1"/>
  <c r="G6" i="1"/>
  <c r="F6" i="1"/>
  <c r="N5" i="1"/>
  <c r="M5" i="1"/>
  <c r="L5" i="1"/>
  <c r="K5" i="1"/>
  <c r="J5" i="1"/>
  <c r="I5" i="1"/>
  <c r="H5" i="1"/>
  <c r="G5" i="1"/>
  <c r="F5" i="1"/>
</calcChain>
</file>

<file path=xl/sharedStrings.xml><?xml version="1.0" encoding="utf-8"?>
<sst xmlns="http://schemas.openxmlformats.org/spreadsheetml/2006/main" count="871" uniqueCount="141">
  <si>
    <t>規模別・業種別　PER・PBR（連結）</t>
    <rPh sb="0" eb="3">
      <t>キボベツ</t>
    </rPh>
    <rPh sb="4" eb="6">
      <t>ギョウシュ</t>
    </rPh>
    <rPh sb="6" eb="7">
      <t>ベツ</t>
    </rPh>
    <rPh sb="16" eb="18">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</si>
  <si>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</si>
  <si>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</si>
  <si>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</si>
  <si>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sb="0" eb="2">
      <t>ネンゲツ</t>
    </rPh>
    <phoneticPr fontId="3"/>
  </si>
  <si>
    <t>市場区分名</t>
  </si>
  <si>
    <t>Section</t>
    <phoneticPr fontId="6"/>
  </si>
  <si>
    <t>種別</t>
    <rPh sb="0" eb="2">
      <t>シュベツ</t>
    </rPh>
    <phoneticPr fontId="3"/>
  </si>
  <si>
    <t>Industry</t>
    <phoneticPr fontId="2"/>
  </si>
  <si>
    <t>会社数</t>
    <rPh sb="0" eb="2">
      <t>カイシャ</t>
    </rPh>
    <rPh sb="2" eb="3">
      <t>スウ</t>
    </rPh>
    <phoneticPr fontId="3"/>
  </si>
  <si>
    <t>単純＿PER（倍）</t>
    <rPh sb="0" eb="2">
      <t>タンジュン</t>
    </rPh>
    <rPh sb="7" eb="8">
      <t>バイ</t>
    </rPh>
    <phoneticPr fontId="3"/>
  </si>
  <si>
    <t>単純＿PBR（倍）</t>
    <rPh sb="0" eb="2">
      <t>タンジュン</t>
    </rPh>
    <rPh sb="7" eb="8">
      <t>バイ</t>
    </rPh>
    <phoneticPr fontId="3"/>
  </si>
  <si>
    <t>単純＿1株当たり
当期純利益（円）</t>
    <rPh sb="0" eb="2">
      <t>タンジュン</t>
    </rPh>
    <rPh sb="4" eb="5">
      <t>カブ</t>
    </rPh>
    <rPh sb="5" eb="6">
      <t>ア</t>
    </rPh>
    <rPh sb="9" eb="11">
      <t>トウキ</t>
    </rPh>
    <rPh sb="11" eb="14">
      <t>ジュンリエキ</t>
    </rPh>
    <rPh sb="15" eb="16">
      <t>エン</t>
    </rPh>
    <phoneticPr fontId="3"/>
  </si>
  <si>
    <t>単純＿1株当たり
純資産（円）</t>
    <rPh sb="0" eb="2">
      <t>タンジュン</t>
    </rPh>
    <rPh sb="4" eb="5">
      <t>カブ</t>
    </rPh>
    <rPh sb="5" eb="6">
      <t>ア</t>
    </rPh>
    <rPh sb="9" eb="12">
      <t>ジュンシサン</t>
    </rPh>
    <rPh sb="13" eb="14">
      <t>エン</t>
    </rPh>
    <phoneticPr fontId="3"/>
  </si>
  <si>
    <t>加重＿PER（倍）</t>
    <rPh sb="0" eb="2">
      <t>カジュウ</t>
    </rPh>
    <rPh sb="7" eb="8">
      <t>バイ</t>
    </rPh>
    <phoneticPr fontId="3"/>
  </si>
  <si>
    <t>加重＿PBR（倍）</t>
    <rPh sb="0" eb="2">
      <t>カジュウ</t>
    </rPh>
    <rPh sb="7" eb="8">
      <t>バイ</t>
    </rPh>
    <phoneticPr fontId="3"/>
  </si>
  <si>
    <t>加重＿親会社株主に帰属する
当期純利益合計（円）</t>
    <rPh sb="0" eb="2">
      <t>カジュウ</t>
    </rPh>
    <rPh sb="3" eb="6">
      <t>オヤガイシャ</t>
    </rPh>
    <rPh sb="6" eb="8">
      <t>カブヌシ</t>
    </rPh>
    <rPh sb="9" eb="11">
      <t>キゾク</t>
    </rPh>
    <rPh sb="14" eb="16">
      <t>トウキ</t>
    </rPh>
    <rPh sb="16" eb="19">
      <t>ジュンリエキ</t>
    </rPh>
    <rPh sb="19" eb="21">
      <t>ゴウケイ</t>
    </rPh>
    <rPh sb="22" eb="23">
      <t>エン</t>
    </rPh>
    <phoneticPr fontId="3"/>
  </si>
  <si>
    <t>加重＿純資産合計（円）</t>
    <rPh sb="0" eb="2">
      <t>カジュウ</t>
    </rPh>
    <rPh sb="3" eb="6">
      <t>ジュンシサン</t>
    </rPh>
    <rPh sb="6" eb="8">
      <t>ゴウケイ</t>
    </rPh>
    <rPh sb="9" eb="10">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</si>
  <si>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</si>
  <si>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</si>
  <si>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</si>
  <si>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</si>
  <si>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</si>
  <si>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</si>
  <si>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</si>
  <si>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</si>
  <si>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</si>
  <si>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</si>
  <si>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sb="0" eb="2">
      <t>シジョウ</t>
    </rPh>
    <rPh sb="2" eb="3">
      <t>ベツ</t>
    </rPh>
    <rPh sb="12" eb="14">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</si>
  <si>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</si>
  <si>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</si>
  <si>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</si>
  <si>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</si>
  <si>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</si>
  <si>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</si>
  <si>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</si>
  <si>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</si>
  <si>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</si>
  <si>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</si>
  <si>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</si>
  <si>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</si>
  <si>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</si>
  <si>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</si>
  <si>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</si>
  <si>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</si>
  <si>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</si>
  <si>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</si>
  <si>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</si>
  <si>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</si>
  <si>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3.本表の作成に当たって使用した親会社株主に帰属する当期純利益及び純資産は、2019年5月期～2020年4月期の確定数値である。</t>
  </si>
  <si>
    <t xml:space="preserve">       3.Figures of Net Income and Net Assets are based on the fixed figures during the term from May of 2019 to April of 2020.</t>
  </si>
  <si>
    <t xml:space="preserve">    2.本表の作成に当たって使用した当期純利益及び純資産は、2019年5月期～2020年4月期の確定数値である。</t>
  </si>
  <si>
    <t xml:space="preserve">         the term from May of 2019 to April of 2020.</t>
  </si>
  <si>
    <t>2020/07</t>
  </si>
  <si>
    <t>市場一部</t>
  </si>
  <si>
    <t>1st Section</t>
  </si>
  <si>
    <t>総合</t>
  </si>
  <si>
    <t>Composite</t>
  </si>
  <si>
    <t>　　　　　 大型株</t>
  </si>
  <si>
    <t xml:space="preserve">　　　　 Large </t>
  </si>
  <si>
    <t>　　　　　 中型株</t>
  </si>
  <si>
    <t xml:space="preserve">　　　　 Medium </t>
  </si>
  <si>
    <t>　　　　　 小型株</t>
  </si>
  <si>
    <t xml:space="preserve">　　　　 Small </t>
  </si>
  <si>
    <t>総合（金融業を除く）</t>
  </si>
  <si>
    <t>Non-Financial</t>
  </si>
  <si>
    <t>　　　　　 製造業</t>
  </si>
  <si>
    <t xml:space="preserve">　　　　 Manufacturing </t>
  </si>
  <si>
    <t>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</si>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</sst>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49" fontId="1" fillId="0" borderId="0" xfId="0" applyNumberFormat="1" applyFont="1" applyFill="1" applyBorder="1" applyAlignment="1">
      <alignment vertical="center"/>
    </xf>
    <xf numFmtId="0" fontId="4" fillId="0" borderId="0" xfId="0" applyFont="1" applyFill="1" applyBorder="1">
      <alignment vertical="center"/>
    </xf>
    <xf numFmtId="0" fontId="7" fillId="0" borderId="0" xfId="0" applyFont="1">
      <alignment vertical="center"/>
    </xf>
    <xf numFmtId="49" fontId="7" fillId="0" borderId="0" xfId="0" applyNumberFormat="1" applyFont="1">
      <alignment vertical="center"/>
    </xf>
    <xf numFmtId="0" fontId="8" fillId="0" borderId="0" xfId="0" applyFont="1">
      <alignment vertical="center"/>
    </xf>
    <xf numFmtId="49" fontId="4" fillId="0" borderId="1" xfId="0" applyNumberFormat="1" applyFont="1" applyFill="1" applyBorder="1" applyAlignment="1">
      <alignment vertical="center"/>
    </xf>
    <xf numFmtId="49" fontId="4" fillId="0" borderId="2" xfId="0" applyNumberFormat="1" applyFont="1" applyFill="1" applyBorder="1" applyAlignment="1">
      <alignment horizontal="center"/>
    </xf>
    <xf numFmtId="49" fontId="4" fillId="0" borderId="2" xfId="0" applyNumberFormat="1" applyFont="1" applyFill="1" applyBorder="1" applyAlignment="1">
      <alignment horizontal="center" wrapText="1"/>
    </xf>
    <xf numFmtId="3" fontId="4" fillId="0" borderId="2" xfId="0" applyNumberFormat="1" applyFont="1" applyBorder="1" applyAlignment="1">
      <alignment horizontal="right"/>
    </xf>
    <xf numFmtId="176" fontId="4" fillId="0" borderId="2" xfId="0" applyNumberFormat="1" applyFont="1" applyFill="1" applyBorder="1" applyAlignment="1">
      <alignment horizontal="right"/>
    </xf>
    <xf numFmtId="40" fontId="4" fillId="0" borderId="2" xfId="0" applyNumberFormat="1" applyFont="1" applyFill="1" applyBorder="1" applyAlignment="1">
      <alignment horizontal="right"/>
    </xf>
    <xf numFmtId="20" fontId="1" fillId="0" borderId="0" xfId="0" applyNumberFormat="1" applyFont="1" applyFill="1" applyBorder="1" applyAlignment="1">
      <alignment horizontal="left" vertical="center"/>
    </xf>
    <xf numFmtId="0" fontId="5" fillId="0" borderId="0" xfId="0" applyFont="1" applyFill="1" applyBorder="1" applyAlignment="1">
      <alignment wrapText="1"/>
    </xf>
    <xf numFmtId="49" fontId="4" fillId="0" borderId="0" xfId="0" applyNumberFormat="1" applyFont="1" applyFill="1" applyBorder="1">
      <alignment vertical="center"/>
    </xf>
    <xf numFmtId="0" fontId="5" fillId="0" borderId="0" xfId="0" applyFont="1" applyFill="1" applyBorder="1" applyAlignment="1">
      <alignment vertical="top" wrapText="1"/>
    </xf>
    <xf numFmtId="49" fontId="4" fillId="0" borderId="1" xfId="0" applyNumberFormat="1" applyFont="1" applyFill="1" applyBorder="1">
      <alignment vertical="center"/>
    </xf>
    <xf numFmtId="0" fontId="5" fillId="0" borderId="1" xfId="0" applyFont="1" applyFill="1" applyBorder="1" applyAlignment="1">
      <alignment vertical="top" wrapText="1"/>
    </xf>
    <xf numFmtId="0" fontId="7" fillId="0" borderId="0" xfId="0" applyFont="1" applyFill="1">
      <alignment vertical="center"/>
    </xf>
    <xf numFmtId="49" fontId="7" fillId="0" borderId="0" xfId="0" applyNumberFormat="1" applyFont="1" applyFill="1">
      <alignment vertical="center"/>
    </xf>
    <xf numFmtId="0" fontId="8" fillId="0" borderId="0" xfId="0" applyFont="1" applyFill="1">
      <alignment vertical="center"/>
    </xf>
    <xf numFmtId="177" fontId="4" fillId="0" borderId="2" xfId="0" applyNumberFormat="1" applyFont="1" applyBorder="1" applyAlignment="1">
      <alignment horizontal="right"/>
    </xf>
    <xf numFmtId="49" fontId="4" fillId="0" borderId="2" xfId="0" applyNumberFormat="1" applyFont="1" applyBorder="1" applyAlignment="1"/>
    <xf numFmtId="176" fontId="4" fillId="0" borderId="2" xfId="0" applyNumberFormat="1" applyFont="1" applyBorder="1" applyAlignment="1">
      <alignment horizontal="right"/>
    </xf>
    <xf numFmtId="38" fontId="4" fillId="0" borderId="2" xfId="0" applyNumberFormat="1" applyFont="1" applyBorder="1" applyAlignment="1">
      <alignment horizontal="right"/>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49" fontId="5" fillId="0" borderId="1" xfId="0" applyNumberFormat="1" applyFont="1" applyFill="1" applyBorder="1" applyAlignment="1">
      <alignment vertical="top" wrapText="1"/>
    </xf>
    <xf numFmtId="49" fontId="5" fillId="0" borderId="1" xfId="0" applyNumberFormat="1" applyFont="1" applyFill="1" applyBorder="1" applyAlignment="1">
      <alignment vertical="top"/>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5" fillId="0" borderId="0"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164"/>
  <sheetViews>
    <sheetView showGridLines="0" tabSelected="1" zoomScaleNormal="100" zoomScaleSheetLayoutView="55" workbookViewId="0">
      <pane ySplit="4" topLeftCell="A5" activePane="bottomLeft" state="frozen"/>
      <selection pane="bottomLeft"/>
    </sheetView>
  </sheetViews>
  <sheetFormatPr defaultRowHeight="13.5" x14ac:dyDescent="0.15"/>
  <cols>
    <col min="1" max="1" width="12.75" style="5" customWidth="1" collapsed="1"/>
    <col min="2" max="2" width="9" style="5" bestFit="1" customWidth="1" collapsed="1"/>
    <col min="3" max="3" width="11.75" style="5" bestFit="1" customWidth="1" collapsed="1"/>
    <col min="4" max="4" width="22.875" style="5" customWidth="1" collapsed="1"/>
    <col min="5" max="5" width="47.125" style="5" bestFit="1" customWidth="1" collapsed="1"/>
    <col min="6" max="6" width="12.625" style="5" customWidth="1" collapsed="1"/>
    <col min="7" max="10" width="20.625" style="5" customWidth="1" collapsed="1"/>
    <col min="11" max="14" width="26.125" style="5" customWidth="1" collapsed="1"/>
    <col min="15" max="17" width="9" style="5" collapsed="1"/>
    <col min="18" max="18" width="9" style="5" customWidth="1" collapsed="1"/>
    <col min="19" max="19" width="9" style="5" collapsed="1"/>
    <col min="20" max="21" width="9" style="5" customWidth="1" collapsed="1"/>
    <col min="22" max="16384" width="9" style="5" collapsed="1"/>
  </cols>
  <sheetData>
    <row r="1" spans="1:28" ht="33.75" customHeight="1"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r="2" spans="1:28" ht="27" customHeight="1"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r="3" spans="1:28" ht="24"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r="4" spans="1:28" ht="24"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2167</f>
        <v>2167</v>
      </c>
      <c r="G5" s="10">
        <f>18.8</f>
        <v>18.8</v>
      </c>
      <c r="H5" s="10">
        <f>1.1</f>
        <v>1.1000000000000001</v>
      </c>
      <c r="I5" s="11">
        <f>106.31</f>
        <v>106.31</v>
      </c>
      <c r="J5" s="11">
        <f>1869.69</f>
        <v>1869.69</v>
      </c>
      <c r="K5" s="10">
        <f>18.8</f>
        <v>18.8</v>
      </c>
      <c r="L5" s="10">
        <f>1.1</f>
        <v>1.1000000000000001</v>
      </c>
      <c r="M5" s="21">
        <f>30365406939390</f>
        <v>30365406939390</v>
      </c>
      <c r="N5" s="21">
        <f>512275963971486</f>
        <v>512275963971486</v>
      </c>
      <c r="O5" s="3"/>
      <c r="P5" s="3"/>
      <c r="Q5" s="4"/>
      <c r="R5" s="4"/>
      <c r="S5" s="4"/>
      <c r="T5" s="4"/>
      <c r="U5" s="4"/>
      <c r="V5" s="4"/>
      <c r="W5" s="4"/>
      <c r="X5" s="4"/>
      <c r="Y5" s="4"/>
      <c r="Z5" s="4"/>
      <c r="AA5" s="4"/>
    </row>
    <row r="6" spans="1:28" x14ac:dyDescent="0.15">
      <c r="A6" s="22" t="s">
        <v>53</v>
      </c>
      <c r="B6" s="22" t="s">
        <v>54</v>
      </c>
      <c r="C6" s="22" t="s">
        <v>55</v>
      </c>
      <c r="D6" s="22" t="s">
        <v>58</v>
      </c>
      <c r="E6" s="22" t="s">
        <v>59</v>
      </c>
      <c r="F6" s="9">
        <f>100</f>
        <v>100</v>
      </c>
      <c r="G6" s="10">
        <f>21.6</f>
        <v>21.6</v>
      </c>
      <c r="H6" s="10">
        <f>1.9</f>
        <v>1.9</v>
      </c>
      <c r="I6" s="11">
        <f>286.29</f>
        <v>286.29000000000002</v>
      </c>
      <c r="J6" s="11">
        <f>3277.83</f>
        <v>3277.83</v>
      </c>
      <c r="K6" s="10">
        <f>18</f>
        <v>18</v>
      </c>
      <c r="L6" s="10">
        <f>1.1</f>
        <v>1.1000000000000001</v>
      </c>
      <c r="M6" s="21">
        <f>17650472333333</f>
        <v>17650472333333</v>
      </c>
      <c r="N6" s="21">
        <f>277433816000000</f>
        <v>277433816000000</v>
      </c>
    </row>
    <row r="7" spans="1:28" x14ac:dyDescent="0.15">
      <c r="A7" s="22" t="s">
        <v>53</v>
      </c>
      <c r="B7" s="22" t="s">
        <v>54</v>
      </c>
      <c r="C7" s="22" t="s">
        <v>55</v>
      </c>
      <c r="D7" s="22" t="s">
        <v>60</v>
      </c>
      <c r="E7" s="22" t="s">
        <v>61</v>
      </c>
      <c r="F7" s="9">
        <f>396</f>
        <v>396</v>
      </c>
      <c r="G7" s="10">
        <f>20.8</f>
        <v>20.8</v>
      </c>
      <c r="H7" s="10">
        <f>1.3</f>
        <v>1.3</v>
      </c>
      <c r="I7" s="11">
        <f>143.01</f>
        <v>143.01</v>
      </c>
      <c r="J7" s="11">
        <f>2270.03</f>
        <v>2270.0300000000002</v>
      </c>
      <c r="K7" s="10">
        <f>20</f>
        <v>20</v>
      </c>
      <c r="L7" s="10">
        <f>1.1</f>
        <v>1.1000000000000001</v>
      </c>
      <c r="M7" s="21">
        <f>9037979448703</f>
        <v>9037979448703</v>
      </c>
      <c r="N7" s="21">
        <f>159759885316446</f>
        <v>159759885316446</v>
      </c>
    </row>
    <row r="8" spans="1:28" x14ac:dyDescent="0.15">
      <c r="A8" s="22" t="s">
        <v>53</v>
      </c>
      <c r="B8" s="22" t="s">
        <v>54</v>
      </c>
      <c r="C8" s="22" t="s">
        <v>55</v>
      </c>
      <c r="D8" s="22" t="s">
        <v>62</v>
      </c>
      <c r="E8" s="22" t="s">
        <v>63</v>
      </c>
      <c r="F8" s="9">
        <f>1665</f>
        <v>1665</v>
      </c>
      <c r="G8" s="10">
        <f>17.5</f>
        <v>17.5</v>
      </c>
      <c r="H8" s="10">
        <f>0.9</f>
        <v>0.9</v>
      </c>
      <c r="I8" s="11">
        <f>87.01</f>
        <v>87.01</v>
      </c>
      <c r="J8" s="11">
        <f>1695.6</f>
        <v>1695.6</v>
      </c>
      <c r="K8" s="10">
        <f>19.4</f>
        <v>19.399999999999999</v>
      </c>
      <c r="L8" s="10">
        <f>0.9</f>
        <v>0.9</v>
      </c>
      <c r="M8" s="21">
        <f>3675408157354</f>
        <v>3675408157354</v>
      </c>
      <c r="N8" s="21">
        <f>75070525655040</f>
        <v>75070525655040</v>
      </c>
    </row>
    <row r="9" spans="1:28" x14ac:dyDescent="0.15">
      <c r="A9" s="22" t="s">
        <v>53</v>
      </c>
      <c r="B9" s="22" t="s">
        <v>54</v>
      </c>
      <c r="C9" s="22" t="s">
        <v>55</v>
      </c>
      <c r="D9" s="22" t="s">
        <v>64</v>
      </c>
      <c r="E9" s="22" t="s">
        <v>65</v>
      </c>
      <c r="F9" s="9">
        <f>2028</f>
        <v>2028</v>
      </c>
      <c r="G9" s="10">
        <f>19.5</f>
        <v>19.5</v>
      </c>
      <c r="H9" s="10">
        <f>1.2</f>
        <v>1.2</v>
      </c>
      <c r="I9" s="11">
        <f>105.24</f>
        <v>105.24</v>
      </c>
      <c r="J9" s="11">
        <f>1769.53</f>
        <v>1769.53</v>
      </c>
      <c r="K9" s="10">
        <f>20.8</f>
        <v>20.8</v>
      </c>
      <c r="L9" s="10">
        <f>1.3</f>
        <v>1.3</v>
      </c>
      <c r="M9" s="21">
        <f>25333349208987</f>
        <v>25333349208987</v>
      </c>
      <c r="N9" s="21">
        <f>411031866408786</f>
        <v>411031866408786</v>
      </c>
    </row>
    <row r="10" spans="1:28" x14ac:dyDescent="0.15">
      <c r="A10" s="22" t="s">
        <v>53</v>
      </c>
      <c r="B10" s="22" t="s">
        <v>54</v>
      </c>
      <c r="C10" s="22" t="s">
        <v>55</v>
      </c>
      <c r="D10" s="22" t="s">
        <v>66</v>
      </c>
      <c r="E10" s="22" t="s">
        <v>67</v>
      </c>
      <c r="F10" s="9">
        <f>910</f>
        <v>910</v>
      </c>
      <c r="G10" s="10">
        <f>22.1</f>
        <v>22.1</v>
      </c>
      <c r="H10" s="10">
        <f>1</f>
        <v>1</v>
      </c>
      <c r="I10" s="11">
        <f>100.03</f>
        <v>100.03</v>
      </c>
      <c r="J10" s="11">
        <f>2139.64</f>
        <v>2139.64</v>
      </c>
      <c r="K10" s="10">
        <f>23.7</f>
        <v>23.7</v>
      </c>
      <c r="L10" s="10">
        <f>1.3</f>
        <v>1.3</v>
      </c>
      <c r="M10" s="21">
        <f>12554511516527</f>
        <v>12554511516527</v>
      </c>
      <c r="N10" s="21">
        <f>226342801685786</f>
        <v>226342801685786</v>
      </c>
    </row>
    <row r="11" spans="1:28" x14ac:dyDescent="0.15">
      <c r="A11" s="22" t="s">
        <v>53</v>
      </c>
      <c r="B11" s="22" t="s">
        <v>54</v>
      </c>
      <c r="C11" s="22" t="s">
        <v>55</v>
      </c>
      <c r="D11" s="22" t="s">
        <v>68</v>
      </c>
      <c r="E11" s="22" t="s">
        <v>69</v>
      </c>
      <c r="F11" s="9">
        <f>1118</f>
        <v>1118</v>
      </c>
      <c r="G11" s="10">
        <f>17.6</f>
        <v>17.600000000000001</v>
      </c>
      <c r="H11" s="10">
        <f>1.3</f>
        <v>1.3</v>
      </c>
      <c r="I11" s="11">
        <f>109.49</f>
        <v>109.49</v>
      </c>
      <c r="J11" s="11">
        <f>1468.27</f>
        <v>1468.27</v>
      </c>
      <c r="K11" s="10">
        <f>17.9</f>
        <v>17.899999999999999</v>
      </c>
      <c r="L11" s="10">
        <f>1.2</f>
        <v>1.2</v>
      </c>
      <c r="M11" s="21">
        <f>12778837692460</f>
        <v>12778837692460</v>
      </c>
      <c r="N11" s="21">
        <f>184689064723000</f>
        <v>184689064723000</v>
      </c>
    </row>
    <row r="12" spans="1:28" x14ac:dyDescent="0.15">
      <c r="A12" s="22" t="s">
        <v>53</v>
      </c>
      <c r="B12" s="22" t="s">
        <v>54</v>
      </c>
      <c r="C12" s="22" t="s">
        <v>55</v>
      </c>
      <c r="D12" s="22" t="s">
        <v>70</v>
      </c>
      <c r="E12" s="22" t="s">
        <v>71</v>
      </c>
      <c r="F12" s="9">
        <f>7</f>
        <v>7</v>
      </c>
      <c r="G12" s="10">
        <f>15.6</f>
        <v>15.6</v>
      </c>
      <c r="H12" s="10">
        <f>1</f>
        <v>1</v>
      </c>
      <c r="I12" s="11">
        <f>113.96</f>
        <v>113.96</v>
      </c>
      <c r="J12" s="11">
        <f>1845.43</f>
        <v>1845.43</v>
      </c>
      <c r="K12" s="10">
        <f>13.2</f>
        <v>13.2</v>
      </c>
      <c r="L12" s="10">
        <f>1</f>
        <v>1</v>
      </c>
      <c r="M12" s="21">
        <f>39236000000</f>
        <v>39236000000</v>
      </c>
      <c r="N12" s="21">
        <f>543846000000</f>
        <v>543846000000</v>
      </c>
    </row>
    <row r="13" spans="1:28" x14ac:dyDescent="0.15">
      <c r="A13" s="22" t="s">
        <v>53</v>
      </c>
      <c r="B13" s="22" t="s">
        <v>54</v>
      </c>
      <c r="C13" s="22" t="s">
        <v>55</v>
      </c>
      <c r="D13" s="22" t="s">
        <v>72</v>
      </c>
      <c r="E13" s="22" t="s">
        <v>73</v>
      </c>
      <c r="F13" s="9">
        <f>6</f>
        <v>6</v>
      </c>
      <c r="G13" s="10">
        <f>6.2</f>
        <v>6.2</v>
      </c>
      <c r="H13" s="10">
        <f>0.3</f>
        <v>0.3</v>
      </c>
      <c r="I13" s="11">
        <f>234.25</f>
        <v>234.25</v>
      </c>
      <c r="J13" s="11">
        <f>4646.41</f>
        <v>4646.41</v>
      </c>
      <c r="K13" s="10">
        <f>5.3</f>
        <v>5.3</v>
      </c>
      <c r="L13" s="10">
        <f>0.3</f>
        <v>0.3</v>
      </c>
      <c r="M13" s="21">
        <f>202102053333</f>
        <v>202102053333</v>
      </c>
      <c r="N13" s="21">
        <f>3966544720000</f>
        <v>3966544720000</v>
      </c>
    </row>
    <row r="14" spans="1:28" x14ac:dyDescent="0.15">
      <c r="A14" s="22" t="s">
        <v>53</v>
      </c>
      <c r="B14" s="22" t="s">
        <v>54</v>
      </c>
      <c r="C14" s="22" t="s">
        <v>55</v>
      </c>
      <c r="D14" s="22" t="s">
        <v>74</v>
      </c>
      <c r="E14" s="22" t="s">
        <v>75</v>
      </c>
      <c r="F14" s="9">
        <f>101</f>
        <v>101</v>
      </c>
      <c r="G14" s="10">
        <f>8.3</f>
        <v>8.3000000000000007</v>
      </c>
      <c r="H14" s="10">
        <f>0.8</f>
        <v>0.8</v>
      </c>
      <c r="I14" s="11">
        <f>201.82</f>
        <v>201.82</v>
      </c>
      <c r="J14" s="11">
        <f>2206.94</f>
        <v>2206.94</v>
      </c>
      <c r="K14" s="10">
        <f>8</f>
        <v>8</v>
      </c>
      <c r="L14" s="10">
        <f>0.9</f>
        <v>0.9</v>
      </c>
      <c r="M14" s="21">
        <f>1631277000000</f>
        <v>1631277000000</v>
      </c>
      <c r="N14" s="21">
        <f>15074872978000</f>
        <v>15074872978000</v>
      </c>
    </row>
    <row r="15" spans="1:28" x14ac:dyDescent="0.15">
      <c r="A15" s="22" t="s">
        <v>53</v>
      </c>
      <c r="B15" s="22" t="s">
        <v>54</v>
      </c>
      <c r="C15" s="22" t="s">
        <v>55</v>
      </c>
      <c r="D15" s="22" t="s">
        <v>76</v>
      </c>
      <c r="E15" s="22" t="s">
        <v>77</v>
      </c>
      <c r="F15" s="9">
        <f>82</f>
        <v>82</v>
      </c>
      <c r="G15" s="10">
        <f>22</f>
        <v>22</v>
      </c>
      <c r="H15" s="10">
        <f>1.3</f>
        <v>1.3</v>
      </c>
      <c r="I15" s="11">
        <f>118.4</f>
        <v>118.4</v>
      </c>
      <c r="J15" s="11">
        <f>2051.54</f>
        <v>2051.54</v>
      </c>
      <c r="K15" s="10">
        <f>20.3</f>
        <v>20.3</v>
      </c>
      <c r="L15" s="10">
        <f>1.5</f>
        <v>1.5</v>
      </c>
      <c r="M15" s="21">
        <f>1108674666667</f>
        <v>1108674666667</v>
      </c>
      <c r="N15" s="21">
        <f>14908004316446</f>
        <v>14908004316446</v>
      </c>
    </row>
    <row r="16" spans="1:28" x14ac:dyDescent="0.15">
      <c r="A16" s="22" t="s">
        <v>53</v>
      </c>
      <c r="B16" s="22" t="s">
        <v>54</v>
      </c>
      <c r="C16" s="22" t="s">
        <v>55</v>
      </c>
      <c r="D16" s="22" t="s">
        <v>78</v>
      </c>
      <c r="E16" s="22" t="s">
        <v>79</v>
      </c>
      <c r="F16" s="9">
        <f>40</f>
        <v>40</v>
      </c>
      <c r="G16" s="10">
        <f>23.7</f>
        <v>23.7</v>
      </c>
      <c r="H16" s="10">
        <f>0.7</f>
        <v>0.7</v>
      </c>
      <c r="I16" s="11">
        <f>52.63</f>
        <v>52.63</v>
      </c>
      <c r="J16" s="11">
        <f>1894.23</f>
        <v>1894.23</v>
      </c>
      <c r="K16" s="10">
        <f>25.7</f>
        <v>25.7</v>
      </c>
      <c r="L16" s="10">
        <f>0.7</f>
        <v>0.7</v>
      </c>
      <c r="M16" s="21">
        <f>99284940769</f>
        <v>99284940769</v>
      </c>
      <c r="N16" s="21">
        <f>3441170369340</f>
        <v>3441170369340</v>
      </c>
    </row>
    <row r="17" spans="1:14" x14ac:dyDescent="0.15">
      <c r="A17" s="22" t="s">
        <v>53</v>
      </c>
      <c r="B17" s="22" t="s">
        <v>54</v>
      </c>
      <c r="C17" s="22" t="s">
        <v>55</v>
      </c>
      <c r="D17" s="22" t="s">
        <v>80</v>
      </c>
      <c r="E17" s="22" t="s">
        <v>81</v>
      </c>
      <c r="F17" s="9">
        <f>12</f>
        <v>12</v>
      </c>
      <c r="G17" s="10">
        <f>12.5</f>
        <v>12.5</v>
      </c>
      <c r="H17" s="10">
        <f>0.6</f>
        <v>0.6</v>
      </c>
      <c r="I17" s="11">
        <f>107.8</f>
        <v>107.8</v>
      </c>
      <c r="J17" s="11">
        <f>2140.81</f>
        <v>2140.81</v>
      </c>
      <c r="K17" s="10">
        <f>9.1</f>
        <v>9.1</v>
      </c>
      <c r="L17" s="10">
        <f>0.6</f>
        <v>0.6</v>
      </c>
      <c r="M17" s="21">
        <f>142607000000</f>
        <v>142607000000</v>
      </c>
      <c r="N17" s="21">
        <f>2226524000000</f>
        <v>2226524000000</v>
      </c>
    </row>
    <row r="18" spans="1:14" x14ac:dyDescent="0.15">
      <c r="A18" s="22" t="s">
        <v>53</v>
      </c>
      <c r="B18" s="22" t="s">
        <v>54</v>
      </c>
      <c r="C18" s="22" t="s">
        <v>55</v>
      </c>
      <c r="D18" s="22" t="s">
        <v>82</v>
      </c>
      <c r="E18" s="22" t="s">
        <v>83</v>
      </c>
      <c r="F18" s="9">
        <f>145</f>
        <v>145</v>
      </c>
      <c r="G18" s="10">
        <f>18.4</f>
        <v>18.399999999999999</v>
      </c>
      <c r="H18" s="10">
        <f>1.1</f>
        <v>1.1000000000000001</v>
      </c>
      <c r="I18" s="11">
        <f>124.24</f>
        <v>124.24</v>
      </c>
      <c r="J18" s="11">
        <f>2069.59</f>
        <v>2069.59</v>
      </c>
      <c r="K18" s="10">
        <f>19.4</f>
        <v>19.399999999999999</v>
      </c>
      <c r="L18" s="10">
        <f>1.4</f>
        <v>1.4</v>
      </c>
      <c r="M18" s="21">
        <f>2020083000000</f>
        <v>2020083000000</v>
      </c>
      <c r="N18" s="21">
        <f>27415682000000</f>
        <v>27415682000000</v>
      </c>
    </row>
    <row r="19" spans="1:14" x14ac:dyDescent="0.15">
      <c r="A19" s="22" t="s">
        <v>53</v>
      </c>
      <c r="B19" s="22" t="s">
        <v>54</v>
      </c>
      <c r="C19" s="22" t="s">
        <v>55</v>
      </c>
      <c r="D19" s="22" t="s">
        <v>84</v>
      </c>
      <c r="E19" s="22" t="s">
        <v>85</v>
      </c>
      <c r="F19" s="9">
        <f>38</f>
        <v>38</v>
      </c>
      <c r="G19" s="10">
        <f>21.6</f>
        <v>21.6</v>
      </c>
      <c r="H19" s="10">
        <f>1.6</f>
        <v>1.6</v>
      </c>
      <c r="I19" s="11">
        <f>159.64</f>
        <v>159.63999999999999</v>
      </c>
      <c r="J19" s="11">
        <f>2152.42</f>
        <v>2152.42</v>
      </c>
      <c r="K19" s="10">
        <f>30.6</f>
        <v>30.6</v>
      </c>
      <c r="L19" s="10">
        <f>2.4</f>
        <v>2.4</v>
      </c>
      <c r="M19" s="21">
        <f>1281171000000</f>
        <v>1281171000000</v>
      </c>
      <c r="N19" s="21">
        <f>16618670000000</f>
        <v>16618670000000</v>
      </c>
    </row>
    <row r="20" spans="1:14" x14ac:dyDescent="0.15">
      <c r="A20" s="22" t="s">
        <v>53</v>
      </c>
      <c r="B20" s="22" t="s">
        <v>54</v>
      </c>
      <c r="C20" s="22" t="s">
        <v>55</v>
      </c>
      <c r="D20" s="22" t="s">
        <v>86</v>
      </c>
      <c r="E20" s="22" t="s">
        <v>87</v>
      </c>
      <c r="F20" s="9">
        <f>9</f>
        <v>9</v>
      </c>
      <c r="G20" s="10" t="str">
        <f>"－"</f>
        <v>－</v>
      </c>
      <c r="H20" s="10">
        <f>0.6</f>
        <v>0.6</v>
      </c>
      <c r="I20" s="11">
        <f>-54.43</f>
        <v>-54.43</v>
      </c>
      <c r="J20" s="11">
        <f>1794.55</f>
        <v>1794.55</v>
      </c>
      <c r="K20" s="10" t="str">
        <f>"－"</f>
        <v>－</v>
      </c>
      <c r="L20" s="10">
        <f>0.5</f>
        <v>0.5</v>
      </c>
      <c r="M20" s="21">
        <f>-261859000000</f>
        <v>-261859000000</v>
      </c>
      <c r="N20" s="21">
        <f>4473724000000</f>
        <v>4473724000000</v>
      </c>
    </row>
    <row r="21" spans="1:14" x14ac:dyDescent="0.15">
      <c r="A21" s="22" t="s">
        <v>53</v>
      </c>
      <c r="B21" s="22" t="s">
        <v>54</v>
      </c>
      <c r="C21" s="22" t="s">
        <v>55</v>
      </c>
      <c r="D21" s="22" t="s">
        <v>88</v>
      </c>
      <c r="E21" s="22" t="s">
        <v>89</v>
      </c>
      <c r="F21" s="9">
        <f>11</f>
        <v>11</v>
      </c>
      <c r="G21" s="10">
        <f>11.4</f>
        <v>11.4</v>
      </c>
      <c r="H21" s="10">
        <f>0.7</f>
        <v>0.7</v>
      </c>
      <c r="I21" s="11">
        <f>133.46</f>
        <v>133.46</v>
      </c>
      <c r="J21" s="11">
        <f>2164.7</f>
        <v>2164.6999999999998</v>
      </c>
      <c r="K21" s="10">
        <f>8.2</f>
        <v>8.1999999999999993</v>
      </c>
      <c r="L21" s="10">
        <f>0.8</f>
        <v>0.8</v>
      </c>
      <c r="M21" s="21">
        <f>388486000000</f>
        <v>388486000000</v>
      </c>
      <c r="N21" s="21">
        <f>4000523000000</f>
        <v>4000523000000</v>
      </c>
    </row>
    <row r="22" spans="1:14" x14ac:dyDescent="0.15">
      <c r="A22" s="22" t="s">
        <v>53</v>
      </c>
      <c r="B22" s="22" t="s">
        <v>54</v>
      </c>
      <c r="C22" s="22" t="s">
        <v>55</v>
      </c>
      <c r="D22" s="22" t="s">
        <v>90</v>
      </c>
      <c r="E22" s="22" t="s">
        <v>91</v>
      </c>
      <c r="F22" s="9">
        <f>33</f>
        <v>33</v>
      </c>
      <c r="G22" s="10">
        <f>11.9</f>
        <v>11.9</v>
      </c>
      <c r="H22" s="10">
        <f>0.7</f>
        <v>0.7</v>
      </c>
      <c r="I22" s="11">
        <f>173.71</f>
        <v>173.71</v>
      </c>
      <c r="J22" s="11">
        <f>2798.36</f>
        <v>2798.36</v>
      </c>
      <c r="K22" s="10">
        <f>16.6</f>
        <v>16.600000000000001</v>
      </c>
      <c r="L22" s="10">
        <f>0.8</f>
        <v>0.8</v>
      </c>
      <c r="M22" s="21">
        <f>243433000000</f>
        <v>243433000000</v>
      </c>
      <c r="N22" s="21">
        <f>5119632000000</f>
        <v>5119632000000</v>
      </c>
    </row>
    <row r="23" spans="1:14" x14ac:dyDescent="0.15">
      <c r="A23" s="22" t="s">
        <v>53</v>
      </c>
      <c r="B23" s="22" t="s">
        <v>54</v>
      </c>
      <c r="C23" s="22" t="s">
        <v>55</v>
      </c>
      <c r="D23" s="22" t="s">
        <v>92</v>
      </c>
      <c r="E23" s="22" t="s">
        <v>93</v>
      </c>
      <c r="F23" s="9">
        <f>31</f>
        <v>31</v>
      </c>
      <c r="G23" s="10">
        <f>20.9</f>
        <v>20.9</v>
      </c>
      <c r="H23" s="10">
        <f>0.4</f>
        <v>0.4</v>
      </c>
      <c r="I23" s="11">
        <f>58.49</f>
        <v>58.49</v>
      </c>
      <c r="J23" s="11">
        <f>3254.77</f>
        <v>3254.77</v>
      </c>
      <c r="K23" s="10" t="str">
        <f>"－"</f>
        <v>－</v>
      </c>
      <c r="L23" s="10">
        <f>0.4</f>
        <v>0.4</v>
      </c>
      <c r="M23" s="21">
        <f>-663525000000</f>
        <v>-663525000000</v>
      </c>
      <c r="N23" s="21">
        <f>8550942000000</f>
        <v>8550942000000</v>
      </c>
    </row>
    <row r="24" spans="1:14" x14ac:dyDescent="0.15">
      <c r="A24" s="22" t="s">
        <v>53</v>
      </c>
      <c r="B24" s="22" t="s">
        <v>54</v>
      </c>
      <c r="C24" s="22" t="s">
        <v>55</v>
      </c>
      <c r="D24" s="22" t="s">
        <v>94</v>
      </c>
      <c r="E24" s="22" t="s">
        <v>95</v>
      </c>
      <c r="F24" s="9">
        <f>24</f>
        <v>24</v>
      </c>
      <c r="G24" s="10">
        <f>67.3</f>
        <v>67.3</v>
      </c>
      <c r="H24" s="10">
        <f>0.7</f>
        <v>0.7</v>
      </c>
      <c r="I24" s="11">
        <f>21.69</f>
        <v>21.69</v>
      </c>
      <c r="J24" s="11">
        <f>2235.62</f>
        <v>2235.62</v>
      </c>
      <c r="K24" s="10">
        <f>36.6</f>
        <v>36.6</v>
      </c>
      <c r="L24" s="10">
        <f>0.6</f>
        <v>0.6</v>
      </c>
      <c r="M24" s="21">
        <f>92270000000</f>
        <v>92270000000</v>
      </c>
      <c r="N24" s="21">
        <f>5416525000000</f>
        <v>5416525000000</v>
      </c>
    </row>
    <row r="25" spans="1:14" x14ac:dyDescent="0.15">
      <c r="A25" s="22" t="s">
        <v>53</v>
      </c>
      <c r="B25" s="22" t="s">
        <v>54</v>
      </c>
      <c r="C25" s="22" t="s">
        <v>55</v>
      </c>
      <c r="D25" s="22" t="s">
        <v>96</v>
      </c>
      <c r="E25" s="22" t="s">
        <v>97</v>
      </c>
      <c r="F25" s="9">
        <f>41</f>
        <v>41</v>
      </c>
      <c r="G25" s="10">
        <f>12.8</f>
        <v>12.8</v>
      </c>
      <c r="H25" s="10">
        <f>0.5</f>
        <v>0.5</v>
      </c>
      <c r="I25" s="11">
        <f>112.92</f>
        <v>112.92</v>
      </c>
      <c r="J25" s="11">
        <f>2657.57</f>
        <v>2657.57</v>
      </c>
      <c r="K25" s="10">
        <f>17.7</f>
        <v>17.7</v>
      </c>
      <c r="L25" s="10">
        <f>0.7</f>
        <v>0.7</v>
      </c>
      <c r="M25" s="21">
        <f>167325000000</f>
        <v>167325000000</v>
      </c>
      <c r="N25" s="21">
        <f>4119461000000</f>
        <v>4119461000000</v>
      </c>
    </row>
    <row r="26" spans="1:14" x14ac:dyDescent="0.15">
      <c r="A26" s="22" t="s">
        <v>53</v>
      </c>
      <c r="B26" s="22" t="s">
        <v>54</v>
      </c>
      <c r="C26" s="22" t="s">
        <v>55</v>
      </c>
      <c r="D26" s="22" t="s">
        <v>98</v>
      </c>
      <c r="E26" s="22" t="s">
        <v>99</v>
      </c>
      <c r="F26" s="9">
        <f>140</f>
        <v>140</v>
      </c>
      <c r="G26" s="10">
        <f>21.5</f>
        <v>21.5</v>
      </c>
      <c r="H26" s="10">
        <f>1.1</f>
        <v>1.1000000000000001</v>
      </c>
      <c r="I26" s="11">
        <f>107.51</f>
        <v>107.51</v>
      </c>
      <c r="J26" s="11">
        <f>2097.55</f>
        <v>2097.5500000000002</v>
      </c>
      <c r="K26" s="10">
        <f>21.2</f>
        <v>21.2</v>
      </c>
      <c r="L26" s="10">
        <f>1.4</f>
        <v>1.4</v>
      </c>
      <c r="M26" s="21">
        <f>1279846000000</f>
        <v>1279846000000</v>
      </c>
      <c r="N26" s="21">
        <f>19632001000000</f>
        <v>19632001000000</v>
      </c>
    </row>
    <row r="27" spans="1:14" x14ac:dyDescent="0.15">
      <c r="A27" s="22" t="s">
        <v>53</v>
      </c>
      <c r="B27" s="22" t="s">
        <v>54</v>
      </c>
      <c r="C27" s="22" t="s">
        <v>55</v>
      </c>
      <c r="D27" s="22" t="s">
        <v>100</v>
      </c>
      <c r="E27" s="22" t="s">
        <v>101</v>
      </c>
      <c r="F27" s="9">
        <f>157</f>
        <v>157</v>
      </c>
      <c r="G27" s="10">
        <f>29.5</f>
        <v>29.5</v>
      </c>
      <c r="H27" s="10">
        <f>1.4</f>
        <v>1.4</v>
      </c>
      <c r="I27" s="11">
        <f>91.92</f>
        <v>91.92</v>
      </c>
      <c r="J27" s="11">
        <f>1984.53</f>
        <v>1984.53</v>
      </c>
      <c r="K27" s="10">
        <f>25.7</f>
        <v>25.7</v>
      </c>
      <c r="L27" s="10">
        <f>1.8</f>
        <v>1.8</v>
      </c>
      <c r="M27" s="21">
        <f>3094366000000</f>
        <v>3094366000000</v>
      </c>
      <c r="N27" s="21">
        <f>44293180000000</f>
        <v>44293180000000</v>
      </c>
    </row>
    <row r="28" spans="1:14" x14ac:dyDescent="0.15">
      <c r="A28" s="22" t="s">
        <v>53</v>
      </c>
      <c r="B28" s="22" t="s">
        <v>54</v>
      </c>
      <c r="C28" s="22" t="s">
        <v>55</v>
      </c>
      <c r="D28" s="22" t="s">
        <v>102</v>
      </c>
      <c r="E28" s="22" t="s">
        <v>103</v>
      </c>
      <c r="F28" s="9">
        <f>62</f>
        <v>62</v>
      </c>
      <c r="G28" s="10">
        <f>80.2</f>
        <v>80.2</v>
      </c>
      <c r="H28" s="10">
        <f>0.7</f>
        <v>0.7</v>
      </c>
      <c r="I28" s="11">
        <f>20.37</f>
        <v>20.37</v>
      </c>
      <c r="J28" s="11">
        <f>2402.22</f>
        <v>2402.2199999999998</v>
      </c>
      <c r="K28" s="10">
        <f>16.5</f>
        <v>16.5</v>
      </c>
      <c r="L28" s="10">
        <f>0.8</f>
        <v>0.8</v>
      </c>
      <c r="M28" s="21">
        <f>2581500000000</f>
        <v>2581500000000</v>
      </c>
      <c r="N28" s="21">
        <f>54930389000000</f>
        <v>54930389000000</v>
      </c>
    </row>
    <row r="29" spans="1:14" x14ac:dyDescent="0.15">
      <c r="A29" s="22" t="s">
        <v>53</v>
      </c>
      <c r="B29" s="22" t="s">
        <v>54</v>
      </c>
      <c r="C29" s="22" t="s">
        <v>55</v>
      </c>
      <c r="D29" s="22" t="s">
        <v>104</v>
      </c>
      <c r="E29" s="22" t="s">
        <v>105</v>
      </c>
      <c r="F29" s="9">
        <f>33</f>
        <v>33</v>
      </c>
      <c r="G29" s="10">
        <f>22.7</f>
        <v>22.7</v>
      </c>
      <c r="H29" s="10">
        <f>1.4</f>
        <v>1.4</v>
      </c>
      <c r="I29" s="11">
        <f>84.02</f>
        <v>84.02</v>
      </c>
      <c r="J29" s="11">
        <f>1360.79</f>
        <v>1360.79</v>
      </c>
      <c r="K29" s="10">
        <f>39.1</f>
        <v>39.1</v>
      </c>
      <c r="L29" s="10">
        <f>3.2</f>
        <v>3.2</v>
      </c>
      <c r="M29" s="21">
        <f>329859000000</f>
        <v>329859000000</v>
      </c>
      <c r="N29" s="21">
        <f>3982131000000</f>
        <v>3982131000000</v>
      </c>
    </row>
    <row r="30" spans="1:14" x14ac:dyDescent="0.15">
      <c r="A30" s="22" t="s">
        <v>53</v>
      </c>
      <c r="B30" s="22" t="s">
        <v>54</v>
      </c>
      <c r="C30" s="22" t="s">
        <v>55</v>
      </c>
      <c r="D30" s="22" t="s">
        <v>106</v>
      </c>
      <c r="E30" s="22" t="s">
        <v>107</v>
      </c>
      <c r="F30" s="9">
        <f>52</f>
        <v>52</v>
      </c>
      <c r="G30" s="10">
        <f>19.2</f>
        <v>19.2</v>
      </c>
      <c r="H30" s="10">
        <f>1.3</f>
        <v>1.3</v>
      </c>
      <c r="I30" s="11">
        <f>127.84</f>
        <v>127.84</v>
      </c>
      <c r="J30" s="11">
        <f>1934.79</f>
        <v>1934.79</v>
      </c>
      <c r="K30" s="10">
        <f>19</f>
        <v>19</v>
      </c>
      <c r="L30" s="10">
        <f>1.7</f>
        <v>1.7</v>
      </c>
      <c r="M30" s="21">
        <f>650989909091</f>
        <v>650989909091</v>
      </c>
      <c r="N30" s="21">
        <f>7214243000000</f>
        <v>7214243000000</v>
      </c>
    </row>
    <row r="31" spans="1:14" x14ac:dyDescent="0.15">
      <c r="A31" s="22" t="s">
        <v>53</v>
      </c>
      <c r="B31" s="22" t="s">
        <v>54</v>
      </c>
      <c r="C31" s="22" t="s">
        <v>55</v>
      </c>
      <c r="D31" s="22" t="s">
        <v>108</v>
      </c>
      <c r="E31" s="22" t="s">
        <v>109</v>
      </c>
      <c r="F31" s="9">
        <f>22</f>
        <v>22</v>
      </c>
      <c r="G31" s="10">
        <f>12.3</f>
        <v>12.3</v>
      </c>
      <c r="H31" s="10">
        <f>0.8</f>
        <v>0.8</v>
      </c>
      <c r="I31" s="11">
        <f>118.46</f>
        <v>118.46</v>
      </c>
      <c r="J31" s="11">
        <f>1820.86</f>
        <v>1820.86</v>
      </c>
      <c r="K31" s="10">
        <f>9.9</f>
        <v>9.9</v>
      </c>
      <c r="L31" s="10">
        <f>0.6</f>
        <v>0.6</v>
      </c>
      <c r="M31" s="21">
        <f>733969000000</f>
        <v>733969000000</v>
      </c>
      <c r="N31" s="21">
        <f>12346320000000</f>
        <v>12346320000000</v>
      </c>
    </row>
    <row r="32" spans="1:14" x14ac:dyDescent="0.15">
      <c r="A32" s="22" t="s">
        <v>53</v>
      </c>
      <c r="B32" s="22" t="s">
        <v>54</v>
      </c>
      <c r="C32" s="22" t="s">
        <v>55</v>
      </c>
      <c r="D32" s="22" t="s">
        <v>110</v>
      </c>
      <c r="E32" s="22" t="s">
        <v>111</v>
      </c>
      <c r="F32" s="9">
        <f>43</f>
        <v>43</v>
      </c>
      <c r="G32" s="10">
        <f>13.4</f>
        <v>13.4</v>
      </c>
      <c r="H32" s="10">
        <f>1</f>
        <v>1</v>
      </c>
      <c r="I32" s="11">
        <f>228.49</f>
        <v>228.49</v>
      </c>
      <c r="J32" s="11">
        <f>3139.26</f>
        <v>3139.26</v>
      </c>
      <c r="K32" s="10">
        <f>14.1</f>
        <v>14.1</v>
      </c>
      <c r="L32" s="10">
        <f>1</f>
        <v>1</v>
      </c>
      <c r="M32" s="21">
        <f>1312787000000</f>
        <v>1312787000000</v>
      </c>
      <c r="N32" s="21">
        <f>18216244000000</f>
        <v>18216244000000</v>
      </c>
    </row>
    <row r="33" spans="1:14" x14ac:dyDescent="0.15">
      <c r="A33" s="22" t="s">
        <v>53</v>
      </c>
      <c r="B33" s="22" t="s">
        <v>54</v>
      </c>
      <c r="C33" s="22" t="s">
        <v>55</v>
      </c>
      <c r="D33" s="22" t="s">
        <v>112</v>
      </c>
      <c r="E33" s="22" t="s">
        <v>113</v>
      </c>
      <c r="F33" s="9">
        <f>8</f>
        <v>8</v>
      </c>
      <c r="G33" s="10">
        <f>6.8</f>
        <v>6.8</v>
      </c>
      <c r="H33" s="10">
        <f>0.4</f>
        <v>0.4</v>
      </c>
      <c r="I33" s="11">
        <f>139.62</f>
        <v>139.62</v>
      </c>
      <c r="J33" s="11">
        <f>2312.27</f>
        <v>2312.27</v>
      </c>
      <c r="K33" s="10">
        <f>7.7</f>
        <v>7.7</v>
      </c>
      <c r="L33" s="10">
        <f>0.4</f>
        <v>0.4</v>
      </c>
      <c r="M33" s="21">
        <f>82654000000</f>
        <v>82654000000</v>
      </c>
      <c r="N33" s="21">
        <f>1578752000000</f>
        <v>1578752000000</v>
      </c>
    </row>
    <row r="34" spans="1:14" x14ac:dyDescent="0.15">
      <c r="A34" s="22" t="s">
        <v>53</v>
      </c>
      <c r="B34" s="22" t="s">
        <v>54</v>
      </c>
      <c r="C34" s="22" t="s">
        <v>55</v>
      </c>
      <c r="D34" s="22" t="s">
        <v>114</v>
      </c>
      <c r="E34" s="22" t="s">
        <v>115</v>
      </c>
      <c r="F34" s="9">
        <f>3</f>
        <v>3</v>
      </c>
      <c r="G34" s="10">
        <f>10.9</f>
        <v>10.9</v>
      </c>
      <c r="H34" s="10">
        <f>0.7</f>
        <v>0.7</v>
      </c>
      <c r="I34" s="11">
        <f>157.61</f>
        <v>157.61000000000001</v>
      </c>
      <c r="J34" s="11">
        <f>2546.49</f>
        <v>2546.4899999999998</v>
      </c>
      <c r="K34" s="10">
        <f>16</f>
        <v>16</v>
      </c>
      <c r="L34" s="10">
        <f>0.6</f>
        <v>0.6</v>
      </c>
      <c r="M34" s="21">
        <f>84534000000</f>
        <v>84534000000</v>
      </c>
      <c r="N34" s="21">
        <f>2218656000000</f>
        <v>2218656000000</v>
      </c>
    </row>
    <row r="35" spans="1:14" x14ac:dyDescent="0.15">
      <c r="A35" s="22" t="s">
        <v>53</v>
      </c>
      <c r="B35" s="22" t="s">
        <v>54</v>
      </c>
      <c r="C35" s="22" t="s">
        <v>55</v>
      </c>
      <c r="D35" s="22" t="s">
        <v>116</v>
      </c>
      <c r="E35" s="22" t="s">
        <v>117</v>
      </c>
      <c r="F35" s="9">
        <f>24</f>
        <v>24</v>
      </c>
      <c r="G35" s="10">
        <f>12</f>
        <v>12</v>
      </c>
      <c r="H35" s="10">
        <f>0.8</f>
        <v>0.8</v>
      </c>
      <c r="I35" s="11">
        <f>118.37</f>
        <v>118.37</v>
      </c>
      <c r="J35" s="11">
        <f>1882.27</f>
        <v>1882.27</v>
      </c>
      <c r="K35" s="10">
        <f>13.8</f>
        <v>13.8</v>
      </c>
      <c r="L35" s="10">
        <f>0.7</f>
        <v>0.7</v>
      </c>
      <c r="M35" s="21">
        <f>82545000000</f>
        <v>82545000000</v>
      </c>
      <c r="N35" s="21">
        <f>1523930000000</f>
        <v>1523930000000</v>
      </c>
    </row>
    <row r="36" spans="1:14" x14ac:dyDescent="0.15">
      <c r="A36" s="22" t="s">
        <v>53</v>
      </c>
      <c r="B36" s="22" t="s">
        <v>54</v>
      </c>
      <c r="C36" s="22" t="s">
        <v>55</v>
      </c>
      <c r="D36" s="22" t="s">
        <v>118</v>
      </c>
      <c r="E36" s="22" t="s">
        <v>119</v>
      </c>
      <c r="F36" s="9">
        <f>227</f>
        <v>227</v>
      </c>
      <c r="G36" s="10">
        <f>29.6</f>
        <v>29.6</v>
      </c>
      <c r="H36" s="10">
        <f>2.6</f>
        <v>2.6</v>
      </c>
      <c r="I36" s="11">
        <f>79.07</f>
        <v>79.069999999999993</v>
      </c>
      <c r="J36" s="11">
        <f>894.74</f>
        <v>894.74</v>
      </c>
      <c r="K36" s="10">
        <f>28.7</f>
        <v>28.7</v>
      </c>
      <c r="L36" s="10">
        <f>1.9</f>
        <v>1.9</v>
      </c>
      <c r="M36" s="21">
        <f>2826227200000</f>
        <v>2826227200000</v>
      </c>
      <c r="N36" s="21">
        <f>43619318000000</f>
        <v>43619318000000</v>
      </c>
    </row>
    <row r="37" spans="1:14" x14ac:dyDescent="0.15">
      <c r="A37" s="22" t="s">
        <v>53</v>
      </c>
      <c r="B37" s="22" t="s">
        <v>54</v>
      </c>
      <c r="C37" s="22" t="s">
        <v>55</v>
      </c>
      <c r="D37" s="22" t="s">
        <v>120</v>
      </c>
      <c r="E37" s="22" t="s">
        <v>121</v>
      </c>
      <c r="F37" s="9">
        <f>179</f>
        <v>179</v>
      </c>
      <c r="G37" s="10">
        <f>12.6</f>
        <v>12.6</v>
      </c>
      <c r="H37" s="10">
        <f>0.8</f>
        <v>0.8</v>
      </c>
      <c r="I37" s="11">
        <f>131.9</f>
        <v>131.9</v>
      </c>
      <c r="J37" s="11">
        <f>2029.14</f>
        <v>2029.14</v>
      </c>
      <c r="K37" s="10">
        <f>10.2</f>
        <v>10.199999999999999</v>
      </c>
      <c r="L37" s="10">
        <f>0.8</f>
        <v>0.8</v>
      </c>
      <c r="M37" s="21">
        <f>2290649000000</f>
        <v>2290649000000</v>
      </c>
      <c r="N37" s="21">
        <f>30657444000000</f>
        <v>30657444000000</v>
      </c>
    </row>
    <row r="38" spans="1:14" x14ac:dyDescent="0.15">
      <c r="A38" s="22" t="s">
        <v>53</v>
      </c>
      <c r="B38" s="22" t="s">
        <v>54</v>
      </c>
      <c r="C38" s="22" t="s">
        <v>55</v>
      </c>
      <c r="D38" s="22" t="s">
        <v>122</v>
      </c>
      <c r="E38" s="22" t="s">
        <v>123</v>
      </c>
      <c r="F38" s="9">
        <f>202</f>
        <v>202</v>
      </c>
      <c r="G38" s="10">
        <f>30.5</f>
        <v>30.5</v>
      </c>
      <c r="H38" s="10">
        <f>1.7</f>
        <v>1.7</v>
      </c>
      <c r="I38" s="11">
        <f>78.3</f>
        <v>78.3</v>
      </c>
      <c r="J38" s="11">
        <f>1385.74</f>
        <v>1385.74</v>
      </c>
      <c r="K38" s="10">
        <f>27.7</f>
        <v>27.7</v>
      </c>
      <c r="L38" s="10">
        <f>1.8</f>
        <v>1.8</v>
      </c>
      <c r="M38" s="21">
        <f>1308942418400</f>
        <v>1308942418400</v>
      </c>
      <c r="N38" s="21">
        <f>19923818000000</f>
        <v>19923818000000</v>
      </c>
    </row>
    <row r="39" spans="1:14" x14ac:dyDescent="0.15">
      <c r="A39" s="22" t="s">
        <v>53</v>
      </c>
      <c r="B39" s="22" t="s">
        <v>54</v>
      </c>
      <c r="C39" s="22" t="s">
        <v>55</v>
      </c>
      <c r="D39" s="22" t="s">
        <v>124</v>
      </c>
      <c r="E39" s="22" t="s">
        <v>125</v>
      </c>
      <c r="F39" s="9">
        <f>82</f>
        <v>82</v>
      </c>
      <c r="G39" s="10">
        <f>9.4</f>
        <v>9.4</v>
      </c>
      <c r="H39" s="10">
        <f>0.3</f>
        <v>0.3</v>
      </c>
      <c r="I39" s="11">
        <f>118.79</f>
        <v>118.79</v>
      </c>
      <c r="J39" s="11">
        <f>4397.75</f>
        <v>4397.75</v>
      </c>
      <c r="K39" s="10">
        <f>7.9</f>
        <v>7.9</v>
      </c>
      <c r="L39" s="10">
        <f>0.3</f>
        <v>0.3</v>
      </c>
      <c r="M39" s="21">
        <f>3128354875858</f>
        <v>3128354875858</v>
      </c>
      <c r="N39" s="21">
        <f>72868761562700</f>
        <v>72868761562700</v>
      </c>
    </row>
    <row r="40" spans="1:14" x14ac:dyDescent="0.15">
      <c r="A40" s="22" t="s">
        <v>53</v>
      </c>
      <c r="B40" s="22" t="s">
        <v>54</v>
      </c>
      <c r="C40" s="22" t="s">
        <v>55</v>
      </c>
      <c r="D40" s="22" t="s">
        <v>126</v>
      </c>
      <c r="E40" s="22" t="s">
        <v>127</v>
      </c>
      <c r="F40" s="9">
        <f>22</f>
        <v>22</v>
      </c>
      <c r="G40" s="10">
        <f>14.6</f>
        <v>14.6</v>
      </c>
      <c r="H40" s="10">
        <f>0.6</f>
        <v>0.6</v>
      </c>
      <c r="I40" s="11">
        <f>44.62</f>
        <v>44.62</v>
      </c>
      <c r="J40" s="11">
        <f>1050.62</f>
        <v>1050.6199999999999</v>
      </c>
      <c r="K40" s="10">
        <f>10.6</f>
        <v>10.6</v>
      </c>
      <c r="L40" s="10">
        <f>0.7</f>
        <v>0.7</v>
      </c>
      <c r="M40" s="21">
        <f>359389000000</f>
        <v>359389000000</v>
      </c>
      <c r="N40" s="21">
        <f>5653051000000</f>
        <v>5653051000000</v>
      </c>
    </row>
    <row r="41" spans="1:14" x14ac:dyDescent="0.15">
      <c r="A41" s="22" t="s">
        <v>53</v>
      </c>
      <c r="B41" s="22" t="s">
        <v>54</v>
      </c>
      <c r="C41" s="22" t="s">
        <v>55</v>
      </c>
      <c r="D41" s="22" t="s">
        <v>128</v>
      </c>
      <c r="E41" s="22" t="s">
        <v>129</v>
      </c>
      <c r="F41" s="9">
        <f>8</f>
        <v>8</v>
      </c>
      <c r="G41" s="10">
        <f>13.5</f>
        <v>13.5</v>
      </c>
      <c r="H41" s="10">
        <f>0.9</f>
        <v>0.9</v>
      </c>
      <c r="I41" s="11">
        <f>186.53</f>
        <v>186.53</v>
      </c>
      <c r="J41" s="11">
        <f>2915.89</f>
        <v>2915.89</v>
      </c>
      <c r="K41" s="10">
        <f>11.4</f>
        <v>11.4</v>
      </c>
      <c r="L41" s="10">
        <f>0.6</f>
        <v>0.6</v>
      </c>
      <c r="M41" s="21">
        <f>777900000000</f>
        <v>777900000000</v>
      </c>
      <c r="N41" s="21">
        <f>14389660000000</f>
        <v>14389660000000</v>
      </c>
    </row>
    <row r="42" spans="1:14" x14ac:dyDescent="0.15">
      <c r="A42" s="22" t="s">
        <v>53</v>
      </c>
      <c r="B42" s="22" t="s">
        <v>54</v>
      </c>
      <c r="C42" s="22" t="s">
        <v>55</v>
      </c>
      <c r="D42" s="22" t="s">
        <v>130</v>
      </c>
      <c r="E42" s="22" t="s">
        <v>131</v>
      </c>
      <c r="F42" s="9">
        <f>27</f>
        <v>27</v>
      </c>
      <c r="G42" s="10">
        <f>9.3</f>
        <v>9.3000000000000007</v>
      </c>
      <c r="H42" s="10">
        <f>0.8</f>
        <v>0.8</v>
      </c>
      <c r="I42" s="11">
        <f>174.72</f>
        <v>174.72</v>
      </c>
      <c r="J42" s="11">
        <f>2073.02</f>
        <v>2073.02</v>
      </c>
      <c r="K42" s="10">
        <f>8.6</f>
        <v>8.6</v>
      </c>
      <c r="L42" s="10">
        <f>0.8</f>
        <v>0.8</v>
      </c>
      <c r="M42" s="21">
        <f>766413854545</f>
        <v>766413854545</v>
      </c>
      <c r="N42" s="21">
        <f>8332625000000</f>
        <v>8332625000000</v>
      </c>
    </row>
    <row r="43" spans="1:14" x14ac:dyDescent="0.15">
      <c r="A43" s="22" t="s">
        <v>53</v>
      </c>
      <c r="B43" s="22" t="s">
        <v>54</v>
      </c>
      <c r="C43" s="22" t="s">
        <v>55</v>
      </c>
      <c r="D43" s="22" t="s">
        <v>132</v>
      </c>
      <c r="E43" s="22" t="s">
        <v>133</v>
      </c>
      <c r="F43" s="9">
        <f>70</f>
        <v>70</v>
      </c>
      <c r="G43" s="10">
        <f>9</f>
        <v>9</v>
      </c>
      <c r="H43" s="10">
        <f>0.9</f>
        <v>0.9</v>
      </c>
      <c r="I43" s="11">
        <f>119.46</f>
        <v>119.46</v>
      </c>
      <c r="J43" s="11">
        <f>1237.49</f>
        <v>1237.49</v>
      </c>
      <c r="K43" s="10">
        <f>10.8</f>
        <v>10.8</v>
      </c>
      <c r="L43" s="10">
        <f>0.9</f>
        <v>0.9</v>
      </c>
      <c r="M43" s="21">
        <f>920676000000</f>
        <v>920676000000</v>
      </c>
      <c r="N43" s="21">
        <f>11397644000000</f>
        <v>11397644000000</v>
      </c>
    </row>
    <row r="44" spans="1:14" x14ac:dyDescent="0.15">
      <c r="A44" s="22" t="s">
        <v>53</v>
      </c>
      <c r="B44" s="22" t="s">
        <v>54</v>
      </c>
      <c r="C44" s="22" t="s">
        <v>55</v>
      </c>
      <c r="D44" s="22" t="s">
        <v>134</v>
      </c>
      <c r="E44" s="22" t="s">
        <v>135</v>
      </c>
      <c r="F44" s="9">
        <f>226</f>
        <v>226</v>
      </c>
      <c r="G44" s="10">
        <f>21.4</f>
        <v>21.4</v>
      </c>
      <c r="H44" s="10">
        <f>1.9</f>
        <v>1.9</v>
      </c>
      <c r="I44" s="11">
        <f>76.19</f>
        <v>76.19</v>
      </c>
      <c r="J44" s="11">
        <f>878.8</f>
        <v>878.8</v>
      </c>
      <c r="K44" s="10">
        <f>27.3</f>
        <v>27.3</v>
      </c>
      <c r="L44" s="10">
        <f>1.5</f>
        <v>1.5</v>
      </c>
      <c r="M44" s="21">
        <f>1263239020727</f>
        <v>1263239020727</v>
      </c>
      <c r="N44" s="21">
        <f>23621675025000</f>
        <v>23621675025000</v>
      </c>
    </row>
    <row r="45" spans="1:14" x14ac:dyDescent="0.15">
      <c r="A45" s="22" t="s">
        <v>53</v>
      </c>
      <c r="B45" s="22" t="s">
        <v>136</v>
      </c>
      <c r="C45" s="22" t="s">
        <v>137</v>
      </c>
      <c r="D45" s="22" t="s">
        <v>56</v>
      </c>
      <c r="E45" s="22" t="s">
        <v>57</v>
      </c>
      <c r="F45" s="9">
        <f>478</f>
        <v>478</v>
      </c>
      <c r="G45" s="10">
        <f>14.4</f>
        <v>14.4</v>
      </c>
      <c r="H45" s="10">
        <f>0.6</f>
        <v>0.6</v>
      </c>
      <c r="I45" s="11">
        <f>85.49</f>
        <v>85.49</v>
      </c>
      <c r="J45" s="11">
        <f>1968.04</f>
        <v>1968.04</v>
      </c>
      <c r="K45" s="10">
        <f>44.9</f>
        <v>44.9</v>
      </c>
      <c r="L45" s="10">
        <f>0.9</f>
        <v>0.9</v>
      </c>
      <c r="M45" s="21">
        <f>144461753800</f>
        <v>144461753800</v>
      </c>
      <c r="N45" s="21">
        <f>7575435270000</f>
        <v>7575435270000</v>
      </c>
    </row>
    <row r="46" spans="1:14" x14ac:dyDescent="0.15">
      <c r="A46" s="22" t="s">
        <v>53</v>
      </c>
      <c r="B46" s="22" t="s">
        <v>136</v>
      </c>
      <c r="C46" s="22" t="s">
        <v>137</v>
      </c>
      <c r="D46" s="22" t="s">
        <v>58</v>
      </c>
      <c r="E46" s="22" t="s">
        <v>59</v>
      </c>
      <c r="F46" s="9" t="str">
        <f t="shared" ref="F46:N48" si="0">"－"</f>
        <v>－</v>
      </c>
      <c r="G46" s="10" t="str">
        <f t="shared" si="0"/>
        <v>－</v>
      </c>
      <c r="H46" s="10" t="str">
        <f t="shared" si="0"/>
        <v>－</v>
      </c>
      <c r="I46" s="11" t="str">
        <f t="shared" si="0"/>
        <v>－</v>
      </c>
      <c r="J46" s="11" t="str">
        <f t="shared" si="0"/>
        <v>－</v>
      </c>
      <c r="K46" s="10" t="str">
        <f t="shared" si="0"/>
        <v>－</v>
      </c>
      <c r="L46" s="10" t="str">
        <f t="shared" si="0"/>
        <v>－</v>
      </c>
      <c r="M46" s="21" t="str">
        <f t="shared" si="0"/>
        <v>－</v>
      </c>
      <c r="N46" s="21" t="str">
        <f t="shared" si="0"/>
        <v>－</v>
      </c>
    </row>
    <row r="47" spans="1:14" x14ac:dyDescent="0.15">
      <c r="A47" s="22" t="s">
        <v>53</v>
      </c>
      <c r="B47" s="22" t="s">
        <v>136</v>
      </c>
      <c r="C47" s="22" t="s">
        <v>137</v>
      </c>
      <c r="D47" s="22" t="s">
        <v>60</v>
      </c>
      <c r="E47" s="22" t="s">
        <v>61</v>
      </c>
      <c r="F47" s="9" t="str">
        <f t="shared" si="0"/>
        <v>－</v>
      </c>
      <c r="G47" s="10" t="str">
        <f t="shared" si="0"/>
        <v>－</v>
      </c>
      <c r="H47" s="10" t="str">
        <f t="shared" si="0"/>
        <v>－</v>
      </c>
      <c r="I47" s="11" t="str">
        <f t="shared" si="0"/>
        <v>－</v>
      </c>
      <c r="J47" s="11" t="str">
        <f t="shared" si="0"/>
        <v>－</v>
      </c>
      <c r="K47" s="10" t="str">
        <f t="shared" si="0"/>
        <v>－</v>
      </c>
      <c r="L47" s="10" t="str">
        <f t="shared" si="0"/>
        <v>－</v>
      </c>
      <c r="M47" s="21" t="str">
        <f t="shared" si="0"/>
        <v>－</v>
      </c>
      <c r="N47" s="21" t="str">
        <f t="shared" si="0"/>
        <v>－</v>
      </c>
    </row>
    <row r="48" spans="1:14" x14ac:dyDescent="0.15">
      <c r="A48" s="22" t="s">
        <v>53</v>
      </c>
      <c r="B48" s="22" t="s">
        <v>136</v>
      </c>
      <c r="C48" s="22" t="s">
        <v>137</v>
      </c>
      <c r="D48" s="22" t="s">
        <v>62</v>
      </c>
      <c r="E48" s="22" t="s">
        <v>63</v>
      </c>
      <c r="F48" s="9" t="str">
        <f t="shared" si="0"/>
        <v>－</v>
      </c>
      <c r="G48" s="10" t="str">
        <f t="shared" si="0"/>
        <v>－</v>
      </c>
      <c r="H48" s="10" t="str">
        <f t="shared" si="0"/>
        <v>－</v>
      </c>
      <c r="I48" s="11" t="str">
        <f t="shared" si="0"/>
        <v>－</v>
      </c>
      <c r="J48" s="11" t="str">
        <f t="shared" si="0"/>
        <v>－</v>
      </c>
      <c r="K48" s="10" t="str">
        <f t="shared" si="0"/>
        <v>－</v>
      </c>
      <c r="L48" s="10" t="str">
        <f t="shared" si="0"/>
        <v>－</v>
      </c>
      <c r="M48" s="21" t="str">
        <f t="shared" si="0"/>
        <v>－</v>
      </c>
      <c r="N48" s="21" t="str">
        <f t="shared" si="0"/>
        <v>－</v>
      </c>
    </row>
    <row r="49" spans="1:14" x14ac:dyDescent="0.15">
      <c r="A49" s="22" t="s">
        <v>53</v>
      </c>
      <c r="B49" s="22" t="s">
        <v>136</v>
      </c>
      <c r="C49" s="22" t="s">
        <v>137</v>
      </c>
      <c r="D49" s="22" t="s">
        <v>64</v>
      </c>
      <c r="E49" s="22" t="s">
        <v>65</v>
      </c>
      <c r="F49" s="9">
        <f>475</f>
        <v>475</v>
      </c>
      <c r="G49" s="10">
        <f>14.3</f>
        <v>14.3</v>
      </c>
      <c r="H49" s="10">
        <f>0.6</f>
        <v>0.6</v>
      </c>
      <c r="I49" s="11">
        <f>86.09</f>
        <v>86.09</v>
      </c>
      <c r="J49" s="11">
        <f>1977.24</f>
        <v>1977.24</v>
      </c>
      <c r="K49" s="10">
        <f>43.2</f>
        <v>43.2</v>
      </c>
      <c r="L49" s="10">
        <f>0.9</f>
        <v>0.9</v>
      </c>
      <c r="M49" s="21">
        <f>149170753800</f>
        <v>149170753800</v>
      </c>
      <c r="N49" s="21">
        <f>7437381270000</f>
        <v>7437381270000</v>
      </c>
    </row>
    <row r="50" spans="1:14" x14ac:dyDescent="0.15">
      <c r="A50" s="22" t="s">
        <v>53</v>
      </c>
      <c r="B50" s="22" t="s">
        <v>136</v>
      </c>
      <c r="C50" s="22" t="s">
        <v>137</v>
      </c>
      <c r="D50" s="22" t="s">
        <v>66</v>
      </c>
      <c r="E50" s="22" t="s">
        <v>67</v>
      </c>
      <c r="F50" s="9">
        <f>253</f>
        <v>253</v>
      </c>
      <c r="G50" s="10">
        <f>11.9</f>
        <v>11.9</v>
      </c>
      <c r="H50" s="10">
        <f>0.6</f>
        <v>0.6</v>
      </c>
      <c r="I50" s="11">
        <f>111.13</f>
        <v>111.13</v>
      </c>
      <c r="J50" s="11">
        <f>2366.2</f>
        <v>2366.1999999999998</v>
      </c>
      <c r="K50" s="10">
        <f>69.4</f>
        <v>69.400000000000006</v>
      </c>
      <c r="L50" s="10">
        <f>0.8</f>
        <v>0.8</v>
      </c>
      <c r="M50" s="21">
        <f>57208721000</f>
        <v>57208721000</v>
      </c>
      <c r="N50" s="21">
        <f>4936361141000</f>
        <v>4936361141000</v>
      </c>
    </row>
    <row r="51" spans="1:14" x14ac:dyDescent="0.15">
      <c r="A51" s="22" t="s">
        <v>53</v>
      </c>
      <c r="B51" s="22" t="s">
        <v>136</v>
      </c>
      <c r="C51" s="22" t="s">
        <v>137</v>
      </c>
      <c r="D51" s="22" t="s">
        <v>68</v>
      </c>
      <c r="E51" s="22" t="s">
        <v>69</v>
      </c>
      <c r="F51" s="9">
        <f>222</f>
        <v>222</v>
      </c>
      <c r="G51" s="10">
        <f>19.7</f>
        <v>19.7</v>
      </c>
      <c r="H51" s="10">
        <f>0.7</f>
        <v>0.7</v>
      </c>
      <c r="I51" s="11">
        <f>57.55</f>
        <v>57.55</v>
      </c>
      <c r="J51" s="11">
        <f>1533.97</f>
        <v>1533.97</v>
      </c>
      <c r="K51" s="10">
        <f>26.9</f>
        <v>26.9</v>
      </c>
      <c r="L51" s="10">
        <f>1</f>
        <v>1</v>
      </c>
      <c r="M51" s="21">
        <f>91962032800</f>
        <v>91962032800</v>
      </c>
      <c r="N51" s="21">
        <f>2501020129000</f>
        <v>2501020129000</v>
      </c>
    </row>
    <row r="52" spans="1:14" x14ac:dyDescent="0.15">
      <c r="A52" s="22" t="s">
        <v>53</v>
      </c>
      <c r="B52" s="22" t="s">
        <v>136</v>
      </c>
      <c r="C52" s="22" t="s">
        <v>137</v>
      </c>
      <c r="D52" s="22" t="s">
        <v>70</v>
      </c>
      <c r="E52" s="22" t="s">
        <v>71</v>
      </c>
      <c r="F52" s="9" t="str">
        <f t="shared" ref="F52:N53" si="1">"－"</f>
        <v>－</v>
      </c>
      <c r="G52" s="10" t="str">
        <f t="shared" si="1"/>
        <v>－</v>
      </c>
      <c r="H52" s="10" t="str">
        <f t="shared" si="1"/>
        <v>－</v>
      </c>
      <c r="I52" s="11" t="str">
        <f t="shared" si="1"/>
        <v>－</v>
      </c>
      <c r="J52" s="11" t="str">
        <f t="shared" si="1"/>
        <v>－</v>
      </c>
      <c r="K52" s="10" t="str">
        <f t="shared" si="1"/>
        <v>－</v>
      </c>
      <c r="L52" s="10" t="str">
        <f t="shared" si="1"/>
        <v>－</v>
      </c>
      <c r="M52" s="21" t="str">
        <f t="shared" si="1"/>
        <v>－</v>
      </c>
      <c r="N52" s="21" t="str">
        <f t="shared" si="1"/>
        <v>－</v>
      </c>
    </row>
    <row r="53" spans="1:14" x14ac:dyDescent="0.15">
      <c r="A53" s="22" t="s">
        <v>53</v>
      </c>
      <c r="B53" s="22" t="s">
        <v>136</v>
      </c>
      <c r="C53" s="22" t="s">
        <v>137</v>
      </c>
      <c r="D53" s="22" t="s">
        <v>72</v>
      </c>
      <c r="E53" s="22" t="s">
        <v>73</v>
      </c>
      <c r="F53" s="9" t="str">
        <f t="shared" si="1"/>
        <v>－</v>
      </c>
      <c r="G53" s="10" t="str">
        <f t="shared" si="1"/>
        <v>－</v>
      </c>
      <c r="H53" s="10" t="str">
        <f t="shared" si="1"/>
        <v>－</v>
      </c>
      <c r="I53" s="11" t="str">
        <f t="shared" si="1"/>
        <v>－</v>
      </c>
      <c r="J53" s="11" t="str">
        <f t="shared" si="1"/>
        <v>－</v>
      </c>
      <c r="K53" s="10" t="str">
        <f t="shared" si="1"/>
        <v>－</v>
      </c>
      <c r="L53" s="10" t="str">
        <f t="shared" si="1"/>
        <v>－</v>
      </c>
      <c r="M53" s="21" t="str">
        <f t="shared" si="1"/>
        <v>－</v>
      </c>
      <c r="N53" s="21" t="str">
        <f t="shared" si="1"/>
        <v>－</v>
      </c>
    </row>
    <row r="54" spans="1:14" x14ac:dyDescent="0.15">
      <c r="A54" s="22" t="s">
        <v>53</v>
      </c>
      <c r="B54" s="22" t="s">
        <v>136</v>
      </c>
      <c r="C54" s="22" t="s">
        <v>137</v>
      </c>
      <c r="D54" s="22" t="s">
        <v>74</v>
      </c>
      <c r="E54" s="22" t="s">
        <v>75</v>
      </c>
      <c r="F54" s="9">
        <f>21</f>
        <v>21</v>
      </c>
      <c r="G54" s="10">
        <f>8.2</f>
        <v>8.1999999999999993</v>
      </c>
      <c r="H54" s="10">
        <f>0.6</f>
        <v>0.6</v>
      </c>
      <c r="I54" s="11">
        <f>137.88</f>
        <v>137.88</v>
      </c>
      <c r="J54" s="11">
        <f>1980.35</f>
        <v>1980.35</v>
      </c>
      <c r="K54" s="10">
        <f>8.2</f>
        <v>8.1999999999999993</v>
      </c>
      <c r="L54" s="10">
        <f>1.1</f>
        <v>1.1000000000000001</v>
      </c>
      <c r="M54" s="21">
        <f>27320632800</f>
        <v>27320632800</v>
      </c>
      <c r="N54" s="21">
        <f>203781000000</f>
        <v>203781000000</v>
      </c>
    </row>
    <row r="55" spans="1:14" x14ac:dyDescent="0.15">
      <c r="A55" s="22" t="s">
        <v>53</v>
      </c>
      <c r="B55" s="22" t="s">
        <v>136</v>
      </c>
      <c r="C55" s="22" t="s">
        <v>137</v>
      </c>
      <c r="D55" s="22" t="s">
        <v>76</v>
      </c>
      <c r="E55" s="22" t="s">
        <v>77</v>
      </c>
      <c r="F55" s="9">
        <f>23</f>
        <v>23</v>
      </c>
      <c r="G55" s="10">
        <f>37.2</f>
        <v>37.200000000000003</v>
      </c>
      <c r="H55" s="10">
        <f>1</f>
        <v>1</v>
      </c>
      <c r="I55" s="11">
        <f>47.29</f>
        <v>47.29</v>
      </c>
      <c r="J55" s="11">
        <f>1769.01</f>
        <v>1769.01</v>
      </c>
      <c r="K55" s="10">
        <f>22.8</f>
        <v>22.8</v>
      </c>
      <c r="L55" s="10">
        <f>1.2</f>
        <v>1.2</v>
      </c>
      <c r="M55" s="21">
        <f>18968924000</f>
        <v>18968924000</v>
      </c>
      <c r="N55" s="21">
        <f>359614000000</f>
        <v>359614000000</v>
      </c>
    </row>
    <row r="56" spans="1:14" x14ac:dyDescent="0.15">
      <c r="A56" s="22" t="s">
        <v>53</v>
      </c>
      <c r="B56" s="22" t="s">
        <v>136</v>
      </c>
      <c r="C56" s="22" t="s">
        <v>137</v>
      </c>
      <c r="D56" s="22" t="s">
        <v>78</v>
      </c>
      <c r="E56" s="22" t="s">
        <v>79</v>
      </c>
      <c r="F56" s="9">
        <f>12</f>
        <v>12</v>
      </c>
      <c r="G56" s="10" t="str">
        <f>"－"</f>
        <v>－</v>
      </c>
      <c r="H56" s="10">
        <f>0.5</f>
        <v>0.5</v>
      </c>
      <c r="I56" s="11">
        <f>-53.78</f>
        <v>-53.78</v>
      </c>
      <c r="J56" s="11">
        <f>2170.08</f>
        <v>2170.08</v>
      </c>
      <c r="K56" s="10" t="str">
        <f>"－"</f>
        <v>－</v>
      </c>
      <c r="L56" s="10">
        <f>0.6</f>
        <v>0.6</v>
      </c>
      <c r="M56" s="21">
        <f>-2513000000</f>
        <v>-2513000000</v>
      </c>
      <c r="N56" s="21">
        <f>90426000000</f>
        <v>90426000000</v>
      </c>
    </row>
    <row r="57" spans="1:14" x14ac:dyDescent="0.15">
      <c r="A57" s="22" t="s">
        <v>53</v>
      </c>
      <c r="B57" s="22" t="s">
        <v>136</v>
      </c>
      <c r="C57" s="22" t="s">
        <v>137</v>
      </c>
      <c r="D57" s="22" t="s">
        <v>80</v>
      </c>
      <c r="E57" s="22" t="s">
        <v>81</v>
      </c>
      <c r="F57" s="9">
        <f>5</f>
        <v>5</v>
      </c>
      <c r="G57" s="10">
        <f>9</f>
        <v>9</v>
      </c>
      <c r="H57" s="10">
        <f>0.5</f>
        <v>0.5</v>
      </c>
      <c r="I57" s="11">
        <f>153.35</f>
        <v>153.35</v>
      </c>
      <c r="J57" s="11">
        <f>2670.11</f>
        <v>2670.11</v>
      </c>
      <c r="K57" s="10">
        <f>13.7</f>
        <v>13.7</v>
      </c>
      <c r="L57" s="10">
        <f>0.5</f>
        <v>0.5</v>
      </c>
      <c r="M57" s="21">
        <f>3597000000</f>
        <v>3597000000</v>
      </c>
      <c r="N57" s="21">
        <f>92368000000</f>
        <v>92368000000</v>
      </c>
    </row>
    <row r="58" spans="1:14" x14ac:dyDescent="0.15">
      <c r="A58" s="22" t="s">
        <v>53</v>
      </c>
      <c r="B58" s="22" t="s">
        <v>136</v>
      </c>
      <c r="C58" s="22" t="s">
        <v>137</v>
      </c>
      <c r="D58" s="22" t="s">
        <v>82</v>
      </c>
      <c r="E58" s="22" t="s">
        <v>83</v>
      </c>
      <c r="F58" s="9">
        <f>33</f>
        <v>33</v>
      </c>
      <c r="G58" s="10">
        <f>12.7</f>
        <v>12.7</v>
      </c>
      <c r="H58" s="10">
        <f>0.6</f>
        <v>0.6</v>
      </c>
      <c r="I58" s="11">
        <f>128.54</f>
        <v>128.54</v>
      </c>
      <c r="J58" s="11">
        <f>2544.41</f>
        <v>2544.41</v>
      </c>
      <c r="K58" s="10">
        <f>12.3</f>
        <v>12.3</v>
      </c>
      <c r="L58" s="10">
        <f>0.6</f>
        <v>0.6</v>
      </c>
      <c r="M58" s="21">
        <f>30602000000</f>
        <v>30602000000</v>
      </c>
      <c r="N58" s="21">
        <f>582546000000</f>
        <v>582546000000</v>
      </c>
    </row>
    <row r="59" spans="1:14" x14ac:dyDescent="0.15">
      <c r="A59" s="22" t="s">
        <v>53</v>
      </c>
      <c r="B59" s="22" t="s">
        <v>136</v>
      </c>
      <c r="C59" s="22" t="s">
        <v>137</v>
      </c>
      <c r="D59" s="22" t="s">
        <v>84</v>
      </c>
      <c r="E59" s="22" t="s">
        <v>85</v>
      </c>
      <c r="F59" s="9">
        <f>2</f>
        <v>2</v>
      </c>
      <c r="G59" s="10">
        <f>17.6</f>
        <v>17.600000000000001</v>
      </c>
      <c r="H59" s="10">
        <f>1.1</f>
        <v>1.1000000000000001</v>
      </c>
      <c r="I59" s="11">
        <f>84.67</f>
        <v>84.67</v>
      </c>
      <c r="J59" s="11">
        <f>1403.38</f>
        <v>1403.38</v>
      </c>
      <c r="K59" s="10">
        <f>15.2</f>
        <v>15.2</v>
      </c>
      <c r="L59" s="10">
        <f>1.3</f>
        <v>1.3</v>
      </c>
      <c r="M59" s="21">
        <f>1196000000</f>
        <v>1196000000</v>
      </c>
      <c r="N59" s="21">
        <f>13766000000</f>
        <v>13766000000</v>
      </c>
    </row>
    <row r="60" spans="1:14" x14ac:dyDescent="0.15">
      <c r="A60" s="22" t="s">
        <v>53</v>
      </c>
      <c r="B60" s="22" t="s">
        <v>136</v>
      </c>
      <c r="C60" s="22" t="s">
        <v>137</v>
      </c>
      <c r="D60" s="22" t="s">
        <v>86</v>
      </c>
      <c r="E60" s="22" t="s">
        <v>87</v>
      </c>
      <c r="F60" s="9">
        <f>2</f>
        <v>2</v>
      </c>
      <c r="G60" s="10" t="str">
        <f>"－"</f>
        <v>－</v>
      </c>
      <c r="H60" s="10">
        <f>0.8</f>
        <v>0.8</v>
      </c>
      <c r="I60" s="11">
        <f>-64.61</f>
        <v>-64.61</v>
      </c>
      <c r="J60" s="11">
        <f>1299.59</f>
        <v>1299.5899999999999</v>
      </c>
      <c r="K60" s="10" t="str">
        <f>"－"</f>
        <v>－</v>
      </c>
      <c r="L60" s="10">
        <f>0.8</f>
        <v>0.8</v>
      </c>
      <c r="M60" s="21">
        <f>-1984800000</f>
        <v>-1984800000</v>
      </c>
      <c r="N60" s="21">
        <f>36853000000</f>
        <v>36853000000</v>
      </c>
    </row>
    <row r="61" spans="1:14" x14ac:dyDescent="0.15">
      <c r="A61" s="22" t="s">
        <v>53</v>
      </c>
      <c r="B61" s="22" t="s">
        <v>136</v>
      </c>
      <c r="C61" s="22" t="s">
        <v>137</v>
      </c>
      <c r="D61" s="22" t="s">
        <v>88</v>
      </c>
      <c r="E61" s="22" t="s">
        <v>89</v>
      </c>
      <c r="F61" s="9">
        <f>6</f>
        <v>6</v>
      </c>
      <c r="G61" s="10">
        <f>7.9</f>
        <v>7.9</v>
      </c>
      <c r="H61" s="10">
        <f>0.6</f>
        <v>0.6</v>
      </c>
      <c r="I61" s="11">
        <f>199.45</f>
        <v>199.45</v>
      </c>
      <c r="J61" s="11">
        <f>2471.15</f>
        <v>2471.15</v>
      </c>
      <c r="K61" s="10">
        <f>8.4</f>
        <v>8.4</v>
      </c>
      <c r="L61" s="10">
        <f>0.5</f>
        <v>0.5</v>
      </c>
      <c r="M61" s="21">
        <f>8361000000</f>
        <v>8361000000</v>
      </c>
      <c r="N61" s="21">
        <f>139538000000</f>
        <v>139538000000</v>
      </c>
    </row>
    <row r="62" spans="1:14" x14ac:dyDescent="0.15">
      <c r="A62" s="22" t="s">
        <v>53</v>
      </c>
      <c r="B62" s="22" t="s">
        <v>136</v>
      </c>
      <c r="C62" s="22" t="s">
        <v>137</v>
      </c>
      <c r="D62" s="22" t="s">
        <v>90</v>
      </c>
      <c r="E62" s="22" t="s">
        <v>91</v>
      </c>
      <c r="F62" s="9">
        <f>13</f>
        <v>13</v>
      </c>
      <c r="G62" s="10">
        <f>7.5</f>
        <v>7.5</v>
      </c>
      <c r="H62" s="10">
        <f>0.6</f>
        <v>0.6</v>
      </c>
      <c r="I62" s="11">
        <f>189.17</f>
        <v>189.17</v>
      </c>
      <c r="J62" s="11">
        <f>2430.43</f>
        <v>2430.4299999999998</v>
      </c>
      <c r="K62" s="10">
        <f>6.3</f>
        <v>6.3</v>
      </c>
      <c r="L62" s="10">
        <f>0.6</f>
        <v>0.6</v>
      </c>
      <c r="M62" s="21">
        <f>15684000000</f>
        <v>15684000000</v>
      </c>
      <c r="N62" s="21">
        <f>163552000000</f>
        <v>163552000000</v>
      </c>
    </row>
    <row r="63" spans="1:14" x14ac:dyDescent="0.15">
      <c r="A63" s="22" t="s">
        <v>53</v>
      </c>
      <c r="B63" s="22" t="s">
        <v>136</v>
      </c>
      <c r="C63" s="22" t="s">
        <v>137</v>
      </c>
      <c r="D63" s="22" t="s">
        <v>92</v>
      </c>
      <c r="E63" s="22" t="s">
        <v>93</v>
      </c>
      <c r="F63" s="9">
        <f>9</f>
        <v>9</v>
      </c>
      <c r="G63" s="10">
        <f>7</f>
        <v>7</v>
      </c>
      <c r="H63" s="10">
        <f>0.3</f>
        <v>0.3</v>
      </c>
      <c r="I63" s="11">
        <f>97.35</f>
        <v>97.35</v>
      </c>
      <c r="J63" s="11">
        <f>2275.95</f>
        <v>2275.9499999999998</v>
      </c>
      <c r="K63" s="10">
        <f>7.4</f>
        <v>7.4</v>
      </c>
      <c r="L63" s="10">
        <f>0.3</f>
        <v>0.3</v>
      </c>
      <c r="M63" s="21">
        <f>4966597000</f>
        <v>4966597000</v>
      </c>
      <c r="N63" s="21">
        <f>108982141000</f>
        <v>108982141000</v>
      </c>
    </row>
    <row r="64" spans="1:14" x14ac:dyDescent="0.15">
      <c r="A64" s="22" t="s">
        <v>53</v>
      </c>
      <c r="B64" s="22" t="s">
        <v>136</v>
      </c>
      <c r="C64" s="22" t="s">
        <v>137</v>
      </c>
      <c r="D64" s="22" t="s">
        <v>94</v>
      </c>
      <c r="E64" s="22" t="s">
        <v>95</v>
      </c>
      <c r="F64" s="9">
        <f>6</f>
        <v>6</v>
      </c>
      <c r="G64" s="10">
        <f>9.3</f>
        <v>9.3000000000000007</v>
      </c>
      <c r="H64" s="10">
        <f>0.5</f>
        <v>0.5</v>
      </c>
      <c r="I64" s="11">
        <f>87.34</f>
        <v>87.34</v>
      </c>
      <c r="J64" s="11">
        <f>1566.89</f>
        <v>1566.89</v>
      </c>
      <c r="K64" s="10">
        <f>17.4</f>
        <v>17.399999999999999</v>
      </c>
      <c r="L64" s="10">
        <f>0.6</f>
        <v>0.6</v>
      </c>
      <c r="M64" s="21">
        <f>1419000000</f>
        <v>1419000000</v>
      </c>
      <c r="N64" s="21">
        <f>44297000000</f>
        <v>44297000000</v>
      </c>
    </row>
    <row r="65" spans="1:14" x14ac:dyDescent="0.15">
      <c r="A65" s="22" t="s">
        <v>53</v>
      </c>
      <c r="B65" s="22" t="s">
        <v>136</v>
      </c>
      <c r="C65" s="22" t="s">
        <v>137</v>
      </c>
      <c r="D65" s="22" t="s">
        <v>96</v>
      </c>
      <c r="E65" s="22" t="s">
        <v>97</v>
      </c>
      <c r="F65" s="9">
        <f>28</f>
        <v>28</v>
      </c>
      <c r="G65" s="10">
        <f>5.1</f>
        <v>5.0999999999999996</v>
      </c>
      <c r="H65" s="10">
        <f>0.4</f>
        <v>0.4</v>
      </c>
      <c r="I65" s="11">
        <f>272.83</f>
        <v>272.83</v>
      </c>
      <c r="J65" s="11">
        <f>3168.8</f>
        <v>3168.8</v>
      </c>
      <c r="K65" s="10">
        <f>9</f>
        <v>9</v>
      </c>
      <c r="L65" s="10">
        <f>0.6</f>
        <v>0.6</v>
      </c>
      <c r="M65" s="21">
        <f>23398000000</f>
        <v>23398000000</v>
      </c>
      <c r="N65" s="21">
        <f>379714000000</f>
        <v>379714000000</v>
      </c>
    </row>
    <row r="66" spans="1:14" x14ac:dyDescent="0.15">
      <c r="A66" s="22" t="s">
        <v>53</v>
      </c>
      <c r="B66" s="22" t="s">
        <v>136</v>
      </c>
      <c r="C66" s="22" t="s">
        <v>137</v>
      </c>
      <c r="D66" s="22" t="s">
        <v>98</v>
      </c>
      <c r="E66" s="22" t="s">
        <v>99</v>
      </c>
      <c r="F66" s="9">
        <f>40</f>
        <v>40</v>
      </c>
      <c r="G66" s="10">
        <f>13.1</f>
        <v>13.1</v>
      </c>
      <c r="H66" s="10">
        <f>0.6</f>
        <v>0.6</v>
      </c>
      <c r="I66" s="11">
        <f>116.83</f>
        <v>116.83</v>
      </c>
      <c r="J66" s="11">
        <f>2494.97</f>
        <v>2494.9699999999998</v>
      </c>
      <c r="K66" s="10">
        <f>12.3</f>
        <v>12.3</v>
      </c>
      <c r="L66" s="10">
        <f>0.7</f>
        <v>0.7</v>
      </c>
      <c r="M66" s="21">
        <f>28907000000</f>
        <v>28907000000</v>
      </c>
      <c r="N66" s="21">
        <f>510241000000</f>
        <v>510241000000</v>
      </c>
    </row>
    <row r="67" spans="1:14" x14ac:dyDescent="0.15">
      <c r="A67" s="22" t="s">
        <v>53</v>
      </c>
      <c r="B67" s="22" t="s">
        <v>136</v>
      </c>
      <c r="C67" s="22" t="s">
        <v>137</v>
      </c>
      <c r="D67" s="22" t="s">
        <v>100</v>
      </c>
      <c r="E67" s="22" t="s">
        <v>101</v>
      </c>
      <c r="F67" s="9">
        <f>34</f>
        <v>34</v>
      </c>
      <c r="G67" s="10">
        <f>25.7</f>
        <v>25.7</v>
      </c>
      <c r="H67" s="10">
        <f>0.8</f>
        <v>0.8</v>
      </c>
      <c r="I67" s="11">
        <f>41.24</f>
        <v>41.24</v>
      </c>
      <c r="J67" s="11">
        <f>1338.74</f>
        <v>1338.74</v>
      </c>
      <c r="K67" s="10" t="str">
        <f>"－"</f>
        <v>－</v>
      </c>
      <c r="L67" s="10">
        <f>1.3</f>
        <v>1.3</v>
      </c>
      <c r="M67" s="21">
        <f>-100699000000</f>
        <v>-100699000000</v>
      </c>
      <c r="N67" s="21">
        <f>1444340000000</f>
        <v>1444340000000</v>
      </c>
    </row>
    <row r="68" spans="1:14" x14ac:dyDescent="0.15">
      <c r="A68" s="22" t="s">
        <v>53</v>
      </c>
      <c r="B68" s="22" t="s">
        <v>136</v>
      </c>
      <c r="C68" s="22" t="s">
        <v>137</v>
      </c>
      <c r="D68" s="22" t="s">
        <v>102</v>
      </c>
      <c r="E68" s="22" t="s">
        <v>103</v>
      </c>
      <c r="F68" s="9">
        <f>16</f>
        <v>16</v>
      </c>
      <c r="G68" s="10">
        <f>10.5</f>
        <v>10.5</v>
      </c>
      <c r="H68" s="10">
        <f>0.3</f>
        <v>0.3</v>
      </c>
      <c r="I68" s="11">
        <f>95.45</f>
        <v>95.45</v>
      </c>
      <c r="J68" s="11">
        <f>3155.42</f>
        <v>3155.42</v>
      </c>
      <c r="K68" s="10">
        <f>15.2</f>
        <v>15.2</v>
      </c>
      <c r="L68" s="10">
        <f>0.3</f>
        <v>0.3</v>
      </c>
      <c r="M68" s="21">
        <f>14450000000</f>
        <v>14450000000</v>
      </c>
      <c r="N68" s="21">
        <f>681254000000</f>
        <v>681254000000</v>
      </c>
    </row>
    <row r="69" spans="1:14" x14ac:dyDescent="0.15">
      <c r="A69" s="22" t="s">
        <v>53</v>
      </c>
      <c r="B69" s="22" t="s">
        <v>136</v>
      </c>
      <c r="C69" s="22" t="s">
        <v>137</v>
      </c>
      <c r="D69" s="22" t="s">
        <v>104</v>
      </c>
      <c r="E69" s="22" t="s">
        <v>105</v>
      </c>
      <c r="F69" s="9">
        <f>4</f>
        <v>4</v>
      </c>
      <c r="G69" s="10">
        <f>184.8</f>
        <v>184.8</v>
      </c>
      <c r="H69" s="10">
        <f>0.5</f>
        <v>0.5</v>
      </c>
      <c r="I69" s="11">
        <f>7.4</f>
        <v>7.4</v>
      </c>
      <c r="J69" s="11">
        <f>3016.84</f>
        <v>3016.84</v>
      </c>
      <c r="K69" s="10">
        <f>15.7</f>
        <v>15.7</v>
      </c>
      <c r="L69" s="10">
        <f>0.6</f>
        <v>0.6</v>
      </c>
      <c r="M69" s="21">
        <f>2963000000</f>
        <v>2963000000</v>
      </c>
      <c r="N69" s="21">
        <f>78735000000</f>
        <v>78735000000</v>
      </c>
    </row>
    <row r="70" spans="1:14" x14ac:dyDescent="0.15">
      <c r="A70" s="22" t="s">
        <v>53</v>
      </c>
      <c r="B70" s="22" t="s">
        <v>136</v>
      </c>
      <c r="C70" s="22" t="s">
        <v>137</v>
      </c>
      <c r="D70" s="22" t="s">
        <v>106</v>
      </c>
      <c r="E70" s="22" t="s">
        <v>107</v>
      </c>
      <c r="F70" s="9">
        <f>20</f>
        <v>20</v>
      </c>
      <c r="G70" s="10">
        <f>8.5</f>
        <v>8.5</v>
      </c>
      <c r="H70" s="10">
        <f>0.3</f>
        <v>0.3</v>
      </c>
      <c r="I70" s="11">
        <f>114.87</f>
        <v>114.87</v>
      </c>
      <c r="J70" s="11">
        <f>2814.8</f>
        <v>2814.8</v>
      </c>
      <c r="K70" s="10">
        <f>15.7</f>
        <v>15.7</v>
      </c>
      <c r="L70" s="10">
        <f>0.6</f>
        <v>0.6</v>
      </c>
      <c r="M70" s="21">
        <f>7893000000</f>
        <v>7893000000</v>
      </c>
      <c r="N70" s="21">
        <f>210135000000</f>
        <v>210135000000</v>
      </c>
    </row>
    <row r="71" spans="1:14" x14ac:dyDescent="0.15">
      <c r="A71" s="22" t="s">
        <v>53</v>
      </c>
      <c r="B71" s="22" t="s">
        <v>136</v>
      </c>
      <c r="C71" s="22" t="s">
        <v>137</v>
      </c>
      <c r="D71" s="22" t="s">
        <v>108</v>
      </c>
      <c r="E71" s="22" t="s">
        <v>109</v>
      </c>
      <c r="F71" s="9">
        <f>2</f>
        <v>2</v>
      </c>
      <c r="G71" s="10">
        <f>9.2</f>
        <v>9.1999999999999993</v>
      </c>
      <c r="H71" s="10">
        <f>0.4</f>
        <v>0.4</v>
      </c>
      <c r="I71" s="11">
        <f>344.27</f>
        <v>344.27</v>
      </c>
      <c r="J71" s="11">
        <f>8681.85</f>
        <v>8681.85</v>
      </c>
      <c r="K71" s="10">
        <f>8.3</f>
        <v>8.3000000000000007</v>
      </c>
      <c r="L71" s="10">
        <f>0.4</f>
        <v>0.4</v>
      </c>
      <c r="M71" s="21">
        <f>6058000000</f>
        <v>6058000000</v>
      </c>
      <c r="N71" s="21">
        <f>128113000000</f>
        <v>128113000000</v>
      </c>
    </row>
    <row r="72" spans="1:14" x14ac:dyDescent="0.15">
      <c r="A72" s="22" t="s">
        <v>53</v>
      </c>
      <c r="B72" s="22" t="s">
        <v>136</v>
      </c>
      <c r="C72" s="22" t="s">
        <v>137</v>
      </c>
      <c r="D72" s="22" t="s">
        <v>110</v>
      </c>
      <c r="E72" s="22" t="s">
        <v>111</v>
      </c>
      <c r="F72" s="9">
        <f>10</f>
        <v>10</v>
      </c>
      <c r="G72" s="10">
        <f>10.6</f>
        <v>10.6</v>
      </c>
      <c r="H72" s="10">
        <f>0.5</f>
        <v>0.5</v>
      </c>
      <c r="I72" s="11">
        <f>138.46</f>
        <v>138.46</v>
      </c>
      <c r="J72" s="11">
        <f>3111.93</f>
        <v>3111.93</v>
      </c>
      <c r="K72" s="10">
        <f>12.7</f>
        <v>12.7</v>
      </c>
      <c r="L72" s="10">
        <f>0.5</f>
        <v>0.5</v>
      </c>
      <c r="M72" s="21">
        <f>10028000000</f>
        <v>10028000000</v>
      </c>
      <c r="N72" s="21">
        <f>237373000000</f>
        <v>237373000000</v>
      </c>
    </row>
    <row r="73" spans="1:14" x14ac:dyDescent="0.15">
      <c r="A73" s="22" t="s">
        <v>53</v>
      </c>
      <c r="B73" s="22" t="s">
        <v>136</v>
      </c>
      <c r="C73" s="22" t="s">
        <v>137</v>
      </c>
      <c r="D73" s="22" t="s">
        <v>112</v>
      </c>
      <c r="E73" s="22" t="s">
        <v>113</v>
      </c>
      <c r="F73" s="9">
        <f>4</f>
        <v>4</v>
      </c>
      <c r="G73" s="10">
        <f>39.1</f>
        <v>39.1</v>
      </c>
      <c r="H73" s="10">
        <f>0.4</f>
        <v>0.4</v>
      </c>
      <c r="I73" s="11">
        <f>35.68</f>
        <v>35.68</v>
      </c>
      <c r="J73" s="11">
        <f>3955.14</f>
        <v>3955.14</v>
      </c>
      <c r="K73" s="10">
        <f>15.4</f>
        <v>15.4</v>
      </c>
      <c r="L73" s="10">
        <f>0.3</f>
        <v>0.3</v>
      </c>
      <c r="M73" s="21">
        <f>1117000000</f>
        <v>1117000000</v>
      </c>
      <c r="N73" s="21">
        <f>58366000000</f>
        <v>58366000000</v>
      </c>
    </row>
    <row r="74" spans="1:14" x14ac:dyDescent="0.15">
      <c r="A74" s="22" t="s">
        <v>53</v>
      </c>
      <c r="B74" s="22" t="s">
        <v>136</v>
      </c>
      <c r="C74" s="22" t="s">
        <v>137</v>
      </c>
      <c r="D74" s="22" t="s">
        <v>114</v>
      </c>
      <c r="E74" s="22" t="s">
        <v>115</v>
      </c>
      <c r="F74" s="9">
        <f>2</f>
        <v>2</v>
      </c>
      <c r="G74" s="10" t="str">
        <f>"－"</f>
        <v>－</v>
      </c>
      <c r="H74" s="10">
        <f>1.1</f>
        <v>1.1000000000000001</v>
      </c>
      <c r="I74" s="11">
        <f>-40.78</f>
        <v>-40.78</v>
      </c>
      <c r="J74" s="11">
        <f>1555.15</f>
        <v>1555.15</v>
      </c>
      <c r="K74" s="10">
        <f>34.1</f>
        <v>34.1</v>
      </c>
      <c r="L74" s="10">
        <f>1.1</f>
        <v>1.1000000000000001</v>
      </c>
      <c r="M74" s="21">
        <f>680000000</f>
        <v>680000000</v>
      </c>
      <c r="N74" s="21">
        <f>20778000000</f>
        <v>20778000000</v>
      </c>
    </row>
    <row r="75" spans="1:14" x14ac:dyDescent="0.15">
      <c r="A75" s="22" t="s">
        <v>53</v>
      </c>
      <c r="B75" s="22" t="s">
        <v>136</v>
      </c>
      <c r="C75" s="22" t="s">
        <v>137</v>
      </c>
      <c r="D75" s="22" t="s">
        <v>116</v>
      </c>
      <c r="E75" s="22" t="s">
        <v>117</v>
      </c>
      <c r="F75" s="9">
        <f>10</f>
        <v>10</v>
      </c>
      <c r="G75" s="10">
        <f>11.7</f>
        <v>11.7</v>
      </c>
      <c r="H75" s="10">
        <f>0.4</f>
        <v>0.4</v>
      </c>
      <c r="I75" s="11">
        <f>110.86</f>
        <v>110.86</v>
      </c>
      <c r="J75" s="11">
        <f>3198.65</f>
        <v>3198.65</v>
      </c>
      <c r="K75" s="10">
        <f>12.1</f>
        <v>12.1</v>
      </c>
      <c r="L75" s="10">
        <f>0.4</f>
        <v>0.4</v>
      </c>
      <c r="M75" s="21">
        <f>3259000000</f>
        <v>3259000000</v>
      </c>
      <c r="N75" s="21">
        <f>96557000000</f>
        <v>96557000000</v>
      </c>
    </row>
    <row r="76" spans="1:14" x14ac:dyDescent="0.15">
      <c r="A76" s="22" t="s">
        <v>53</v>
      </c>
      <c r="B76" s="22" t="s">
        <v>136</v>
      </c>
      <c r="C76" s="22" t="s">
        <v>137</v>
      </c>
      <c r="D76" s="22" t="s">
        <v>118</v>
      </c>
      <c r="E76" s="22" t="s">
        <v>119</v>
      </c>
      <c r="F76" s="9">
        <f>31</f>
        <v>31</v>
      </c>
      <c r="G76" s="10">
        <f>28.5</f>
        <v>28.5</v>
      </c>
      <c r="H76" s="10">
        <f>2.2</f>
        <v>2.2000000000000002</v>
      </c>
      <c r="I76" s="11">
        <f>39.87</f>
        <v>39.869999999999997</v>
      </c>
      <c r="J76" s="11">
        <f>525.57</f>
        <v>525.57000000000005</v>
      </c>
      <c r="K76" s="10">
        <f>73.8</f>
        <v>73.8</v>
      </c>
      <c r="L76" s="10">
        <f>2.1</f>
        <v>2.1</v>
      </c>
      <c r="M76" s="21">
        <f>3630400000</f>
        <v>3630400000</v>
      </c>
      <c r="N76" s="21">
        <f>126411000000</f>
        <v>126411000000</v>
      </c>
    </row>
    <row r="77" spans="1:14" x14ac:dyDescent="0.15">
      <c r="A77" s="22" t="s">
        <v>53</v>
      </c>
      <c r="B77" s="22" t="s">
        <v>136</v>
      </c>
      <c r="C77" s="22" t="s">
        <v>137</v>
      </c>
      <c r="D77" s="22" t="s">
        <v>120</v>
      </c>
      <c r="E77" s="22" t="s">
        <v>121</v>
      </c>
      <c r="F77" s="9">
        <f>46</f>
        <v>46</v>
      </c>
      <c r="G77" s="10">
        <f>14.8</f>
        <v>14.8</v>
      </c>
      <c r="H77" s="10">
        <f>0.6</f>
        <v>0.6</v>
      </c>
      <c r="I77" s="11">
        <f>81.88</f>
        <v>81.88</v>
      </c>
      <c r="J77" s="11">
        <f>2113.21</f>
        <v>2113.21</v>
      </c>
      <c r="K77" s="10">
        <f>15.3</f>
        <v>15.3</v>
      </c>
      <c r="L77" s="10">
        <f>0.8</f>
        <v>0.8</v>
      </c>
      <c r="M77" s="21">
        <f>35060000000</f>
        <v>35060000000</v>
      </c>
      <c r="N77" s="21">
        <f>705898000000</f>
        <v>705898000000</v>
      </c>
    </row>
    <row r="78" spans="1:14" x14ac:dyDescent="0.15">
      <c r="A78" s="22" t="s">
        <v>53</v>
      </c>
      <c r="B78" s="22" t="s">
        <v>136</v>
      </c>
      <c r="C78" s="22" t="s">
        <v>137</v>
      </c>
      <c r="D78" s="22" t="s">
        <v>122</v>
      </c>
      <c r="E78" s="22" t="s">
        <v>123</v>
      </c>
      <c r="F78" s="9">
        <f>40</f>
        <v>40</v>
      </c>
      <c r="G78" s="10" t="str">
        <f>"－"</f>
        <v>－</v>
      </c>
      <c r="H78" s="10">
        <f>1.3</f>
        <v>1.3</v>
      </c>
      <c r="I78" s="11">
        <f>-32.55</f>
        <v>-32.549999999999997</v>
      </c>
      <c r="J78" s="11">
        <f>652.21</f>
        <v>652.21</v>
      </c>
      <c r="K78" s="10" t="str">
        <f>"－"</f>
        <v>－</v>
      </c>
      <c r="L78" s="10">
        <f>1.4</f>
        <v>1.4</v>
      </c>
      <c r="M78" s="21">
        <f>-19764000000</f>
        <v>-19764000000</v>
      </c>
      <c r="N78" s="21">
        <f>409613129000</f>
        <v>409613129000</v>
      </c>
    </row>
    <row r="79" spans="1:14" x14ac:dyDescent="0.15">
      <c r="A79" s="22" t="s">
        <v>53</v>
      </c>
      <c r="B79" s="22" t="s">
        <v>136</v>
      </c>
      <c r="C79" s="22" t="s">
        <v>137</v>
      </c>
      <c r="D79" s="22" t="s">
        <v>124</v>
      </c>
      <c r="E79" s="22" t="s">
        <v>125</v>
      </c>
      <c r="F79" s="9" t="str">
        <f>"－"</f>
        <v>－</v>
      </c>
      <c r="G79" s="10" t="str">
        <f>"－"</f>
        <v>－</v>
      </c>
      <c r="H79" s="10" t="str">
        <f>"－"</f>
        <v>－</v>
      </c>
      <c r="I79" s="11" t="str">
        <f>"－"</f>
        <v>－</v>
      </c>
      <c r="J79" s="11" t="str">
        <f>"－"</f>
        <v>－</v>
      </c>
      <c r="K79" s="10" t="str">
        <f>"－"</f>
        <v>－</v>
      </c>
      <c r="L79" s="10" t="str">
        <f>"－"</f>
        <v>－</v>
      </c>
      <c r="M79" s="21" t="str">
        <f>"－"</f>
        <v>－</v>
      </c>
      <c r="N79" s="21" t="str">
        <f>"－"</f>
        <v>－</v>
      </c>
    </row>
    <row r="80" spans="1:14" x14ac:dyDescent="0.15">
      <c r="A80" s="22" t="s">
        <v>53</v>
      </c>
      <c r="B80" s="22" t="s">
        <v>136</v>
      </c>
      <c r="C80" s="22" t="s">
        <v>137</v>
      </c>
      <c r="D80" s="22" t="s">
        <v>126</v>
      </c>
      <c r="E80" s="22" t="s">
        <v>127</v>
      </c>
      <c r="F80" s="9">
        <f>2</f>
        <v>2</v>
      </c>
      <c r="G80" s="10">
        <f>42.3</f>
        <v>42.3</v>
      </c>
      <c r="H80" s="10">
        <f>0.7</f>
        <v>0.7</v>
      </c>
      <c r="I80" s="11">
        <f>4.11</f>
        <v>4.1100000000000003</v>
      </c>
      <c r="J80" s="11">
        <f>250.39</f>
        <v>250.39</v>
      </c>
      <c r="K80" s="10" t="str">
        <f>"－"</f>
        <v>－</v>
      </c>
      <c r="L80" s="10">
        <f>0.7</f>
        <v>0.7</v>
      </c>
      <c r="M80" s="21">
        <f>-377000000</f>
        <v>-377000000</v>
      </c>
      <c r="N80" s="21">
        <f>19101000000</f>
        <v>19101000000</v>
      </c>
    </row>
    <row r="81" spans="1:14" x14ac:dyDescent="0.15">
      <c r="A81" s="22" t="s">
        <v>53</v>
      </c>
      <c r="B81" s="22" t="s">
        <v>136</v>
      </c>
      <c r="C81" s="22" t="s">
        <v>137</v>
      </c>
      <c r="D81" s="22" t="s">
        <v>128</v>
      </c>
      <c r="E81" s="22" t="s">
        <v>129</v>
      </c>
      <c r="F81" s="9" t="str">
        <f>"－"</f>
        <v>－</v>
      </c>
      <c r="G81" s="10" t="str">
        <f>"－"</f>
        <v>－</v>
      </c>
      <c r="H81" s="10" t="str">
        <f>"－"</f>
        <v>－</v>
      </c>
      <c r="I81" s="11" t="str">
        <f>"－"</f>
        <v>－</v>
      </c>
      <c r="J81" s="11" t="str">
        <f>"－"</f>
        <v>－</v>
      </c>
      <c r="K81" s="10" t="str">
        <f>"－"</f>
        <v>－</v>
      </c>
      <c r="L81" s="10" t="str">
        <f>"－"</f>
        <v>－</v>
      </c>
      <c r="M81" s="21" t="str">
        <f>"－"</f>
        <v>－</v>
      </c>
      <c r="N81" s="21" t="str">
        <f>"－"</f>
        <v>－</v>
      </c>
    </row>
    <row r="82" spans="1:14" x14ac:dyDescent="0.15">
      <c r="A82" s="22" t="s">
        <v>53</v>
      </c>
      <c r="B82" s="22" t="s">
        <v>136</v>
      </c>
      <c r="C82" s="22" t="s">
        <v>137</v>
      </c>
      <c r="D82" s="22" t="s">
        <v>130</v>
      </c>
      <c r="E82" s="22" t="s">
        <v>131</v>
      </c>
      <c r="F82" s="9">
        <f>1</f>
        <v>1</v>
      </c>
      <c r="G82" s="10" t="str">
        <f>"－"</f>
        <v>－</v>
      </c>
      <c r="H82" s="10">
        <f>0.2</f>
        <v>0.2</v>
      </c>
      <c r="I82" s="11">
        <f>-37.52</f>
        <v>-37.520000000000003</v>
      </c>
      <c r="J82" s="11">
        <f>1030.16</f>
        <v>1030.1600000000001</v>
      </c>
      <c r="K82" s="10" t="str">
        <f>"－"</f>
        <v>－</v>
      </c>
      <c r="L82" s="10">
        <f>0.2</f>
        <v>0.2</v>
      </c>
      <c r="M82" s="21">
        <f>-4332000000</f>
        <v>-4332000000</v>
      </c>
      <c r="N82" s="21">
        <f>118953000000</f>
        <v>118953000000</v>
      </c>
    </row>
    <row r="83" spans="1:14" x14ac:dyDescent="0.15">
      <c r="A83" s="22" t="s">
        <v>53</v>
      </c>
      <c r="B83" s="22" t="s">
        <v>136</v>
      </c>
      <c r="C83" s="22" t="s">
        <v>137</v>
      </c>
      <c r="D83" s="22" t="s">
        <v>132</v>
      </c>
      <c r="E83" s="22" t="s">
        <v>133</v>
      </c>
      <c r="F83" s="9">
        <f>15</f>
        <v>15</v>
      </c>
      <c r="G83" s="10">
        <f>8.6</f>
        <v>8.6</v>
      </c>
      <c r="H83" s="10">
        <f>0.6</f>
        <v>0.6</v>
      </c>
      <c r="I83" s="11">
        <f>65.87</f>
        <v>65.87</v>
      </c>
      <c r="J83" s="11">
        <f>909.27</f>
        <v>909.27</v>
      </c>
      <c r="K83" s="10">
        <f>23.5</f>
        <v>23.5</v>
      </c>
      <c r="L83" s="10">
        <f>1</f>
        <v>1</v>
      </c>
      <c r="M83" s="21">
        <f>4391000000</f>
        <v>4391000000</v>
      </c>
      <c r="N83" s="21">
        <f>105511000000</f>
        <v>105511000000</v>
      </c>
    </row>
    <row r="84" spans="1:14" x14ac:dyDescent="0.15">
      <c r="A84" s="22" t="s">
        <v>53</v>
      </c>
      <c r="B84" s="22" t="s">
        <v>136</v>
      </c>
      <c r="C84" s="22" t="s">
        <v>137</v>
      </c>
      <c r="D84" s="22" t="s">
        <v>134</v>
      </c>
      <c r="E84" s="22" t="s">
        <v>135</v>
      </c>
      <c r="F84" s="9">
        <f>41</f>
        <v>41</v>
      </c>
      <c r="G84" s="10">
        <f>26.4</f>
        <v>26.4</v>
      </c>
      <c r="H84" s="10">
        <f>1.1</f>
        <v>1.1000000000000001</v>
      </c>
      <c r="I84" s="11">
        <f>47.54</f>
        <v>47.54</v>
      </c>
      <c r="J84" s="11">
        <f>1129.9</f>
        <v>1129.9000000000001</v>
      </c>
      <c r="K84" s="10">
        <f>26.4</f>
        <v>26.4</v>
      </c>
      <c r="L84" s="10">
        <f>1.3</f>
        <v>1.3</v>
      </c>
      <c r="M84" s="21">
        <f>20182000000</f>
        <v>20182000000</v>
      </c>
      <c r="N84" s="21">
        <f>408619000000</f>
        <v>408619000000</v>
      </c>
    </row>
    <row r="85" spans="1:14" x14ac:dyDescent="0.15">
      <c r="A85" s="22" t="s">
        <v>53</v>
      </c>
      <c r="B85" s="22" t="s">
        <v>138</v>
      </c>
      <c r="C85" s="22" t="s">
        <v>139</v>
      </c>
      <c r="D85" s="22" t="s">
        <v>56</v>
      </c>
      <c r="E85" s="22" t="s">
        <v>57</v>
      </c>
      <c r="F85" s="9">
        <f>319</f>
        <v>319</v>
      </c>
      <c r="G85" s="10">
        <f>97.5</f>
        <v>97.5</v>
      </c>
      <c r="H85" s="10">
        <f>4.8</f>
        <v>4.8</v>
      </c>
      <c r="I85" s="11">
        <f>18.58</f>
        <v>18.579999999999998</v>
      </c>
      <c r="J85" s="11">
        <f>378.7</f>
        <v>378.7</v>
      </c>
      <c r="K85" s="10" t="str">
        <f t="shared" ref="K85:K90" si="2">"－"</f>
        <v>－</v>
      </c>
      <c r="L85" s="10">
        <f>5.4</f>
        <v>5.4</v>
      </c>
      <c r="M85" s="21">
        <f>-40551358000</f>
        <v>-40551358000</v>
      </c>
      <c r="N85" s="21">
        <f>1247817563133</f>
        <v>1247817563133</v>
      </c>
    </row>
    <row r="86" spans="1:14" x14ac:dyDescent="0.15">
      <c r="A86" s="22" t="s">
        <v>53</v>
      </c>
      <c r="B86" s="22" t="s">
        <v>138</v>
      </c>
      <c r="C86" s="22" t="s">
        <v>139</v>
      </c>
      <c r="D86" s="22" t="s">
        <v>58</v>
      </c>
      <c r="E86" s="22" t="s">
        <v>59</v>
      </c>
      <c r="F86" s="9" t="str">
        <f t="shared" ref="F86:J88" si="3">"－"</f>
        <v>－</v>
      </c>
      <c r="G86" s="10" t="str">
        <f t="shared" si="3"/>
        <v>－</v>
      </c>
      <c r="H86" s="10" t="str">
        <f t="shared" si="3"/>
        <v>－</v>
      </c>
      <c r="I86" s="11" t="str">
        <f t="shared" si="3"/>
        <v>－</v>
      </c>
      <c r="J86" s="11" t="str">
        <f t="shared" si="3"/>
        <v>－</v>
      </c>
      <c r="K86" s="10" t="str">
        <f t="shared" si="2"/>
        <v>－</v>
      </c>
      <c r="L86" s="10" t="str">
        <f t="shared" ref="L86:N88" si="4">"－"</f>
        <v>－</v>
      </c>
      <c r="M86" s="21" t="str">
        <f t="shared" si="4"/>
        <v>－</v>
      </c>
      <c r="N86" s="21" t="str">
        <f t="shared" si="4"/>
        <v>－</v>
      </c>
    </row>
    <row r="87" spans="1:14" x14ac:dyDescent="0.15">
      <c r="A87" s="22" t="s">
        <v>53</v>
      </c>
      <c r="B87" s="22" t="s">
        <v>138</v>
      </c>
      <c r="C87" s="22" t="s">
        <v>139</v>
      </c>
      <c r="D87" s="22" t="s">
        <v>60</v>
      </c>
      <c r="E87" s="22" t="s">
        <v>61</v>
      </c>
      <c r="F87" s="9" t="str">
        <f t="shared" si="3"/>
        <v>－</v>
      </c>
      <c r="G87" s="10" t="str">
        <f t="shared" si="3"/>
        <v>－</v>
      </c>
      <c r="H87" s="10" t="str">
        <f t="shared" si="3"/>
        <v>－</v>
      </c>
      <c r="I87" s="11" t="str">
        <f t="shared" si="3"/>
        <v>－</v>
      </c>
      <c r="J87" s="11" t="str">
        <f t="shared" si="3"/>
        <v>－</v>
      </c>
      <c r="K87" s="10" t="str">
        <f t="shared" si="2"/>
        <v>－</v>
      </c>
      <c r="L87" s="10" t="str">
        <f t="shared" si="4"/>
        <v>－</v>
      </c>
      <c r="M87" s="21" t="str">
        <f t="shared" si="4"/>
        <v>－</v>
      </c>
      <c r="N87" s="21" t="str">
        <f t="shared" si="4"/>
        <v>－</v>
      </c>
    </row>
    <row r="88" spans="1:14" x14ac:dyDescent="0.15">
      <c r="A88" s="22" t="s">
        <v>53</v>
      </c>
      <c r="B88" s="22" t="s">
        <v>138</v>
      </c>
      <c r="C88" s="22" t="s">
        <v>139</v>
      </c>
      <c r="D88" s="22" t="s">
        <v>62</v>
      </c>
      <c r="E88" s="22" t="s">
        <v>63</v>
      </c>
      <c r="F88" s="9" t="str">
        <f t="shared" si="3"/>
        <v>－</v>
      </c>
      <c r="G88" s="10" t="str">
        <f t="shared" si="3"/>
        <v>－</v>
      </c>
      <c r="H88" s="10" t="str">
        <f t="shared" si="3"/>
        <v>－</v>
      </c>
      <c r="I88" s="11" t="str">
        <f t="shared" si="3"/>
        <v>－</v>
      </c>
      <c r="J88" s="11" t="str">
        <f t="shared" si="3"/>
        <v>－</v>
      </c>
      <c r="K88" s="10" t="str">
        <f t="shared" si="2"/>
        <v>－</v>
      </c>
      <c r="L88" s="10" t="str">
        <f t="shared" si="4"/>
        <v>－</v>
      </c>
      <c r="M88" s="21" t="str">
        <f t="shared" si="4"/>
        <v>－</v>
      </c>
      <c r="N88" s="21" t="str">
        <f t="shared" si="4"/>
        <v>－</v>
      </c>
    </row>
    <row r="89" spans="1:14" x14ac:dyDescent="0.15">
      <c r="A89" s="22" t="s">
        <v>53</v>
      </c>
      <c r="B89" s="22" t="s">
        <v>138</v>
      </c>
      <c r="C89" s="22" t="s">
        <v>139</v>
      </c>
      <c r="D89" s="22" t="s">
        <v>64</v>
      </c>
      <c r="E89" s="22" t="s">
        <v>65</v>
      </c>
      <c r="F89" s="9">
        <f>311</f>
        <v>311</v>
      </c>
      <c r="G89" s="10">
        <f>99.9</f>
        <v>99.9</v>
      </c>
      <c r="H89" s="10">
        <f>4.9</f>
        <v>4.9000000000000004</v>
      </c>
      <c r="I89" s="11">
        <f>18.34</f>
        <v>18.34</v>
      </c>
      <c r="J89" s="11">
        <f>374.93</f>
        <v>374.93</v>
      </c>
      <c r="K89" s="10" t="str">
        <f t="shared" si="2"/>
        <v>－</v>
      </c>
      <c r="L89" s="10">
        <f>5.8</f>
        <v>5.8</v>
      </c>
      <c r="M89" s="21">
        <f>-42485358000</f>
        <v>-42485358000</v>
      </c>
      <c r="N89" s="21">
        <f>1139859563133</f>
        <v>1139859563133</v>
      </c>
    </row>
    <row r="90" spans="1:14" x14ac:dyDescent="0.15">
      <c r="A90" s="22" t="s">
        <v>53</v>
      </c>
      <c r="B90" s="22" t="s">
        <v>138</v>
      </c>
      <c r="C90" s="22" t="s">
        <v>139</v>
      </c>
      <c r="D90" s="22" t="s">
        <v>66</v>
      </c>
      <c r="E90" s="22" t="s">
        <v>67</v>
      </c>
      <c r="F90" s="9">
        <f>38</f>
        <v>38</v>
      </c>
      <c r="G90" s="10" t="str">
        <f>"－"</f>
        <v>－</v>
      </c>
      <c r="H90" s="10">
        <f>4.1</f>
        <v>4.0999999999999996</v>
      </c>
      <c r="I90" s="11">
        <f>-35.25</f>
        <v>-35.25</v>
      </c>
      <c r="J90" s="11">
        <f>383.56</f>
        <v>383.56</v>
      </c>
      <c r="K90" s="10" t="str">
        <f t="shared" si="2"/>
        <v>－</v>
      </c>
      <c r="L90" s="10">
        <f>3.6</f>
        <v>3.6</v>
      </c>
      <c r="M90" s="21">
        <f>-61124000000</f>
        <v>-61124000000</v>
      </c>
      <c r="N90" s="21">
        <f>303954000000</f>
        <v>303954000000</v>
      </c>
    </row>
    <row r="91" spans="1:14" x14ac:dyDescent="0.15">
      <c r="A91" s="22" t="s">
        <v>53</v>
      </c>
      <c r="B91" s="22" t="s">
        <v>138</v>
      </c>
      <c r="C91" s="22" t="s">
        <v>139</v>
      </c>
      <c r="D91" s="22" t="s">
        <v>68</v>
      </c>
      <c r="E91" s="22" t="s">
        <v>69</v>
      </c>
      <c r="F91" s="9">
        <f>273</f>
        <v>273</v>
      </c>
      <c r="G91" s="10">
        <f>72.5</f>
        <v>72.5</v>
      </c>
      <c r="H91" s="10">
        <f>5</f>
        <v>5</v>
      </c>
      <c r="I91" s="11">
        <f>25.8</f>
        <v>25.8</v>
      </c>
      <c r="J91" s="11">
        <f>373.73</f>
        <v>373.73</v>
      </c>
      <c r="K91" s="10">
        <f>293.8</f>
        <v>293.8</v>
      </c>
      <c r="L91" s="10">
        <f>6.6</f>
        <v>6.6</v>
      </c>
      <c r="M91" s="21">
        <f>18638642000</f>
        <v>18638642000</v>
      </c>
      <c r="N91" s="21">
        <f>835905563133</f>
        <v>835905563133</v>
      </c>
    </row>
    <row r="92" spans="1:14" x14ac:dyDescent="0.15">
      <c r="A92" s="22" t="s">
        <v>53</v>
      </c>
      <c r="B92" s="22" t="s">
        <v>138</v>
      </c>
      <c r="C92" s="22" t="s">
        <v>139</v>
      </c>
      <c r="D92" s="22" t="s">
        <v>70</v>
      </c>
      <c r="E92" s="22" t="s">
        <v>71</v>
      </c>
      <c r="F92" s="9" t="str">
        <f t="shared" ref="F92:N93" si="5">"－"</f>
        <v>－</v>
      </c>
      <c r="G92" s="10" t="str">
        <f t="shared" si="5"/>
        <v>－</v>
      </c>
      <c r="H92" s="10" t="str">
        <f t="shared" si="5"/>
        <v>－</v>
      </c>
      <c r="I92" s="11" t="str">
        <f t="shared" si="5"/>
        <v>－</v>
      </c>
      <c r="J92" s="11" t="str">
        <f t="shared" si="5"/>
        <v>－</v>
      </c>
      <c r="K92" s="10" t="str">
        <f t="shared" si="5"/>
        <v>－</v>
      </c>
      <c r="L92" s="10" t="str">
        <f t="shared" si="5"/>
        <v>－</v>
      </c>
      <c r="M92" s="21" t="str">
        <f t="shared" si="5"/>
        <v>－</v>
      </c>
      <c r="N92" s="21" t="str">
        <f t="shared" si="5"/>
        <v>－</v>
      </c>
    </row>
    <row r="93" spans="1:14" x14ac:dyDescent="0.15">
      <c r="A93" s="22" t="s">
        <v>53</v>
      </c>
      <c r="B93" s="22" t="s">
        <v>138</v>
      </c>
      <c r="C93" s="22" t="s">
        <v>139</v>
      </c>
      <c r="D93" s="22" t="s">
        <v>72</v>
      </c>
      <c r="E93" s="22" t="s">
        <v>73</v>
      </c>
      <c r="F93" s="9" t="str">
        <f t="shared" si="5"/>
        <v>－</v>
      </c>
      <c r="G93" s="10" t="str">
        <f t="shared" si="5"/>
        <v>－</v>
      </c>
      <c r="H93" s="10" t="str">
        <f t="shared" si="5"/>
        <v>－</v>
      </c>
      <c r="I93" s="11" t="str">
        <f t="shared" si="5"/>
        <v>－</v>
      </c>
      <c r="J93" s="11" t="str">
        <f t="shared" si="5"/>
        <v>－</v>
      </c>
      <c r="K93" s="10" t="str">
        <f t="shared" si="5"/>
        <v>－</v>
      </c>
      <c r="L93" s="10" t="str">
        <f t="shared" si="5"/>
        <v>－</v>
      </c>
      <c r="M93" s="21" t="str">
        <f t="shared" si="5"/>
        <v>－</v>
      </c>
      <c r="N93" s="21" t="str">
        <f t="shared" si="5"/>
        <v>－</v>
      </c>
    </row>
    <row r="94" spans="1:14" x14ac:dyDescent="0.15">
      <c r="A94" s="22" t="s">
        <v>53</v>
      </c>
      <c r="B94" s="22" t="s">
        <v>138</v>
      </c>
      <c r="C94" s="22" t="s">
        <v>139</v>
      </c>
      <c r="D94" s="22" t="s">
        <v>74</v>
      </c>
      <c r="E94" s="22" t="s">
        <v>75</v>
      </c>
      <c r="F94" s="9">
        <f>6</f>
        <v>6</v>
      </c>
      <c r="G94" s="10">
        <f>19.5</f>
        <v>19.5</v>
      </c>
      <c r="H94" s="10">
        <f>2.1</f>
        <v>2.1</v>
      </c>
      <c r="I94" s="11">
        <f>45.83</f>
        <v>45.83</v>
      </c>
      <c r="J94" s="11">
        <f>428.76</f>
        <v>428.76</v>
      </c>
      <c r="K94" s="10">
        <f>21.9</f>
        <v>21.9</v>
      </c>
      <c r="L94" s="10">
        <f>2.4</f>
        <v>2.4</v>
      </c>
      <c r="M94" s="21">
        <f>1761000000</f>
        <v>1761000000</v>
      </c>
      <c r="N94" s="21">
        <f>16077000000</f>
        <v>16077000000</v>
      </c>
    </row>
    <row r="95" spans="1:14" x14ac:dyDescent="0.15">
      <c r="A95" s="22" t="s">
        <v>53</v>
      </c>
      <c r="B95" s="22" t="s">
        <v>138</v>
      </c>
      <c r="C95" s="22" t="s">
        <v>139</v>
      </c>
      <c r="D95" s="22" t="s">
        <v>76</v>
      </c>
      <c r="E95" s="22" t="s">
        <v>77</v>
      </c>
      <c r="F95" s="9">
        <f>1</f>
        <v>1</v>
      </c>
      <c r="G95" s="10" t="str">
        <f>"－"</f>
        <v>－</v>
      </c>
      <c r="H95" s="10">
        <f>12</f>
        <v>12</v>
      </c>
      <c r="I95" s="11">
        <f>-56.96</f>
        <v>-56.96</v>
      </c>
      <c r="J95" s="11">
        <f>29.13</f>
        <v>29.13</v>
      </c>
      <c r="K95" s="10" t="str">
        <f>"－"</f>
        <v>－</v>
      </c>
      <c r="L95" s="10">
        <f>12</f>
        <v>12</v>
      </c>
      <c r="M95" s="21">
        <f>-440000000</f>
        <v>-440000000</v>
      </c>
      <c r="N95" s="21">
        <f>225000000</f>
        <v>225000000</v>
      </c>
    </row>
    <row r="96" spans="1:14" x14ac:dyDescent="0.15">
      <c r="A96" s="22" t="s">
        <v>53</v>
      </c>
      <c r="B96" s="22" t="s">
        <v>138</v>
      </c>
      <c r="C96" s="22" t="s">
        <v>139</v>
      </c>
      <c r="D96" s="22" t="s">
        <v>78</v>
      </c>
      <c r="E96" s="22" t="s">
        <v>79</v>
      </c>
      <c r="F96" s="9" t="str">
        <f>"－"</f>
        <v>－</v>
      </c>
      <c r="G96" s="10" t="str">
        <f>"－"</f>
        <v>－</v>
      </c>
      <c r="H96" s="10" t="str">
        <f t="shared" ref="H96:J97" si="6">"－"</f>
        <v>－</v>
      </c>
      <c r="I96" s="11" t="str">
        <f t="shared" si="6"/>
        <v>－</v>
      </c>
      <c r="J96" s="11" t="str">
        <f t="shared" si="6"/>
        <v>－</v>
      </c>
      <c r="K96" s="10" t="str">
        <f>"－"</f>
        <v>－</v>
      </c>
      <c r="L96" s="10" t="str">
        <f t="shared" ref="L96:N97" si="7">"－"</f>
        <v>－</v>
      </c>
      <c r="M96" s="21" t="str">
        <f t="shared" si="7"/>
        <v>－</v>
      </c>
      <c r="N96" s="21" t="str">
        <f t="shared" si="7"/>
        <v>－</v>
      </c>
    </row>
    <row r="97" spans="1:14" x14ac:dyDescent="0.15">
      <c r="A97" s="22" t="s">
        <v>53</v>
      </c>
      <c r="B97" s="22" t="s">
        <v>138</v>
      </c>
      <c r="C97" s="22" t="s">
        <v>139</v>
      </c>
      <c r="D97" s="22" t="s">
        <v>80</v>
      </c>
      <c r="E97" s="22" t="s">
        <v>81</v>
      </c>
      <c r="F97" s="9" t="str">
        <f>"－"</f>
        <v>－</v>
      </c>
      <c r="G97" s="10" t="str">
        <f>"－"</f>
        <v>－</v>
      </c>
      <c r="H97" s="10" t="str">
        <f t="shared" si="6"/>
        <v>－</v>
      </c>
      <c r="I97" s="11" t="str">
        <f t="shared" si="6"/>
        <v>－</v>
      </c>
      <c r="J97" s="11" t="str">
        <f t="shared" si="6"/>
        <v>－</v>
      </c>
      <c r="K97" s="10" t="str">
        <f>"－"</f>
        <v>－</v>
      </c>
      <c r="L97" s="10" t="str">
        <f t="shared" si="7"/>
        <v>－</v>
      </c>
      <c r="M97" s="21" t="str">
        <f t="shared" si="7"/>
        <v>－</v>
      </c>
      <c r="N97" s="21" t="str">
        <f t="shared" si="7"/>
        <v>－</v>
      </c>
    </row>
    <row r="98" spans="1:14" x14ac:dyDescent="0.15">
      <c r="A98" s="22" t="s">
        <v>53</v>
      </c>
      <c r="B98" s="22" t="s">
        <v>138</v>
      </c>
      <c r="C98" s="22" t="s">
        <v>139</v>
      </c>
      <c r="D98" s="22" t="s">
        <v>82</v>
      </c>
      <c r="E98" s="22" t="s">
        <v>83</v>
      </c>
      <c r="F98" s="9">
        <f>1</f>
        <v>1</v>
      </c>
      <c r="G98" s="10">
        <f>21.6</f>
        <v>21.6</v>
      </c>
      <c r="H98" s="10">
        <f>3.1</f>
        <v>3.1</v>
      </c>
      <c r="I98" s="11">
        <f>84.4</f>
        <v>84.4</v>
      </c>
      <c r="J98" s="11">
        <f>590.34</f>
        <v>590.34</v>
      </c>
      <c r="K98" s="10">
        <f>21.6</f>
        <v>21.6</v>
      </c>
      <c r="L98" s="10">
        <f>3.1</f>
        <v>3.1</v>
      </c>
      <c r="M98" s="21">
        <f>1824000000</f>
        <v>1824000000</v>
      </c>
      <c r="N98" s="21">
        <f>12758000000</f>
        <v>12758000000</v>
      </c>
    </row>
    <row r="99" spans="1:14" x14ac:dyDescent="0.15">
      <c r="A99" s="22" t="s">
        <v>53</v>
      </c>
      <c r="B99" s="22" t="s">
        <v>138</v>
      </c>
      <c r="C99" s="22" t="s">
        <v>139</v>
      </c>
      <c r="D99" s="22" t="s">
        <v>84</v>
      </c>
      <c r="E99" s="22" t="s">
        <v>85</v>
      </c>
      <c r="F99" s="9">
        <f>19</f>
        <v>19</v>
      </c>
      <c r="G99" s="10" t="str">
        <f>"－"</f>
        <v>－</v>
      </c>
      <c r="H99" s="10">
        <f>9.4</f>
        <v>9.4</v>
      </c>
      <c r="I99" s="11">
        <f>-62.41</f>
        <v>-62.41</v>
      </c>
      <c r="J99" s="11">
        <f>199.31</f>
        <v>199.31</v>
      </c>
      <c r="K99" s="10" t="str">
        <f>"－"</f>
        <v>－</v>
      </c>
      <c r="L99" s="10">
        <f>5.3</f>
        <v>5.3</v>
      </c>
      <c r="M99" s="21">
        <f>-37409000000</f>
        <v>-37409000000</v>
      </c>
      <c r="N99" s="21">
        <f>140402000000</f>
        <v>140402000000</v>
      </c>
    </row>
    <row r="100" spans="1:14" x14ac:dyDescent="0.15">
      <c r="A100" s="22" t="s">
        <v>53</v>
      </c>
      <c r="B100" s="22" t="s">
        <v>138</v>
      </c>
      <c r="C100" s="22" t="s">
        <v>139</v>
      </c>
      <c r="D100" s="22" t="s">
        <v>86</v>
      </c>
      <c r="E100" s="22" t="s">
        <v>87</v>
      </c>
      <c r="F100" s="9" t="str">
        <f>"－"</f>
        <v>－</v>
      </c>
      <c r="G100" s="10" t="str">
        <f>"－"</f>
        <v>－</v>
      </c>
      <c r="H100" s="10" t="str">
        <f t="shared" ref="H100:J103" si="8">"－"</f>
        <v>－</v>
      </c>
      <c r="I100" s="11" t="str">
        <f t="shared" si="8"/>
        <v>－</v>
      </c>
      <c r="J100" s="11" t="str">
        <f t="shared" si="8"/>
        <v>－</v>
      </c>
      <c r="K100" s="10" t="str">
        <f>"－"</f>
        <v>－</v>
      </c>
      <c r="L100" s="10" t="str">
        <f t="shared" ref="L100:N103" si="9">"－"</f>
        <v>－</v>
      </c>
      <c r="M100" s="21" t="str">
        <f t="shared" si="9"/>
        <v>－</v>
      </c>
      <c r="N100" s="21" t="str">
        <f t="shared" si="9"/>
        <v>－</v>
      </c>
    </row>
    <row r="101" spans="1:14" x14ac:dyDescent="0.15">
      <c r="A101" s="22" t="s">
        <v>53</v>
      </c>
      <c r="B101" s="22" t="s">
        <v>138</v>
      </c>
      <c r="C101" s="22" t="s">
        <v>139</v>
      </c>
      <c r="D101" s="22" t="s">
        <v>88</v>
      </c>
      <c r="E101" s="22" t="s">
        <v>89</v>
      </c>
      <c r="F101" s="9" t="str">
        <f>"－"</f>
        <v>－</v>
      </c>
      <c r="G101" s="10" t="str">
        <f>"－"</f>
        <v>－</v>
      </c>
      <c r="H101" s="10" t="str">
        <f t="shared" si="8"/>
        <v>－</v>
      </c>
      <c r="I101" s="11" t="str">
        <f t="shared" si="8"/>
        <v>－</v>
      </c>
      <c r="J101" s="11" t="str">
        <f t="shared" si="8"/>
        <v>－</v>
      </c>
      <c r="K101" s="10" t="str">
        <f>"－"</f>
        <v>－</v>
      </c>
      <c r="L101" s="10" t="str">
        <f t="shared" si="9"/>
        <v>－</v>
      </c>
      <c r="M101" s="21" t="str">
        <f t="shared" si="9"/>
        <v>－</v>
      </c>
      <c r="N101" s="21" t="str">
        <f t="shared" si="9"/>
        <v>－</v>
      </c>
    </row>
    <row r="102" spans="1:14" x14ac:dyDescent="0.15">
      <c r="A102" s="22" t="s">
        <v>53</v>
      </c>
      <c r="B102" s="22" t="s">
        <v>138</v>
      </c>
      <c r="C102" s="22" t="s">
        <v>139</v>
      </c>
      <c r="D102" s="22" t="s">
        <v>90</v>
      </c>
      <c r="E102" s="22" t="s">
        <v>91</v>
      </c>
      <c r="F102" s="9" t="str">
        <f>"－"</f>
        <v>－</v>
      </c>
      <c r="G102" s="10" t="str">
        <f>"－"</f>
        <v>－</v>
      </c>
      <c r="H102" s="10" t="str">
        <f t="shared" si="8"/>
        <v>－</v>
      </c>
      <c r="I102" s="11" t="str">
        <f t="shared" si="8"/>
        <v>－</v>
      </c>
      <c r="J102" s="11" t="str">
        <f t="shared" si="8"/>
        <v>－</v>
      </c>
      <c r="K102" s="10" t="str">
        <f>"－"</f>
        <v>－</v>
      </c>
      <c r="L102" s="10" t="str">
        <f t="shared" si="9"/>
        <v>－</v>
      </c>
      <c r="M102" s="21" t="str">
        <f t="shared" si="9"/>
        <v>－</v>
      </c>
      <c r="N102" s="21" t="str">
        <f t="shared" si="9"/>
        <v>－</v>
      </c>
    </row>
    <row r="103" spans="1:14" x14ac:dyDescent="0.15">
      <c r="A103" s="22" t="s">
        <v>53</v>
      </c>
      <c r="B103" s="22" t="s">
        <v>138</v>
      </c>
      <c r="C103" s="22" t="s">
        <v>139</v>
      </c>
      <c r="D103" s="22" t="s">
        <v>92</v>
      </c>
      <c r="E103" s="22" t="s">
        <v>93</v>
      </c>
      <c r="F103" s="9" t="str">
        <f>"－"</f>
        <v>－</v>
      </c>
      <c r="G103" s="10" t="str">
        <f>"－"</f>
        <v>－</v>
      </c>
      <c r="H103" s="10" t="str">
        <f t="shared" si="8"/>
        <v>－</v>
      </c>
      <c r="I103" s="11" t="str">
        <f t="shared" si="8"/>
        <v>－</v>
      </c>
      <c r="J103" s="11" t="str">
        <f t="shared" si="8"/>
        <v>－</v>
      </c>
      <c r="K103" s="10" t="str">
        <f>"－"</f>
        <v>－</v>
      </c>
      <c r="L103" s="10" t="str">
        <f t="shared" si="9"/>
        <v>－</v>
      </c>
      <c r="M103" s="21" t="str">
        <f t="shared" si="9"/>
        <v>－</v>
      </c>
      <c r="N103" s="21" t="str">
        <f t="shared" si="9"/>
        <v>－</v>
      </c>
    </row>
    <row r="104" spans="1:14" x14ac:dyDescent="0.15">
      <c r="A104" s="22" t="s">
        <v>53</v>
      </c>
      <c r="B104" s="22" t="s">
        <v>138</v>
      </c>
      <c r="C104" s="22" t="s">
        <v>139</v>
      </c>
      <c r="D104" s="22" t="s">
        <v>94</v>
      </c>
      <c r="E104" s="22" t="s">
        <v>95</v>
      </c>
      <c r="F104" s="9">
        <f>1</f>
        <v>1</v>
      </c>
      <c r="G104" s="10">
        <f>19.5</f>
        <v>19.5</v>
      </c>
      <c r="H104" s="10">
        <f>1.4</f>
        <v>1.4</v>
      </c>
      <c r="I104" s="11">
        <f>30.99</f>
        <v>30.99</v>
      </c>
      <c r="J104" s="11">
        <f>425.97</f>
        <v>425.97</v>
      </c>
      <c r="K104" s="10">
        <f>19.5</f>
        <v>19.5</v>
      </c>
      <c r="L104" s="10">
        <f>1.4</f>
        <v>1.4</v>
      </c>
      <c r="M104" s="21">
        <f>164000000</f>
        <v>164000000</v>
      </c>
      <c r="N104" s="21">
        <f>2254000000</f>
        <v>2254000000</v>
      </c>
    </row>
    <row r="105" spans="1:14" x14ac:dyDescent="0.15">
      <c r="A105" s="22" t="s">
        <v>53</v>
      </c>
      <c r="B105" s="22" t="s">
        <v>138</v>
      </c>
      <c r="C105" s="22" t="s">
        <v>139</v>
      </c>
      <c r="D105" s="22" t="s">
        <v>96</v>
      </c>
      <c r="E105" s="22" t="s">
        <v>97</v>
      </c>
      <c r="F105" s="9">
        <f>1</f>
        <v>1</v>
      </c>
      <c r="G105" s="10">
        <f>51.2</f>
        <v>51.2</v>
      </c>
      <c r="H105" s="10">
        <f>6.9</f>
        <v>6.9</v>
      </c>
      <c r="I105" s="11">
        <f>56.7</f>
        <v>56.7</v>
      </c>
      <c r="J105" s="11">
        <f>417.93</f>
        <v>417.93</v>
      </c>
      <c r="K105" s="10">
        <f>51.2</f>
        <v>51.2</v>
      </c>
      <c r="L105" s="10">
        <f>6.9</f>
        <v>6.9</v>
      </c>
      <c r="M105" s="21">
        <f>332000000</f>
        <v>332000000</v>
      </c>
      <c r="N105" s="21">
        <f>2447000000</f>
        <v>2447000000</v>
      </c>
    </row>
    <row r="106" spans="1:14" x14ac:dyDescent="0.15">
      <c r="A106" s="22" t="s">
        <v>53</v>
      </c>
      <c r="B106" s="22" t="s">
        <v>138</v>
      </c>
      <c r="C106" s="22" t="s">
        <v>139</v>
      </c>
      <c r="D106" s="22" t="s">
        <v>98</v>
      </c>
      <c r="E106" s="22" t="s">
        <v>99</v>
      </c>
      <c r="F106" s="9">
        <f>3</f>
        <v>3</v>
      </c>
      <c r="G106" s="10" t="str">
        <f>"－"</f>
        <v>－</v>
      </c>
      <c r="H106" s="10">
        <f>3.9</f>
        <v>3.9</v>
      </c>
      <c r="I106" s="11">
        <f>-2.26</f>
        <v>-2.2599999999999998</v>
      </c>
      <c r="J106" s="11">
        <f>270.63</f>
        <v>270.63</v>
      </c>
      <c r="K106" s="10">
        <f>116.2</f>
        <v>116.2</v>
      </c>
      <c r="L106" s="10">
        <f>3.1</f>
        <v>3.1</v>
      </c>
      <c r="M106" s="21">
        <f>319000000</f>
        <v>319000000</v>
      </c>
      <c r="N106" s="21">
        <f>11977000000</f>
        <v>11977000000</v>
      </c>
    </row>
    <row r="107" spans="1:14" x14ac:dyDescent="0.15">
      <c r="A107" s="22" t="s">
        <v>53</v>
      </c>
      <c r="B107" s="22" t="s">
        <v>138</v>
      </c>
      <c r="C107" s="22" t="s">
        <v>139</v>
      </c>
      <c r="D107" s="22" t="s">
        <v>100</v>
      </c>
      <c r="E107" s="22" t="s">
        <v>101</v>
      </c>
      <c r="F107" s="9">
        <f>4</f>
        <v>4</v>
      </c>
      <c r="G107" s="10">
        <f>219.5</f>
        <v>219.5</v>
      </c>
      <c r="H107" s="10">
        <f>1.1</f>
        <v>1.1000000000000001</v>
      </c>
      <c r="I107" s="11">
        <f>4.96</f>
        <v>4.96</v>
      </c>
      <c r="J107" s="11">
        <f>1018.22</f>
        <v>1018.22</v>
      </c>
      <c r="K107" s="10">
        <f>318.9</f>
        <v>318.89999999999998</v>
      </c>
      <c r="L107" s="10">
        <f>0.7</f>
        <v>0.7</v>
      </c>
      <c r="M107" s="21">
        <f>74000000</f>
        <v>74000000</v>
      </c>
      <c r="N107" s="21">
        <f>34572000000</f>
        <v>34572000000</v>
      </c>
    </row>
    <row r="108" spans="1:14" x14ac:dyDescent="0.15">
      <c r="A108" s="22" t="s">
        <v>53</v>
      </c>
      <c r="B108" s="22" t="s">
        <v>138</v>
      </c>
      <c r="C108" s="22" t="s">
        <v>139</v>
      </c>
      <c r="D108" s="22" t="s">
        <v>102</v>
      </c>
      <c r="E108" s="22" t="s">
        <v>103</v>
      </c>
      <c r="F108" s="9">
        <f>1</f>
        <v>1</v>
      </c>
      <c r="G108" s="10">
        <f>26.6</f>
        <v>26.6</v>
      </c>
      <c r="H108" s="10">
        <f>3</f>
        <v>3</v>
      </c>
      <c r="I108" s="11">
        <f>85.82</f>
        <v>85.82</v>
      </c>
      <c r="J108" s="11">
        <f>770.44</f>
        <v>770.44</v>
      </c>
      <c r="K108" s="10">
        <f>26.6</f>
        <v>26.6</v>
      </c>
      <c r="L108" s="10">
        <f>3</f>
        <v>3</v>
      </c>
      <c r="M108" s="21">
        <f>223000000</f>
        <v>223000000</v>
      </c>
      <c r="N108" s="21">
        <f>2002000000</f>
        <v>2002000000</v>
      </c>
    </row>
    <row r="109" spans="1:14" x14ac:dyDescent="0.15">
      <c r="A109" s="22" t="s">
        <v>53</v>
      </c>
      <c r="B109" s="22" t="s">
        <v>138</v>
      </c>
      <c r="C109" s="22" t="s">
        <v>139</v>
      </c>
      <c r="D109" s="22" t="s">
        <v>104</v>
      </c>
      <c r="E109" s="22" t="s">
        <v>105</v>
      </c>
      <c r="F109" s="9">
        <f>2</f>
        <v>2</v>
      </c>
      <c r="G109" s="10">
        <f>558.8</f>
        <v>558.79999999999995</v>
      </c>
      <c r="H109" s="10">
        <f>6.6</f>
        <v>6.6</v>
      </c>
      <c r="I109" s="11">
        <f>2.11</f>
        <v>2.11</v>
      </c>
      <c r="J109" s="11">
        <f>178.28</f>
        <v>178.28</v>
      </c>
      <c r="K109" s="10" t="str">
        <f t="shared" ref="K109:K114" si="10">"－"</f>
        <v>－</v>
      </c>
      <c r="L109" s="10">
        <f>2.8</f>
        <v>2.8</v>
      </c>
      <c r="M109" s="21">
        <f>-22000000</f>
        <v>-22000000</v>
      </c>
      <c r="N109" s="21">
        <f>48236000000</f>
        <v>48236000000</v>
      </c>
    </row>
    <row r="110" spans="1:14" x14ac:dyDescent="0.15">
      <c r="A110" s="22" t="s">
        <v>53</v>
      </c>
      <c r="B110" s="22" t="s">
        <v>138</v>
      </c>
      <c r="C110" s="22" t="s">
        <v>139</v>
      </c>
      <c r="D110" s="22" t="s">
        <v>106</v>
      </c>
      <c r="E110" s="22" t="s">
        <v>107</v>
      </c>
      <c r="F110" s="9">
        <f>5</f>
        <v>5</v>
      </c>
      <c r="G110" s="10" t="str">
        <f>"－"</f>
        <v>－</v>
      </c>
      <c r="H110" s="10">
        <f>1.7</f>
        <v>1.7</v>
      </c>
      <c r="I110" s="11">
        <f>-74.34</f>
        <v>-74.34</v>
      </c>
      <c r="J110" s="11">
        <f>662.65</f>
        <v>662.65</v>
      </c>
      <c r="K110" s="10" t="str">
        <f t="shared" si="10"/>
        <v>－</v>
      </c>
      <c r="L110" s="10">
        <f>1.7</f>
        <v>1.7</v>
      </c>
      <c r="M110" s="21">
        <f>-26189000000</f>
        <v>-26189000000</v>
      </c>
      <c r="N110" s="21">
        <f>49081000000</f>
        <v>49081000000</v>
      </c>
    </row>
    <row r="111" spans="1:14" x14ac:dyDescent="0.15">
      <c r="A111" s="22" t="s">
        <v>53</v>
      </c>
      <c r="B111" s="22" t="s">
        <v>138</v>
      </c>
      <c r="C111" s="22" t="s">
        <v>139</v>
      </c>
      <c r="D111" s="22" t="s">
        <v>108</v>
      </c>
      <c r="E111" s="22" t="s">
        <v>109</v>
      </c>
      <c r="F111" s="9" t="str">
        <f>"－"</f>
        <v>－</v>
      </c>
      <c r="G111" s="10" t="str">
        <f>"－"</f>
        <v>－</v>
      </c>
      <c r="H111" s="10" t="str">
        <f t="shared" ref="H111:J114" si="11">"－"</f>
        <v>－</v>
      </c>
      <c r="I111" s="11" t="str">
        <f t="shared" si="11"/>
        <v>－</v>
      </c>
      <c r="J111" s="11" t="str">
        <f t="shared" si="11"/>
        <v>－</v>
      </c>
      <c r="K111" s="10" t="str">
        <f t="shared" si="10"/>
        <v>－</v>
      </c>
      <c r="L111" s="10" t="str">
        <f t="shared" ref="L111:N114" si="12">"－"</f>
        <v>－</v>
      </c>
      <c r="M111" s="21" t="str">
        <f t="shared" si="12"/>
        <v>－</v>
      </c>
      <c r="N111" s="21" t="str">
        <f t="shared" si="12"/>
        <v>－</v>
      </c>
    </row>
    <row r="112" spans="1:14" x14ac:dyDescent="0.15">
      <c r="A112" s="22" t="s">
        <v>53</v>
      </c>
      <c r="B112" s="22" t="s">
        <v>138</v>
      </c>
      <c r="C112" s="22" t="s">
        <v>139</v>
      </c>
      <c r="D112" s="22" t="s">
        <v>110</v>
      </c>
      <c r="E112" s="22" t="s">
        <v>111</v>
      </c>
      <c r="F112" s="9" t="str">
        <f>"－"</f>
        <v>－</v>
      </c>
      <c r="G112" s="10" t="str">
        <f>"－"</f>
        <v>－</v>
      </c>
      <c r="H112" s="10" t="str">
        <f t="shared" si="11"/>
        <v>－</v>
      </c>
      <c r="I112" s="11" t="str">
        <f t="shared" si="11"/>
        <v>－</v>
      </c>
      <c r="J112" s="11" t="str">
        <f t="shared" si="11"/>
        <v>－</v>
      </c>
      <c r="K112" s="10" t="str">
        <f t="shared" si="10"/>
        <v>－</v>
      </c>
      <c r="L112" s="10" t="str">
        <f t="shared" si="12"/>
        <v>－</v>
      </c>
      <c r="M112" s="21" t="str">
        <f t="shared" si="12"/>
        <v>－</v>
      </c>
      <c r="N112" s="21" t="str">
        <f t="shared" si="12"/>
        <v>－</v>
      </c>
    </row>
    <row r="113" spans="1:14" x14ac:dyDescent="0.15">
      <c r="A113" s="22" t="s">
        <v>53</v>
      </c>
      <c r="B113" s="22" t="s">
        <v>138</v>
      </c>
      <c r="C113" s="22" t="s">
        <v>139</v>
      </c>
      <c r="D113" s="22" t="s">
        <v>112</v>
      </c>
      <c r="E113" s="22" t="s">
        <v>113</v>
      </c>
      <c r="F113" s="9" t="str">
        <f>"－"</f>
        <v>－</v>
      </c>
      <c r="G113" s="10" t="str">
        <f>"－"</f>
        <v>－</v>
      </c>
      <c r="H113" s="10" t="str">
        <f t="shared" si="11"/>
        <v>－</v>
      </c>
      <c r="I113" s="11" t="str">
        <f t="shared" si="11"/>
        <v>－</v>
      </c>
      <c r="J113" s="11" t="str">
        <f t="shared" si="11"/>
        <v>－</v>
      </c>
      <c r="K113" s="10" t="str">
        <f t="shared" si="10"/>
        <v>－</v>
      </c>
      <c r="L113" s="10" t="str">
        <f t="shared" si="12"/>
        <v>－</v>
      </c>
      <c r="M113" s="21" t="str">
        <f t="shared" si="12"/>
        <v>－</v>
      </c>
      <c r="N113" s="21" t="str">
        <f t="shared" si="12"/>
        <v>－</v>
      </c>
    </row>
    <row r="114" spans="1:14" x14ac:dyDescent="0.15">
      <c r="A114" s="22" t="s">
        <v>53</v>
      </c>
      <c r="B114" s="22" t="s">
        <v>138</v>
      </c>
      <c r="C114" s="22" t="s">
        <v>139</v>
      </c>
      <c r="D114" s="22" t="s">
        <v>114</v>
      </c>
      <c r="E114" s="22" t="s">
        <v>115</v>
      </c>
      <c r="F114" s="9" t="str">
        <f>"－"</f>
        <v>－</v>
      </c>
      <c r="G114" s="10" t="str">
        <f>"－"</f>
        <v>－</v>
      </c>
      <c r="H114" s="10" t="str">
        <f t="shared" si="11"/>
        <v>－</v>
      </c>
      <c r="I114" s="11" t="str">
        <f t="shared" si="11"/>
        <v>－</v>
      </c>
      <c r="J114" s="11" t="str">
        <f t="shared" si="11"/>
        <v>－</v>
      </c>
      <c r="K114" s="10" t="str">
        <f t="shared" si="10"/>
        <v>－</v>
      </c>
      <c r="L114" s="10" t="str">
        <f t="shared" si="12"/>
        <v>－</v>
      </c>
      <c r="M114" s="21" t="str">
        <f t="shared" si="12"/>
        <v>－</v>
      </c>
      <c r="N114" s="21" t="str">
        <f t="shared" si="12"/>
        <v>－</v>
      </c>
    </row>
    <row r="115" spans="1:14" x14ac:dyDescent="0.15">
      <c r="A115" s="22" t="s">
        <v>53</v>
      </c>
      <c r="B115" s="22" t="s">
        <v>138</v>
      </c>
      <c r="C115" s="22" t="s">
        <v>139</v>
      </c>
      <c r="D115" s="22" t="s">
        <v>116</v>
      </c>
      <c r="E115" s="22" t="s">
        <v>117</v>
      </c>
      <c r="F115" s="9">
        <f>1</f>
        <v>1</v>
      </c>
      <c r="G115" s="10">
        <f>41.1</f>
        <v>41.1</v>
      </c>
      <c r="H115" s="10">
        <f>11.2</f>
        <v>11.2</v>
      </c>
      <c r="I115" s="11">
        <f>56.62</f>
        <v>56.62</v>
      </c>
      <c r="J115" s="11">
        <f>208.49</f>
        <v>208.49</v>
      </c>
      <c r="K115" s="10">
        <f>41.1</f>
        <v>41.1</v>
      </c>
      <c r="L115" s="10">
        <f>11.2</f>
        <v>11.2</v>
      </c>
      <c r="M115" s="21">
        <f>170000000</f>
        <v>170000000</v>
      </c>
      <c r="N115" s="21">
        <f>626000000</f>
        <v>626000000</v>
      </c>
    </row>
    <row r="116" spans="1:14" x14ac:dyDescent="0.15">
      <c r="A116" s="22" t="s">
        <v>53</v>
      </c>
      <c r="B116" s="22" t="s">
        <v>138</v>
      </c>
      <c r="C116" s="22" t="s">
        <v>139</v>
      </c>
      <c r="D116" s="22" t="s">
        <v>118</v>
      </c>
      <c r="E116" s="22" t="s">
        <v>119</v>
      </c>
      <c r="F116" s="9">
        <f>113</f>
        <v>113</v>
      </c>
      <c r="G116" s="10">
        <f>209.9</f>
        <v>209.9</v>
      </c>
      <c r="H116" s="10">
        <f>8.1</f>
        <v>8.1</v>
      </c>
      <c r="I116" s="11">
        <f>11.92</f>
        <v>11.92</v>
      </c>
      <c r="J116" s="11">
        <f>307.76</f>
        <v>307.76</v>
      </c>
      <c r="K116" s="10" t="str">
        <f>"－"</f>
        <v>－</v>
      </c>
      <c r="L116" s="10">
        <f>12.3</f>
        <v>12.3</v>
      </c>
      <c r="M116" s="21">
        <f>-13209643000</f>
        <v>-13209643000</v>
      </c>
      <c r="N116" s="21">
        <f>306265478133</f>
        <v>306265478133</v>
      </c>
    </row>
    <row r="117" spans="1:14" x14ac:dyDescent="0.15">
      <c r="A117" s="22" t="s">
        <v>53</v>
      </c>
      <c r="B117" s="22" t="s">
        <v>138</v>
      </c>
      <c r="C117" s="22" t="s">
        <v>139</v>
      </c>
      <c r="D117" s="22" t="s">
        <v>120</v>
      </c>
      <c r="E117" s="22" t="s">
        <v>121</v>
      </c>
      <c r="F117" s="9">
        <f>6</f>
        <v>6</v>
      </c>
      <c r="G117" s="10">
        <f>22.4</f>
        <v>22.4</v>
      </c>
      <c r="H117" s="10">
        <f>4.9</f>
        <v>4.9000000000000004</v>
      </c>
      <c r="I117" s="11">
        <f>76.8</f>
        <v>76.8</v>
      </c>
      <c r="J117" s="11">
        <f>351.04</f>
        <v>351.04</v>
      </c>
      <c r="K117" s="10">
        <f>22.6</f>
        <v>22.6</v>
      </c>
      <c r="L117" s="10">
        <f>4.4</f>
        <v>4.4000000000000004</v>
      </c>
      <c r="M117" s="21">
        <f>2858000000</f>
        <v>2858000000</v>
      </c>
      <c r="N117" s="21">
        <f>14696000000</f>
        <v>14696000000</v>
      </c>
    </row>
    <row r="118" spans="1:14" x14ac:dyDescent="0.15">
      <c r="A118" s="22" t="s">
        <v>53</v>
      </c>
      <c r="B118" s="22" t="s">
        <v>138</v>
      </c>
      <c r="C118" s="22" t="s">
        <v>139</v>
      </c>
      <c r="D118" s="22" t="s">
        <v>122</v>
      </c>
      <c r="E118" s="22" t="s">
        <v>123</v>
      </c>
      <c r="F118" s="9">
        <f>24</f>
        <v>24</v>
      </c>
      <c r="G118" s="10">
        <f>45.6</f>
        <v>45.6</v>
      </c>
      <c r="H118" s="10">
        <f>2.8</f>
        <v>2.8</v>
      </c>
      <c r="I118" s="11">
        <f>23.53</f>
        <v>23.53</v>
      </c>
      <c r="J118" s="11">
        <f>388.77</f>
        <v>388.77</v>
      </c>
      <c r="K118" s="10">
        <f>58.2</f>
        <v>58.2</v>
      </c>
      <c r="L118" s="10">
        <f>3.2</f>
        <v>3.2</v>
      </c>
      <c r="M118" s="21">
        <f>2656000000</f>
        <v>2656000000</v>
      </c>
      <c r="N118" s="21">
        <f>48311000000</f>
        <v>48311000000</v>
      </c>
    </row>
    <row r="119" spans="1:14" x14ac:dyDescent="0.15">
      <c r="A119" s="22" t="s">
        <v>53</v>
      </c>
      <c r="B119" s="22" t="s">
        <v>138</v>
      </c>
      <c r="C119" s="22" t="s">
        <v>139</v>
      </c>
      <c r="D119" s="22" t="s">
        <v>124</v>
      </c>
      <c r="E119" s="22" t="s">
        <v>125</v>
      </c>
      <c r="F119" s="9" t="str">
        <f t="shared" ref="F119:N119" si="13">"－"</f>
        <v>－</v>
      </c>
      <c r="G119" s="10" t="str">
        <f t="shared" si="13"/>
        <v>－</v>
      </c>
      <c r="H119" s="10" t="str">
        <f t="shared" si="13"/>
        <v>－</v>
      </c>
      <c r="I119" s="11" t="str">
        <f t="shared" si="13"/>
        <v>－</v>
      </c>
      <c r="J119" s="11" t="str">
        <f t="shared" si="13"/>
        <v>－</v>
      </c>
      <c r="K119" s="10" t="str">
        <f t="shared" si="13"/>
        <v>－</v>
      </c>
      <c r="L119" s="10" t="str">
        <f t="shared" si="13"/>
        <v>－</v>
      </c>
      <c r="M119" s="21" t="str">
        <f t="shared" si="13"/>
        <v>－</v>
      </c>
      <c r="N119" s="21" t="str">
        <f t="shared" si="13"/>
        <v>－</v>
      </c>
    </row>
    <row r="120" spans="1:14" x14ac:dyDescent="0.15">
      <c r="A120" s="22" t="s">
        <v>53</v>
      </c>
      <c r="B120" s="22" t="s">
        <v>138</v>
      </c>
      <c r="C120" s="22" t="s">
        <v>139</v>
      </c>
      <c r="D120" s="22" t="s">
        <v>126</v>
      </c>
      <c r="E120" s="22" t="s">
        <v>127</v>
      </c>
      <c r="F120" s="9">
        <f>1</f>
        <v>1</v>
      </c>
      <c r="G120" s="10">
        <f>5.3</f>
        <v>5.3</v>
      </c>
      <c r="H120" s="10">
        <f>0.7</f>
        <v>0.7</v>
      </c>
      <c r="I120" s="11">
        <f>149.49</f>
        <v>149.49</v>
      </c>
      <c r="J120" s="11">
        <f>1189.89</f>
        <v>1189.8900000000001</v>
      </c>
      <c r="K120" s="10">
        <f>5.3</f>
        <v>5.3</v>
      </c>
      <c r="L120" s="10">
        <f>0.7</f>
        <v>0.7</v>
      </c>
      <c r="M120" s="21">
        <f>4555000000</f>
        <v>4555000000</v>
      </c>
      <c r="N120" s="21">
        <f>36256000000</f>
        <v>36256000000</v>
      </c>
    </row>
    <row r="121" spans="1:14" x14ac:dyDescent="0.15">
      <c r="A121" s="22" t="s">
        <v>53</v>
      </c>
      <c r="B121" s="22" t="s">
        <v>138</v>
      </c>
      <c r="C121" s="22" t="s">
        <v>139</v>
      </c>
      <c r="D121" s="22" t="s">
        <v>128</v>
      </c>
      <c r="E121" s="22" t="s">
        <v>129</v>
      </c>
      <c r="F121" s="9">
        <f>4</f>
        <v>4</v>
      </c>
      <c r="G121" s="10">
        <f>146.2</f>
        <v>146.19999999999999</v>
      </c>
      <c r="H121" s="10">
        <f>1.9</f>
        <v>1.9</v>
      </c>
      <c r="I121" s="11">
        <f>9.09</f>
        <v>9.09</v>
      </c>
      <c r="J121" s="11">
        <f>684.86</f>
        <v>684.86</v>
      </c>
      <c r="K121" s="10" t="str">
        <f>"－"</f>
        <v>－</v>
      </c>
      <c r="L121" s="10">
        <f>2.3</f>
        <v>2.2999999999999998</v>
      </c>
      <c r="M121" s="21">
        <f>-1477000000</f>
        <v>-1477000000</v>
      </c>
      <c r="N121" s="21">
        <f>59919000000</f>
        <v>59919000000</v>
      </c>
    </row>
    <row r="122" spans="1:14" x14ac:dyDescent="0.15">
      <c r="A122" s="22" t="s">
        <v>53</v>
      </c>
      <c r="B122" s="22" t="s">
        <v>138</v>
      </c>
      <c r="C122" s="22" t="s">
        <v>139</v>
      </c>
      <c r="D122" s="22" t="s">
        <v>130</v>
      </c>
      <c r="E122" s="22" t="s">
        <v>131</v>
      </c>
      <c r="F122" s="9">
        <f>3</f>
        <v>3</v>
      </c>
      <c r="G122" s="10">
        <f>44.3</f>
        <v>44.3</v>
      </c>
      <c r="H122" s="10">
        <f>6</f>
        <v>6</v>
      </c>
      <c r="I122" s="11">
        <f>12.44</f>
        <v>12.44</v>
      </c>
      <c r="J122" s="11">
        <f>91.5</f>
        <v>91.5</v>
      </c>
      <c r="K122" s="10" t="str">
        <f>"－"</f>
        <v>－</v>
      </c>
      <c r="L122" s="10">
        <f>1.6</f>
        <v>1.6</v>
      </c>
      <c r="M122" s="21">
        <f>-1144000000</f>
        <v>-1144000000</v>
      </c>
      <c r="N122" s="21">
        <f>11783000000</f>
        <v>11783000000</v>
      </c>
    </row>
    <row r="123" spans="1:14" x14ac:dyDescent="0.15">
      <c r="A123" s="22" t="s">
        <v>53</v>
      </c>
      <c r="B123" s="22" t="s">
        <v>138</v>
      </c>
      <c r="C123" s="22" t="s">
        <v>139</v>
      </c>
      <c r="D123" s="22" t="s">
        <v>132</v>
      </c>
      <c r="E123" s="22" t="s">
        <v>133</v>
      </c>
      <c r="F123" s="9">
        <f>18</f>
        <v>18</v>
      </c>
      <c r="G123" s="10">
        <f>20.6</f>
        <v>20.6</v>
      </c>
      <c r="H123" s="10">
        <f>2.6</f>
        <v>2.6</v>
      </c>
      <c r="I123" s="11">
        <f>72.88</f>
        <v>72.88</v>
      </c>
      <c r="J123" s="11">
        <f>570.07</f>
        <v>570.07000000000005</v>
      </c>
      <c r="K123" s="10">
        <f>24.5</f>
        <v>24.5</v>
      </c>
      <c r="L123" s="10">
        <f>1.8</f>
        <v>1.8</v>
      </c>
      <c r="M123" s="21">
        <f>13941000000</f>
        <v>13941000000</v>
      </c>
      <c r="N123" s="21">
        <f>194135000000</f>
        <v>194135000000</v>
      </c>
    </row>
    <row r="124" spans="1:14" x14ac:dyDescent="0.15">
      <c r="A124" s="22" t="s">
        <v>53</v>
      </c>
      <c r="B124" s="22" t="s">
        <v>138</v>
      </c>
      <c r="C124" s="22" t="s">
        <v>139</v>
      </c>
      <c r="D124" s="22" t="s">
        <v>134</v>
      </c>
      <c r="E124" s="22" t="s">
        <v>135</v>
      </c>
      <c r="F124" s="9">
        <f>105</f>
        <v>105</v>
      </c>
      <c r="G124" s="10">
        <f>51.9</f>
        <v>51.9</v>
      </c>
      <c r="H124" s="10">
        <f>3.7</f>
        <v>3.7</v>
      </c>
      <c r="I124" s="11">
        <f>28.84</f>
        <v>28.84</v>
      </c>
      <c r="J124" s="11">
        <f>407.35</f>
        <v>407.35</v>
      </c>
      <c r="K124" s="10">
        <f>105.2</f>
        <v>105.2</v>
      </c>
      <c r="L124" s="10">
        <f>4.3</f>
        <v>4.3</v>
      </c>
      <c r="M124" s="21">
        <f>10462285000</f>
        <v>10462285000</v>
      </c>
      <c r="N124" s="21">
        <f>255795085000</f>
        <v>255795085000</v>
      </c>
    </row>
    <row r="125" spans="1:14" x14ac:dyDescent="0.15">
      <c r="A125" s="22" t="s">
        <v>53</v>
      </c>
      <c r="B125" s="22" t="s">
        <v>140</v>
      </c>
      <c r="C125" s="22" t="s">
        <v>140</v>
      </c>
      <c r="D125" s="22" t="s">
        <v>56</v>
      </c>
      <c r="E125" s="22" t="s">
        <v>57</v>
      </c>
      <c r="F125" s="9">
        <f>693</f>
        <v>693</v>
      </c>
      <c r="G125" s="10">
        <f>16.4</f>
        <v>16.399999999999999</v>
      </c>
      <c r="H125" s="10">
        <f>0.9</f>
        <v>0.9</v>
      </c>
      <c r="I125" s="11">
        <f>85.94</f>
        <v>85.94</v>
      </c>
      <c r="J125" s="11">
        <f>1649.99</f>
        <v>1649.99</v>
      </c>
      <c r="K125" s="10">
        <f>27.6</f>
        <v>27.6</v>
      </c>
      <c r="L125" s="10">
        <f>1.3</f>
        <v>1.3</v>
      </c>
      <c r="M125" s="21">
        <f>324299078545</f>
        <v>324299078545</v>
      </c>
      <c r="N125" s="21">
        <f>6767115558310</f>
        <v>6767115558310</v>
      </c>
    </row>
    <row r="126" spans="1:14" x14ac:dyDescent="0.15">
      <c r="A126" s="22" t="s">
        <v>53</v>
      </c>
      <c r="B126" s="22" t="s">
        <v>140</v>
      </c>
      <c r="C126" s="22" t="s">
        <v>140</v>
      </c>
      <c r="D126" s="22" t="s">
        <v>58</v>
      </c>
      <c r="E126" s="22" t="s">
        <v>59</v>
      </c>
      <c r="F126" s="9" t="str">
        <f t="shared" ref="F126:N128" si="14">"－"</f>
        <v>－</v>
      </c>
      <c r="G126" s="10" t="str">
        <f t="shared" si="14"/>
        <v>－</v>
      </c>
      <c r="H126" s="10" t="str">
        <f t="shared" si="14"/>
        <v>－</v>
      </c>
      <c r="I126" s="11" t="str">
        <f t="shared" si="14"/>
        <v>－</v>
      </c>
      <c r="J126" s="11" t="str">
        <f t="shared" si="14"/>
        <v>－</v>
      </c>
      <c r="K126" s="10" t="str">
        <f t="shared" si="14"/>
        <v>－</v>
      </c>
      <c r="L126" s="10" t="str">
        <f t="shared" si="14"/>
        <v>－</v>
      </c>
      <c r="M126" s="21" t="str">
        <f t="shared" si="14"/>
        <v>－</v>
      </c>
      <c r="N126" s="21" t="str">
        <f t="shared" si="14"/>
        <v>－</v>
      </c>
    </row>
    <row r="127" spans="1:14" x14ac:dyDescent="0.15">
      <c r="A127" s="22" t="s">
        <v>53</v>
      </c>
      <c r="B127" s="22" t="s">
        <v>140</v>
      </c>
      <c r="C127" s="22" t="s">
        <v>140</v>
      </c>
      <c r="D127" s="22" t="s">
        <v>60</v>
      </c>
      <c r="E127" s="22" t="s">
        <v>61</v>
      </c>
      <c r="F127" s="9" t="str">
        <f t="shared" si="14"/>
        <v>－</v>
      </c>
      <c r="G127" s="10" t="str">
        <f t="shared" si="14"/>
        <v>－</v>
      </c>
      <c r="H127" s="10" t="str">
        <f t="shared" si="14"/>
        <v>－</v>
      </c>
      <c r="I127" s="11" t="str">
        <f t="shared" si="14"/>
        <v>－</v>
      </c>
      <c r="J127" s="11" t="str">
        <f t="shared" si="14"/>
        <v>－</v>
      </c>
      <c r="K127" s="10" t="str">
        <f t="shared" si="14"/>
        <v>－</v>
      </c>
      <c r="L127" s="10" t="str">
        <f t="shared" si="14"/>
        <v>－</v>
      </c>
      <c r="M127" s="21" t="str">
        <f t="shared" si="14"/>
        <v>－</v>
      </c>
      <c r="N127" s="21" t="str">
        <f t="shared" si="14"/>
        <v>－</v>
      </c>
    </row>
    <row r="128" spans="1:14" x14ac:dyDescent="0.15">
      <c r="A128" s="22" t="s">
        <v>53</v>
      </c>
      <c r="B128" s="22" t="s">
        <v>140</v>
      </c>
      <c r="C128" s="22" t="s">
        <v>140</v>
      </c>
      <c r="D128" s="22" t="s">
        <v>62</v>
      </c>
      <c r="E128" s="22" t="s">
        <v>63</v>
      </c>
      <c r="F128" s="9" t="str">
        <f t="shared" si="14"/>
        <v>－</v>
      </c>
      <c r="G128" s="10" t="str">
        <f t="shared" si="14"/>
        <v>－</v>
      </c>
      <c r="H128" s="10" t="str">
        <f t="shared" si="14"/>
        <v>－</v>
      </c>
      <c r="I128" s="11" t="str">
        <f t="shared" si="14"/>
        <v>－</v>
      </c>
      <c r="J128" s="11" t="str">
        <f t="shared" si="14"/>
        <v>－</v>
      </c>
      <c r="K128" s="10" t="str">
        <f t="shared" si="14"/>
        <v>－</v>
      </c>
      <c r="L128" s="10" t="str">
        <f t="shared" si="14"/>
        <v>－</v>
      </c>
      <c r="M128" s="21" t="str">
        <f t="shared" si="14"/>
        <v>－</v>
      </c>
      <c r="N128" s="21" t="str">
        <f t="shared" si="14"/>
        <v>－</v>
      </c>
    </row>
    <row r="129" spans="1:14" x14ac:dyDescent="0.15">
      <c r="A129" s="22" t="s">
        <v>53</v>
      </c>
      <c r="B129" s="22" t="s">
        <v>140</v>
      </c>
      <c r="C129" s="22" t="s">
        <v>140</v>
      </c>
      <c r="D129" s="22" t="s">
        <v>64</v>
      </c>
      <c r="E129" s="22" t="s">
        <v>65</v>
      </c>
      <c r="F129" s="9">
        <f>676</f>
        <v>676</v>
      </c>
      <c r="G129" s="10">
        <f>16.5</f>
        <v>16.5</v>
      </c>
      <c r="H129" s="10">
        <f>0.9</f>
        <v>0.9</v>
      </c>
      <c r="I129" s="11">
        <f>86.4</f>
        <v>86.4</v>
      </c>
      <c r="J129" s="11">
        <f>1668.71</f>
        <v>1668.71</v>
      </c>
      <c r="K129" s="10">
        <f>28.9</f>
        <v>28.9</v>
      </c>
      <c r="L129" s="10">
        <f>1.3</f>
        <v>1.3</v>
      </c>
      <c r="M129" s="21">
        <f>301849078545</f>
        <v>301849078545</v>
      </c>
      <c r="N129" s="21">
        <f>6544116558310</f>
        <v>6544116558310</v>
      </c>
    </row>
    <row r="130" spans="1:14" x14ac:dyDescent="0.15">
      <c r="A130" s="22" t="s">
        <v>53</v>
      </c>
      <c r="B130" s="22" t="s">
        <v>140</v>
      </c>
      <c r="C130" s="22" t="s">
        <v>140</v>
      </c>
      <c r="D130" s="22" t="s">
        <v>66</v>
      </c>
      <c r="E130" s="22" t="s">
        <v>67</v>
      </c>
      <c r="F130" s="9">
        <f>241</f>
        <v>241</v>
      </c>
      <c r="G130" s="10">
        <f>17.2</f>
        <v>17.2</v>
      </c>
      <c r="H130" s="10">
        <f>0.8</f>
        <v>0.8</v>
      </c>
      <c r="I130" s="11">
        <f>93.49</f>
        <v>93.49</v>
      </c>
      <c r="J130" s="11">
        <f>2111.38</f>
        <v>2111.38</v>
      </c>
      <c r="K130" s="10">
        <f>37.1</f>
        <v>37.1</v>
      </c>
      <c r="L130" s="10">
        <f>1</f>
        <v>1</v>
      </c>
      <c r="M130" s="21">
        <f>82333000000</f>
        <v>82333000000</v>
      </c>
      <c r="N130" s="21">
        <f>3022448500000</f>
        <v>3022448500000</v>
      </c>
    </row>
    <row r="131" spans="1:14" x14ac:dyDescent="0.15">
      <c r="A131" s="22" t="s">
        <v>53</v>
      </c>
      <c r="B131" s="22" t="s">
        <v>140</v>
      </c>
      <c r="C131" s="22" t="s">
        <v>140</v>
      </c>
      <c r="D131" s="22" t="s">
        <v>68</v>
      </c>
      <c r="E131" s="22" t="s">
        <v>69</v>
      </c>
      <c r="F131" s="9">
        <f>435</f>
        <v>435</v>
      </c>
      <c r="G131" s="10">
        <f>16.1</f>
        <v>16.100000000000001</v>
      </c>
      <c r="H131" s="10">
        <f>0.9</f>
        <v>0.9</v>
      </c>
      <c r="I131" s="11">
        <f>82.47</f>
        <v>82.47</v>
      </c>
      <c r="J131" s="11">
        <f>1423.47</f>
        <v>1423.47</v>
      </c>
      <c r="K131" s="10">
        <f>25.7</f>
        <v>25.7</v>
      </c>
      <c r="L131" s="10">
        <f>1.6</f>
        <v>1.6</v>
      </c>
      <c r="M131" s="21">
        <f>219516078545</f>
        <v>219516078545</v>
      </c>
      <c r="N131" s="21">
        <f>3521668058310</f>
        <v>3521668058310</v>
      </c>
    </row>
    <row r="132" spans="1:14" x14ac:dyDescent="0.15">
      <c r="A132" s="22" t="s">
        <v>53</v>
      </c>
      <c r="B132" s="22" t="s">
        <v>140</v>
      </c>
      <c r="C132" s="22" t="s">
        <v>140</v>
      </c>
      <c r="D132" s="22" t="s">
        <v>70</v>
      </c>
      <c r="E132" s="22" t="s">
        <v>71</v>
      </c>
      <c r="F132" s="9">
        <f>4</f>
        <v>4</v>
      </c>
      <c r="G132" s="10">
        <f>17.1</f>
        <v>17.100000000000001</v>
      </c>
      <c r="H132" s="10">
        <f>1.5</f>
        <v>1.5</v>
      </c>
      <c r="I132" s="11">
        <f>98.51</f>
        <v>98.51</v>
      </c>
      <c r="J132" s="11">
        <f>1125.73</f>
        <v>1125.73</v>
      </c>
      <c r="K132" s="10">
        <f>12.1</f>
        <v>12.1</v>
      </c>
      <c r="L132" s="10">
        <f>1.3</f>
        <v>1.3</v>
      </c>
      <c r="M132" s="21">
        <f>1919000000</f>
        <v>1919000000</v>
      </c>
      <c r="N132" s="21">
        <f>17324000000</f>
        <v>17324000000</v>
      </c>
    </row>
    <row r="133" spans="1:14" x14ac:dyDescent="0.15">
      <c r="A133" s="22" t="s">
        <v>53</v>
      </c>
      <c r="B133" s="22" t="s">
        <v>140</v>
      </c>
      <c r="C133" s="22" t="s">
        <v>140</v>
      </c>
      <c r="D133" s="22" t="s">
        <v>72</v>
      </c>
      <c r="E133" s="22" t="s">
        <v>73</v>
      </c>
      <c r="F133" s="9" t="str">
        <f t="shared" ref="F133:N133" si="15">"－"</f>
        <v>－</v>
      </c>
      <c r="G133" s="10" t="str">
        <f t="shared" si="15"/>
        <v>－</v>
      </c>
      <c r="H133" s="10" t="str">
        <f t="shared" si="15"/>
        <v>－</v>
      </c>
      <c r="I133" s="11" t="str">
        <f t="shared" si="15"/>
        <v>－</v>
      </c>
      <c r="J133" s="11" t="str">
        <f t="shared" si="15"/>
        <v>－</v>
      </c>
      <c r="K133" s="10" t="str">
        <f t="shared" si="15"/>
        <v>－</v>
      </c>
      <c r="L133" s="10" t="str">
        <f t="shared" si="15"/>
        <v>－</v>
      </c>
      <c r="M133" s="21" t="str">
        <f t="shared" si="15"/>
        <v>－</v>
      </c>
      <c r="N133" s="21" t="str">
        <f t="shared" si="15"/>
        <v>－</v>
      </c>
    </row>
    <row r="134" spans="1:14" x14ac:dyDescent="0.15">
      <c r="A134" s="22" t="s">
        <v>53</v>
      </c>
      <c r="B134" s="22" t="s">
        <v>140</v>
      </c>
      <c r="C134" s="22" t="s">
        <v>140</v>
      </c>
      <c r="D134" s="22" t="s">
        <v>74</v>
      </c>
      <c r="E134" s="22" t="s">
        <v>75</v>
      </c>
      <c r="F134" s="9">
        <f>31</f>
        <v>31</v>
      </c>
      <c r="G134" s="10">
        <f>8.1</f>
        <v>8.1</v>
      </c>
      <c r="H134" s="10">
        <f>0.6</f>
        <v>0.6</v>
      </c>
      <c r="I134" s="11">
        <f>234.14</f>
        <v>234.14</v>
      </c>
      <c r="J134" s="11">
        <f>3104.85</f>
        <v>3104.85</v>
      </c>
      <c r="K134" s="10">
        <f>11.2</f>
        <v>11.2</v>
      </c>
      <c r="L134" s="10">
        <f>0.8</f>
        <v>0.8</v>
      </c>
      <c r="M134" s="21">
        <f>27981000000</f>
        <v>27981000000</v>
      </c>
      <c r="N134" s="21">
        <f>382705000000</f>
        <v>382705000000</v>
      </c>
    </row>
    <row r="135" spans="1:14" x14ac:dyDescent="0.15">
      <c r="A135" s="22" t="s">
        <v>53</v>
      </c>
      <c r="B135" s="22" t="s">
        <v>140</v>
      </c>
      <c r="C135" s="22" t="s">
        <v>140</v>
      </c>
      <c r="D135" s="22" t="s">
        <v>76</v>
      </c>
      <c r="E135" s="22" t="s">
        <v>77</v>
      </c>
      <c r="F135" s="9">
        <f>14</f>
        <v>14</v>
      </c>
      <c r="G135" s="10">
        <f>53.5</f>
        <v>53.5</v>
      </c>
      <c r="H135" s="10">
        <f>1</f>
        <v>1</v>
      </c>
      <c r="I135" s="11">
        <f>35.22</f>
        <v>35.22</v>
      </c>
      <c r="J135" s="11">
        <f>1850.17</f>
        <v>1850.17</v>
      </c>
      <c r="K135" s="10">
        <f>25</f>
        <v>25</v>
      </c>
      <c r="L135" s="10">
        <f>1</f>
        <v>1</v>
      </c>
      <c r="M135" s="21">
        <f>6266000000</f>
        <v>6266000000</v>
      </c>
      <c r="N135" s="21">
        <f>152956000000</f>
        <v>152956000000</v>
      </c>
    </row>
    <row r="136" spans="1:14" x14ac:dyDescent="0.15">
      <c r="A136" s="22" t="s">
        <v>53</v>
      </c>
      <c r="B136" s="22" t="s">
        <v>140</v>
      </c>
      <c r="C136" s="22" t="s">
        <v>140</v>
      </c>
      <c r="D136" s="22" t="s">
        <v>78</v>
      </c>
      <c r="E136" s="22" t="s">
        <v>79</v>
      </c>
      <c r="F136" s="9">
        <f>1</f>
        <v>1</v>
      </c>
      <c r="G136" s="10" t="str">
        <f>"－"</f>
        <v>－</v>
      </c>
      <c r="H136" s="10">
        <f>0.3</f>
        <v>0.3</v>
      </c>
      <c r="I136" s="11">
        <f>-336</f>
        <v>-336</v>
      </c>
      <c r="J136" s="11">
        <f>8362</f>
        <v>8362</v>
      </c>
      <c r="K136" s="10" t="str">
        <f>"－"</f>
        <v>－</v>
      </c>
      <c r="L136" s="10">
        <f>0.3</f>
        <v>0.3</v>
      </c>
      <c r="M136" s="21">
        <f>-336000000</f>
        <v>-336000000</v>
      </c>
      <c r="N136" s="21">
        <f>8362000000</f>
        <v>8362000000</v>
      </c>
    </row>
    <row r="137" spans="1:14" x14ac:dyDescent="0.15">
      <c r="A137" s="22" t="s">
        <v>53</v>
      </c>
      <c r="B137" s="22" t="s">
        <v>140</v>
      </c>
      <c r="C137" s="22" t="s">
        <v>140</v>
      </c>
      <c r="D137" s="22" t="s">
        <v>80</v>
      </c>
      <c r="E137" s="22" t="s">
        <v>81</v>
      </c>
      <c r="F137" s="9">
        <f>7</f>
        <v>7</v>
      </c>
      <c r="G137" s="10">
        <f>9.9</f>
        <v>9.9</v>
      </c>
      <c r="H137" s="10">
        <f>0.5</f>
        <v>0.5</v>
      </c>
      <c r="I137" s="11">
        <f>79.99</f>
        <v>79.989999999999995</v>
      </c>
      <c r="J137" s="11">
        <f>1466.98</f>
        <v>1466.98</v>
      </c>
      <c r="K137" s="10">
        <f>10.6</f>
        <v>10.6</v>
      </c>
      <c r="L137" s="10">
        <f>0.6</f>
        <v>0.6</v>
      </c>
      <c r="M137" s="21">
        <f>3369000000</f>
        <v>3369000000</v>
      </c>
      <c r="N137" s="21">
        <f>62406000000</f>
        <v>62406000000</v>
      </c>
    </row>
    <row r="138" spans="1:14" x14ac:dyDescent="0.15">
      <c r="A138" s="22" t="s">
        <v>53</v>
      </c>
      <c r="B138" s="22" t="s">
        <v>140</v>
      </c>
      <c r="C138" s="22" t="s">
        <v>140</v>
      </c>
      <c r="D138" s="22" t="s">
        <v>82</v>
      </c>
      <c r="E138" s="22" t="s">
        <v>83</v>
      </c>
      <c r="F138" s="9">
        <f>28</f>
        <v>28</v>
      </c>
      <c r="G138" s="10">
        <f>14.7</f>
        <v>14.7</v>
      </c>
      <c r="H138" s="10">
        <f>0.9</f>
        <v>0.9</v>
      </c>
      <c r="I138" s="11">
        <f>202.14</f>
        <v>202.14</v>
      </c>
      <c r="J138" s="11">
        <f>3284.89</f>
        <v>3284.89</v>
      </c>
      <c r="K138" s="10">
        <f>21.2</f>
        <v>21.2</v>
      </c>
      <c r="L138" s="10">
        <f>1.1</f>
        <v>1.1000000000000001</v>
      </c>
      <c r="M138" s="21">
        <f>18769000000</f>
        <v>18769000000</v>
      </c>
      <c r="N138" s="21">
        <f>379372500000</f>
        <v>379372500000</v>
      </c>
    </row>
    <row r="139" spans="1:14" x14ac:dyDescent="0.15">
      <c r="A139" s="22" t="s">
        <v>53</v>
      </c>
      <c r="B139" s="22" t="s">
        <v>140</v>
      </c>
      <c r="C139" s="22" t="s">
        <v>140</v>
      </c>
      <c r="D139" s="22" t="s">
        <v>84</v>
      </c>
      <c r="E139" s="22" t="s">
        <v>85</v>
      </c>
      <c r="F139" s="9">
        <f>8</f>
        <v>8</v>
      </c>
      <c r="G139" s="10">
        <f>36.9</f>
        <v>36.9</v>
      </c>
      <c r="H139" s="10">
        <f>2.1</f>
        <v>2.1</v>
      </c>
      <c r="I139" s="11">
        <f>25.88</f>
        <v>25.88</v>
      </c>
      <c r="J139" s="11">
        <f>456.99</f>
        <v>456.99</v>
      </c>
      <c r="K139" s="10" t="str">
        <f>"－"</f>
        <v>－</v>
      </c>
      <c r="L139" s="10">
        <f>2.9</f>
        <v>2.9</v>
      </c>
      <c r="M139" s="21">
        <f>-2404000000</f>
        <v>-2404000000</v>
      </c>
      <c r="N139" s="21">
        <f>30860000000</f>
        <v>30860000000</v>
      </c>
    </row>
    <row r="140" spans="1:14" x14ac:dyDescent="0.15">
      <c r="A140" s="22" t="s">
        <v>53</v>
      </c>
      <c r="B140" s="22" t="s">
        <v>140</v>
      </c>
      <c r="C140" s="22" t="s">
        <v>140</v>
      </c>
      <c r="D140" s="22" t="s">
        <v>86</v>
      </c>
      <c r="E140" s="22" t="s">
        <v>87</v>
      </c>
      <c r="F140" s="9" t="str">
        <f>"－"</f>
        <v>－</v>
      </c>
      <c r="G140" s="10" t="str">
        <f>"－"</f>
        <v>－</v>
      </c>
      <c r="H140" s="10" t="str">
        <f>"－"</f>
        <v>－</v>
      </c>
      <c r="I140" s="11" t="str">
        <f>"－"</f>
        <v>－</v>
      </c>
      <c r="J140" s="11" t="str">
        <f>"－"</f>
        <v>－</v>
      </c>
      <c r="K140" s="10" t="str">
        <f>"－"</f>
        <v>－</v>
      </c>
      <c r="L140" s="10" t="str">
        <f>"－"</f>
        <v>－</v>
      </c>
      <c r="M140" s="21" t="str">
        <f>"－"</f>
        <v>－</v>
      </c>
      <c r="N140" s="21" t="str">
        <f>"－"</f>
        <v>－</v>
      </c>
    </row>
    <row r="141" spans="1:14" x14ac:dyDescent="0.15">
      <c r="A141" s="22" t="s">
        <v>53</v>
      </c>
      <c r="B141" s="22" t="s">
        <v>140</v>
      </c>
      <c r="C141" s="22" t="s">
        <v>140</v>
      </c>
      <c r="D141" s="22" t="s">
        <v>88</v>
      </c>
      <c r="E141" s="22" t="s">
        <v>89</v>
      </c>
      <c r="F141" s="9">
        <f>2</f>
        <v>2</v>
      </c>
      <c r="G141" s="10">
        <f>542.9</f>
        <v>542.9</v>
      </c>
      <c r="H141" s="10">
        <f>1.1</f>
        <v>1.1000000000000001</v>
      </c>
      <c r="I141" s="11">
        <f>3.54</f>
        <v>3.54</v>
      </c>
      <c r="J141" s="11">
        <f>1694.12</f>
        <v>1694.12</v>
      </c>
      <c r="K141" s="10">
        <f>69.1</f>
        <v>69.099999999999994</v>
      </c>
      <c r="L141" s="10">
        <f>0.9</f>
        <v>0.9</v>
      </c>
      <c r="M141" s="21">
        <f>100000000</f>
        <v>100000000</v>
      </c>
      <c r="N141" s="21">
        <f>7573000000</f>
        <v>7573000000</v>
      </c>
    </row>
    <row r="142" spans="1:14" x14ac:dyDescent="0.15">
      <c r="A142" s="22" t="s">
        <v>53</v>
      </c>
      <c r="B142" s="22" t="s">
        <v>140</v>
      </c>
      <c r="C142" s="22" t="s">
        <v>140</v>
      </c>
      <c r="D142" s="22" t="s">
        <v>90</v>
      </c>
      <c r="E142" s="22" t="s">
        <v>91</v>
      </c>
      <c r="F142" s="9">
        <f>10</f>
        <v>10</v>
      </c>
      <c r="G142" s="10">
        <f>14.8</f>
        <v>14.8</v>
      </c>
      <c r="H142" s="10">
        <f>0.8</f>
        <v>0.8</v>
      </c>
      <c r="I142" s="11">
        <f>145.28</f>
        <v>145.28</v>
      </c>
      <c r="J142" s="11">
        <f>2724.88</f>
        <v>2724.88</v>
      </c>
      <c r="K142" s="10" t="str">
        <f>"－"</f>
        <v>－</v>
      </c>
      <c r="L142" s="10">
        <f>0.8</f>
        <v>0.8</v>
      </c>
      <c r="M142" s="21">
        <f>-924000000</f>
        <v>-924000000</v>
      </c>
      <c r="N142" s="21">
        <f>55330000000</f>
        <v>55330000000</v>
      </c>
    </row>
    <row r="143" spans="1:14" x14ac:dyDescent="0.15">
      <c r="A143" s="22" t="s">
        <v>53</v>
      </c>
      <c r="B143" s="22" t="s">
        <v>140</v>
      </c>
      <c r="C143" s="22" t="s">
        <v>140</v>
      </c>
      <c r="D143" s="22" t="s">
        <v>92</v>
      </c>
      <c r="E143" s="22" t="s">
        <v>93</v>
      </c>
      <c r="F143" s="9">
        <f>4</f>
        <v>4</v>
      </c>
      <c r="G143" s="10">
        <f>7.8</f>
        <v>7.8</v>
      </c>
      <c r="H143" s="10">
        <f>0.7</f>
        <v>0.7</v>
      </c>
      <c r="I143" s="11">
        <f>211.88</f>
        <v>211.88</v>
      </c>
      <c r="J143" s="11">
        <f>2509.47</f>
        <v>2509.4699999999998</v>
      </c>
      <c r="K143" s="10">
        <f>7.5</f>
        <v>7.5</v>
      </c>
      <c r="L143" s="10">
        <f>0.6</f>
        <v>0.6</v>
      </c>
      <c r="M143" s="21">
        <f>3262000000</f>
        <v>3262000000</v>
      </c>
      <c r="N143" s="21">
        <f>42669000000</f>
        <v>42669000000</v>
      </c>
    </row>
    <row r="144" spans="1:14" x14ac:dyDescent="0.15">
      <c r="A144" s="22" t="s">
        <v>53</v>
      </c>
      <c r="B144" s="22" t="s">
        <v>140</v>
      </c>
      <c r="C144" s="22" t="s">
        <v>140</v>
      </c>
      <c r="D144" s="22" t="s">
        <v>94</v>
      </c>
      <c r="E144" s="22" t="s">
        <v>95</v>
      </c>
      <c r="F144" s="9">
        <f>3</f>
        <v>3</v>
      </c>
      <c r="G144" s="10">
        <f>17.3</f>
        <v>17.3</v>
      </c>
      <c r="H144" s="10">
        <f>0.5</f>
        <v>0.5</v>
      </c>
      <c r="I144" s="11">
        <f>64.98</f>
        <v>64.98</v>
      </c>
      <c r="J144" s="11">
        <f>2170.23</f>
        <v>2170.23</v>
      </c>
      <c r="K144" s="10">
        <f>25.7</f>
        <v>25.7</v>
      </c>
      <c r="L144" s="10">
        <f>0.7</f>
        <v>0.7</v>
      </c>
      <c r="M144" s="21">
        <f>365000000</f>
        <v>365000000</v>
      </c>
      <c r="N144" s="21">
        <f>13361000000</f>
        <v>13361000000</v>
      </c>
    </row>
    <row r="145" spans="1:14" x14ac:dyDescent="0.15">
      <c r="A145" s="22" t="s">
        <v>53</v>
      </c>
      <c r="B145" s="22" t="s">
        <v>140</v>
      </c>
      <c r="C145" s="22" t="s">
        <v>140</v>
      </c>
      <c r="D145" s="22" t="s">
        <v>96</v>
      </c>
      <c r="E145" s="22" t="s">
        <v>97</v>
      </c>
      <c r="F145" s="9">
        <f>18</f>
        <v>18</v>
      </c>
      <c r="G145" s="10">
        <f>11</f>
        <v>11</v>
      </c>
      <c r="H145" s="10">
        <f>0.6</f>
        <v>0.6</v>
      </c>
      <c r="I145" s="11">
        <f>194.76</f>
        <v>194.76</v>
      </c>
      <c r="J145" s="11">
        <f>3528.7</f>
        <v>3528.7</v>
      </c>
      <c r="K145" s="10">
        <f>14.4</f>
        <v>14.4</v>
      </c>
      <c r="L145" s="10">
        <f>0.7</f>
        <v>0.7</v>
      </c>
      <c r="M145" s="21">
        <f>7957000000</f>
        <v>7957000000</v>
      </c>
      <c r="N145" s="21">
        <f>169831000000</f>
        <v>169831000000</v>
      </c>
    </row>
    <row r="146" spans="1:14" x14ac:dyDescent="0.15">
      <c r="A146" s="22" t="s">
        <v>53</v>
      </c>
      <c r="B146" s="22" t="s">
        <v>140</v>
      </c>
      <c r="C146" s="22" t="s">
        <v>140</v>
      </c>
      <c r="D146" s="22" t="s">
        <v>98</v>
      </c>
      <c r="E146" s="22" t="s">
        <v>99</v>
      </c>
      <c r="F146" s="9">
        <f>41</f>
        <v>41</v>
      </c>
      <c r="G146" s="10">
        <f>18.6</f>
        <v>18.600000000000001</v>
      </c>
      <c r="H146" s="10">
        <f>0.7</f>
        <v>0.7</v>
      </c>
      <c r="I146" s="11">
        <f>68.94</f>
        <v>68.94</v>
      </c>
      <c r="J146" s="11">
        <f>1753.24</f>
        <v>1753.24</v>
      </c>
      <c r="K146" s="10">
        <f>123</f>
        <v>123</v>
      </c>
      <c r="L146" s="10">
        <f>1.2</f>
        <v>1.2</v>
      </c>
      <c r="M146" s="21">
        <f>8285000000</f>
        <v>8285000000</v>
      </c>
      <c r="N146" s="21">
        <f>873496000000</f>
        <v>873496000000</v>
      </c>
    </row>
    <row r="147" spans="1:14" x14ac:dyDescent="0.15">
      <c r="A147" s="22" t="s">
        <v>53</v>
      </c>
      <c r="B147" s="22" t="s">
        <v>140</v>
      </c>
      <c r="C147" s="22" t="s">
        <v>140</v>
      </c>
      <c r="D147" s="22" t="s">
        <v>100</v>
      </c>
      <c r="E147" s="22" t="s">
        <v>101</v>
      </c>
      <c r="F147" s="9">
        <f>46</f>
        <v>46</v>
      </c>
      <c r="G147" s="10">
        <f>16.8</f>
        <v>16.8</v>
      </c>
      <c r="H147" s="10">
        <f>0.8</f>
        <v>0.8</v>
      </c>
      <c r="I147" s="11">
        <f>87.28</f>
        <v>87.28</v>
      </c>
      <c r="J147" s="11">
        <f>1800.59</f>
        <v>1800.59</v>
      </c>
      <c r="K147" s="10">
        <f>28.3</f>
        <v>28.3</v>
      </c>
      <c r="L147" s="10">
        <f>0.9</f>
        <v>0.9</v>
      </c>
      <c r="M147" s="21">
        <f>20181000000</f>
        <v>20181000000</v>
      </c>
      <c r="N147" s="21">
        <f>601530000000</f>
        <v>601530000000</v>
      </c>
    </row>
    <row r="148" spans="1:14" x14ac:dyDescent="0.15">
      <c r="A148" s="22" t="s">
        <v>53</v>
      </c>
      <c r="B148" s="22" t="s">
        <v>140</v>
      </c>
      <c r="C148" s="22" t="s">
        <v>140</v>
      </c>
      <c r="D148" s="22" t="s">
        <v>102</v>
      </c>
      <c r="E148" s="22" t="s">
        <v>103</v>
      </c>
      <c r="F148" s="9">
        <f>14</f>
        <v>14</v>
      </c>
      <c r="G148" s="10">
        <f>17</f>
        <v>17</v>
      </c>
      <c r="H148" s="10">
        <f>0.4</f>
        <v>0.4</v>
      </c>
      <c r="I148" s="11">
        <f>57.28</f>
        <v>57.28</v>
      </c>
      <c r="J148" s="11">
        <f>2585.41</f>
        <v>2585.41</v>
      </c>
      <c r="K148" s="10">
        <f>73.8</f>
        <v>73.8</v>
      </c>
      <c r="L148" s="10">
        <f>0.3</f>
        <v>0.3</v>
      </c>
      <c r="M148" s="21">
        <f>1070000000</f>
        <v>1070000000</v>
      </c>
      <c r="N148" s="21">
        <f>253515000000</f>
        <v>253515000000</v>
      </c>
    </row>
    <row r="149" spans="1:14" x14ac:dyDescent="0.15">
      <c r="A149" s="22" t="s">
        <v>53</v>
      </c>
      <c r="B149" s="22" t="s">
        <v>140</v>
      </c>
      <c r="C149" s="22" t="s">
        <v>140</v>
      </c>
      <c r="D149" s="22" t="s">
        <v>104</v>
      </c>
      <c r="E149" s="22" t="s">
        <v>105</v>
      </c>
      <c r="F149" s="9">
        <f>13</f>
        <v>13</v>
      </c>
      <c r="G149" s="10">
        <f>20.5</f>
        <v>20.5</v>
      </c>
      <c r="H149" s="10">
        <f>1.7</f>
        <v>1.7</v>
      </c>
      <c r="I149" s="11">
        <f>54.74</f>
        <v>54.74</v>
      </c>
      <c r="J149" s="11">
        <f>653.59</f>
        <v>653.59</v>
      </c>
      <c r="K149" s="10">
        <f>33.9</f>
        <v>33.9</v>
      </c>
      <c r="L149" s="10">
        <f>1.9</f>
        <v>1.9</v>
      </c>
      <c r="M149" s="21">
        <f>9315000000</f>
        <v>9315000000</v>
      </c>
      <c r="N149" s="21">
        <f>167479000000</f>
        <v>167479000000</v>
      </c>
    </row>
    <row r="150" spans="1:14" x14ac:dyDescent="0.15">
      <c r="A150" s="22" t="s">
        <v>53</v>
      </c>
      <c r="B150" s="22" t="s">
        <v>140</v>
      </c>
      <c r="C150" s="22" t="s">
        <v>140</v>
      </c>
      <c r="D150" s="22" t="s">
        <v>106</v>
      </c>
      <c r="E150" s="22" t="s">
        <v>107</v>
      </c>
      <c r="F150" s="9">
        <f>32</f>
        <v>32</v>
      </c>
      <c r="G150" s="10">
        <f>25.1</f>
        <v>25.1</v>
      </c>
      <c r="H150" s="10">
        <f>0.7</f>
        <v>0.7</v>
      </c>
      <c r="I150" s="11">
        <f>49.47</f>
        <v>49.47</v>
      </c>
      <c r="J150" s="11">
        <f>1830.35</f>
        <v>1830.35</v>
      </c>
      <c r="K150" s="10">
        <f>27.3</f>
        <v>27.3</v>
      </c>
      <c r="L150" s="10">
        <f>0.9</f>
        <v>0.9</v>
      </c>
      <c r="M150" s="21">
        <f>7058000000</f>
        <v>7058000000</v>
      </c>
      <c r="N150" s="21">
        <f>203708000000</f>
        <v>203708000000</v>
      </c>
    </row>
    <row r="151" spans="1:14" x14ac:dyDescent="0.15">
      <c r="A151" s="22" t="s">
        <v>53</v>
      </c>
      <c r="B151" s="22" t="s">
        <v>140</v>
      </c>
      <c r="C151" s="22" t="s">
        <v>140</v>
      </c>
      <c r="D151" s="22" t="s">
        <v>108</v>
      </c>
      <c r="E151" s="22" t="s">
        <v>109</v>
      </c>
      <c r="F151" s="9" t="str">
        <f t="shared" ref="F151:N151" si="16">"－"</f>
        <v>－</v>
      </c>
      <c r="G151" s="10" t="str">
        <f t="shared" si="16"/>
        <v>－</v>
      </c>
      <c r="H151" s="10" t="str">
        <f t="shared" si="16"/>
        <v>－</v>
      </c>
      <c r="I151" s="11" t="str">
        <f t="shared" si="16"/>
        <v>－</v>
      </c>
      <c r="J151" s="11" t="str">
        <f t="shared" si="16"/>
        <v>－</v>
      </c>
      <c r="K151" s="10" t="str">
        <f t="shared" si="16"/>
        <v>－</v>
      </c>
      <c r="L151" s="10" t="str">
        <f t="shared" si="16"/>
        <v>－</v>
      </c>
      <c r="M151" s="21" t="str">
        <f t="shared" si="16"/>
        <v>－</v>
      </c>
      <c r="N151" s="21" t="str">
        <f t="shared" si="16"/>
        <v>－</v>
      </c>
    </row>
    <row r="152" spans="1:14" x14ac:dyDescent="0.15">
      <c r="A152" s="22" t="s">
        <v>53</v>
      </c>
      <c r="B152" s="22" t="s">
        <v>140</v>
      </c>
      <c r="C152" s="22" t="s">
        <v>140</v>
      </c>
      <c r="D152" s="22" t="s">
        <v>110</v>
      </c>
      <c r="E152" s="22" t="s">
        <v>111</v>
      </c>
      <c r="F152" s="9">
        <f>8</f>
        <v>8</v>
      </c>
      <c r="G152" s="10">
        <f>15</f>
        <v>15</v>
      </c>
      <c r="H152" s="10">
        <f>0.4</f>
        <v>0.4</v>
      </c>
      <c r="I152" s="11">
        <f>116.04</f>
        <v>116.04</v>
      </c>
      <c r="J152" s="11">
        <f>3953.73</f>
        <v>3953.73</v>
      </c>
      <c r="K152" s="10">
        <f>12.7</f>
        <v>12.7</v>
      </c>
      <c r="L152" s="10">
        <f>0.5</f>
        <v>0.5</v>
      </c>
      <c r="M152" s="21">
        <f>3744000000</f>
        <v>3744000000</v>
      </c>
      <c r="N152" s="21">
        <f>87062000000</f>
        <v>87062000000</v>
      </c>
    </row>
    <row r="153" spans="1:14" x14ac:dyDescent="0.15">
      <c r="A153" s="22" t="s">
        <v>53</v>
      </c>
      <c r="B153" s="22" t="s">
        <v>140</v>
      </c>
      <c r="C153" s="22" t="s">
        <v>140</v>
      </c>
      <c r="D153" s="22" t="s">
        <v>112</v>
      </c>
      <c r="E153" s="22" t="s">
        <v>113</v>
      </c>
      <c r="F153" s="9">
        <f>1</f>
        <v>1</v>
      </c>
      <c r="G153" s="10" t="str">
        <f>"－"</f>
        <v>－</v>
      </c>
      <c r="H153" s="10">
        <f>2</f>
        <v>2</v>
      </c>
      <c r="I153" s="11">
        <f>-53.81</f>
        <v>-53.81</v>
      </c>
      <c r="J153" s="11">
        <f>118.95</f>
        <v>118.95</v>
      </c>
      <c r="K153" s="10" t="str">
        <f>"－"</f>
        <v>－</v>
      </c>
      <c r="L153" s="10">
        <f>2</f>
        <v>2</v>
      </c>
      <c r="M153" s="21">
        <f>-769000000</f>
        <v>-769000000</v>
      </c>
      <c r="N153" s="21">
        <f>1700000000</f>
        <v>1700000000</v>
      </c>
    </row>
    <row r="154" spans="1:14" x14ac:dyDescent="0.15">
      <c r="A154" s="22" t="s">
        <v>53</v>
      </c>
      <c r="B154" s="22" t="s">
        <v>140</v>
      </c>
      <c r="C154" s="22" t="s">
        <v>140</v>
      </c>
      <c r="D154" s="22" t="s">
        <v>114</v>
      </c>
      <c r="E154" s="22" t="s">
        <v>115</v>
      </c>
      <c r="F154" s="9" t="str">
        <f>"－"</f>
        <v>－</v>
      </c>
      <c r="G154" s="10" t="str">
        <f>"－"</f>
        <v>－</v>
      </c>
      <c r="H154" s="10" t="str">
        <f>"－"</f>
        <v>－</v>
      </c>
      <c r="I154" s="11" t="str">
        <f>"－"</f>
        <v>－</v>
      </c>
      <c r="J154" s="11" t="str">
        <f>"－"</f>
        <v>－</v>
      </c>
      <c r="K154" s="10" t="str">
        <f>"－"</f>
        <v>－</v>
      </c>
      <c r="L154" s="10" t="str">
        <f>"－"</f>
        <v>－</v>
      </c>
      <c r="M154" s="21" t="str">
        <f>"－"</f>
        <v>－</v>
      </c>
      <c r="N154" s="21" t="str">
        <f>"－"</f>
        <v>－</v>
      </c>
    </row>
    <row r="155" spans="1:14" x14ac:dyDescent="0.15">
      <c r="A155" s="22" t="s">
        <v>53</v>
      </c>
      <c r="B155" s="22" t="s">
        <v>140</v>
      </c>
      <c r="C155" s="22" t="s">
        <v>140</v>
      </c>
      <c r="D155" s="22" t="s">
        <v>116</v>
      </c>
      <c r="E155" s="22" t="s">
        <v>117</v>
      </c>
      <c r="F155" s="9">
        <f>2</f>
        <v>2</v>
      </c>
      <c r="G155" s="10">
        <f>9.5</f>
        <v>9.5</v>
      </c>
      <c r="H155" s="10">
        <f>0.7</f>
        <v>0.7</v>
      </c>
      <c r="I155" s="11">
        <f>52.68</f>
        <v>52.68</v>
      </c>
      <c r="J155" s="11">
        <f>665.67</f>
        <v>665.67</v>
      </c>
      <c r="K155" s="10">
        <f>9.8</f>
        <v>9.8000000000000007</v>
      </c>
      <c r="L155" s="10">
        <f>0.7</f>
        <v>0.7</v>
      </c>
      <c r="M155" s="21">
        <f>1152000000</f>
        <v>1152000000</v>
      </c>
      <c r="N155" s="21">
        <f>15564000000</f>
        <v>15564000000</v>
      </c>
    </row>
    <row r="156" spans="1:14" x14ac:dyDescent="0.15">
      <c r="A156" s="22" t="s">
        <v>53</v>
      </c>
      <c r="B156" s="22" t="s">
        <v>140</v>
      </c>
      <c r="C156" s="22" t="s">
        <v>140</v>
      </c>
      <c r="D156" s="22" t="s">
        <v>118</v>
      </c>
      <c r="E156" s="22" t="s">
        <v>119</v>
      </c>
      <c r="F156" s="9">
        <f>96</f>
        <v>96</v>
      </c>
      <c r="G156" s="10">
        <f>19.6</f>
        <v>19.600000000000001</v>
      </c>
      <c r="H156" s="10">
        <f>1.7</f>
        <v>1.7</v>
      </c>
      <c r="I156" s="11">
        <f>69.17</f>
        <v>69.17</v>
      </c>
      <c r="J156" s="11">
        <f>814.92</f>
        <v>814.92</v>
      </c>
      <c r="K156" s="10">
        <f>26.5</f>
        <v>26.5</v>
      </c>
      <c r="L156" s="10">
        <f>1.9</f>
        <v>1.9</v>
      </c>
      <c r="M156" s="21">
        <f>45599954545</f>
        <v>45599954545</v>
      </c>
      <c r="N156" s="21">
        <f>641303000000</f>
        <v>641303000000</v>
      </c>
    </row>
    <row r="157" spans="1:14" x14ac:dyDescent="0.15">
      <c r="A157" s="22" t="s">
        <v>53</v>
      </c>
      <c r="B157" s="22" t="s">
        <v>140</v>
      </c>
      <c r="C157" s="22" t="s">
        <v>140</v>
      </c>
      <c r="D157" s="22" t="s">
        <v>120</v>
      </c>
      <c r="E157" s="22" t="s">
        <v>121</v>
      </c>
      <c r="F157" s="9">
        <f>82</f>
        <v>82</v>
      </c>
      <c r="G157" s="10">
        <f>13.8</f>
        <v>13.8</v>
      </c>
      <c r="H157" s="10">
        <f>0.7</f>
        <v>0.7</v>
      </c>
      <c r="I157" s="11">
        <f>107.2</f>
        <v>107.2</v>
      </c>
      <c r="J157" s="11">
        <f>2218.35</f>
        <v>2218.35</v>
      </c>
      <c r="K157" s="10">
        <f>16.6</f>
        <v>16.600000000000001</v>
      </c>
      <c r="L157" s="10">
        <f>0.8</f>
        <v>0.8</v>
      </c>
      <c r="M157" s="21">
        <f>36060000000</f>
        <v>36060000000</v>
      </c>
      <c r="N157" s="21">
        <f>716793000000</f>
        <v>716793000000</v>
      </c>
    </row>
    <row r="158" spans="1:14" x14ac:dyDescent="0.15">
      <c r="A158" s="22" t="s">
        <v>53</v>
      </c>
      <c r="B158" s="22" t="s">
        <v>140</v>
      </c>
      <c r="C158" s="22" t="s">
        <v>140</v>
      </c>
      <c r="D158" s="22" t="s">
        <v>122</v>
      </c>
      <c r="E158" s="22" t="s">
        <v>123</v>
      </c>
      <c r="F158" s="9">
        <f>82</f>
        <v>82</v>
      </c>
      <c r="G158" s="10">
        <f>34.9</f>
        <v>34.9</v>
      </c>
      <c r="H158" s="10">
        <f>1.2</f>
        <v>1.2</v>
      </c>
      <c r="I158" s="11">
        <f>41.82</f>
        <v>41.82</v>
      </c>
      <c r="J158" s="11">
        <f>1191.51</f>
        <v>1191.51</v>
      </c>
      <c r="K158" s="10">
        <f>51.7</f>
        <v>51.7</v>
      </c>
      <c r="L158" s="10">
        <f>2.7</f>
        <v>2.7</v>
      </c>
      <c r="M158" s="21">
        <f>47257124000</f>
        <v>47257124000</v>
      </c>
      <c r="N158" s="21">
        <f>897521157000</f>
        <v>897521157000</v>
      </c>
    </row>
    <row r="159" spans="1:14" x14ac:dyDescent="0.15">
      <c r="A159" s="22" t="s">
        <v>53</v>
      </c>
      <c r="B159" s="22" t="s">
        <v>140</v>
      </c>
      <c r="C159" s="22" t="s">
        <v>140</v>
      </c>
      <c r="D159" s="22" t="s">
        <v>124</v>
      </c>
      <c r="E159" s="22" t="s">
        <v>125</v>
      </c>
      <c r="F159" s="9" t="str">
        <f t="shared" ref="F159:N159" si="17">"－"</f>
        <v>－</v>
      </c>
      <c r="G159" s="10" t="str">
        <f t="shared" si="17"/>
        <v>－</v>
      </c>
      <c r="H159" s="10" t="str">
        <f t="shared" si="17"/>
        <v>－</v>
      </c>
      <c r="I159" s="11" t="str">
        <f t="shared" si="17"/>
        <v>－</v>
      </c>
      <c r="J159" s="11" t="str">
        <f t="shared" si="17"/>
        <v>－</v>
      </c>
      <c r="K159" s="10" t="str">
        <f t="shared" si="17"/>
        <v>－</v>
      </c>
      <c r="L159" s="10" t="str">
        <f t="shared" si="17"/>
        <v>－</v>
      </c>
      <c r="M159" s="21" t="str">
        <f t="shared" si="17"/>
        <v>－</v>
      </c>
      <c r="N159" s="21" t="str">
        <f t="shared" si="17"/>
        <v>－</v>
      </c>
    </row>
    <row r="160" spans="1:14" x14ac:dyDescent="0.15">
      <c r="A160" s="22" t="s">
        <v>53</v>
      </c>
      <c r="B160" s="22" t="s">
        <v>140</v>
      </c>
      <c r="C160" s="22" t="s">
        <v>140</v>
      </c>
      <c r="D160" s="22" t="s">
        <v>126</v>
      </c>
      <c r="E160" s="22" t="s">
        <v>127</v>
      </c>
      <c r="F160" s="9">
        <f>13</f>
        <v>13</v>
      </c>
      <c r="G160" s="10">
        <f>9.6</f>
        <v>9.6</v>
      </c>
      <c r="H160" s="10">
        <f>0.7</f>
        <v>0.7</v>
      </c>
      <c r="I160" s="11">
        <f>70.46</f>
        <v>70.459999999999994</v>
      </c>
      <c r="J160" s="11">
        <f>1031.05</f>
        <v>1031.05</v>
      </c>
      <c r="K160" s="10">
        <f>8.7</f>
        <v>8.6999999999999993</v>
      </c>
      <c r="L160" s="10">
        <f>0.9</f>
        <v>0.9</v>
      </c>
      <c r="M160" s="21">
        <f>20068000000</f>
        <v>20068000000</v>
      </c>
      <c r="N160" s="21">
        <f>189329000000</f>
        <v>189329000000</v>
      </c>
    </row>
    <row r="161" spans="1:14" x14ac:dyDescent="0.15">
      <c r="A161" s="22" t="s">
        <v>53</v>
      </c>
      <c r="B161" s="22" t="s">
        <v>140</v>
      </c>
      <c r="C161" s="22" t="s">
        <v>140</v>
      </c>
      <c r="D161" s="22" t="s">
        <v>128</v>
      </c>
      <c r="E161" s="22" t="s">
        <v>129</v>
      </c>
      <c r="F161" s="9">
        <f>1</f>
        <v>1</v>
      </c>
      <c r="G161" s="10">
        <f>16.5</f>
        <v>16.5</v>
      </c>
      <c r="H161" s="10">
        <f>4.2</f>
        <v>4.2</v>
      </c>
      <c r="I161" s="11">
        <f>151.64</f>
        <v>151.63999999999999</v>
      </c>
      <c r="J161" s="11">
        <f>591.51</f>
        <v>591.51</v>
      </c>
      <c r="K161" s="10">
        <f>16.5</f>
        <v>16.5</v>
      </c>
      <c r="L161" s="10">
        <f>4.2</f>
        <v>4.2</v>
      </c>
      <c r="M161" s="21">
        <f>2743000000</f>
        <v>2743000000</v>
      </c>
      <c r="N161" s="21">
        <f>10700000000</f>
        <v>10700000000</v>
      </c>
    </row>
    <row r="162" spans="1:14" x14ac:dyDescent="0.15">
      <c r="A162" s="22" t="s">
        <v>53</v>
      </c>
      <c r="B162" s="22" t="s">
        <v>140</v>
      </c>
      <c r="C162" s="22" t="s">
        <v>140</v>
      </c>
      <c r="D162" s="22" t="s">
        <v>130</v>
      </c>
      <c r="E162" s="22" t="s">
        <v>131</v>
      </c>
      <c r="F162" s="9">
        <f>3</f>
        <v>3</v>
      </c>
      <c r="G162" s="10">
        <f>10.5</f>
        <v>10.5</v>
      </c>
      <c r="H162" s="10">
        <f>0.6</f>
        <v>0.6</v>
      </c>
      <c r="I162" s="11">
        <f>27.54</f>
        <v>27.54</v>
      </c>
      <c r="J162" s="11">
        <f>464.58</f>
        <v>464.58</v>
      </c>
      <c r="K162" s="10" t="str">
        <f>"－"</f>
        <v>－</v>
      </c>
      <c r="L162" s="10">
        <f>0.4</f>
        <v>0.4</v>
      </c>
      <c r="M162" s="21">
        <f>-361000000</f>
        <v>-361000000</v>
      </c>
      <c r="N162" s="21">
        <f>22970000000</f>
        <v>22970000000</v>
      </c>
    </row>
    <row r="163" spans="1:14" x14ac:dyDescent="0.15">
      <c r="A163" s="22" t="s">
        <v>53</v>
      </c>
      <c r="B163" s="22" t="s">
        <v>140</v>
      </c>
      <c r="C163" s="22" t="s">
        <v>140</v>
      </c>
      <c r="D163" s="22" t="s">
        <v>132</v>
      </c>
      <c r="E163" s="22" t="s">
        <v>133</v>
      </c>
      <c r="F163" s="9">
        <f>27</f>
        <v>27</v>
      </c>
      <c r="G163" s="10">
        <f>9.1</f>
        <v>9.1</v>
      </c>
      <c r="H163" s="10">
        <f>0.7</f>
        <v>0.7</v>
      </c>
      <c r="I163" s="11">
        <f>79.18</f>
        <v>79.180000000000007</v>
      </c>
      <c r="J163" s="11">
        <f>1077.83</f>
        <v>1077.83</v>
      </c>
      <c r="K163" s="10">
        <f>7.9</f>
        <v>7.9</v>
      </c>
      <c r="L163" s="10">
        <f>0.8</f>
        <v>0.8</v>
      </c>
      <c r="M163" s="21">
        <f>25970000000</f>
        <v>25970000000</v>
      </c>
      <c r="N163" s="21">
        <f>255841846500</f>
        <v>255841846500</v>
      </c>
    </row>
    <row r="164" spans="1:14" x14ac:dyDescent="0.15">
      <c r="A164" s="22" t="s">
        <v>53</v>
      </c>
      <c r="B164" s="22" t="s">
        <v>140</v>
      </c>
      <c r="C164" s="22" t="s">
        <v>140</v>
      </c>
      <c r="D164" s="22" t="s">
        <v>134</v>
      </c>
      <c r="E164" s="22" t="s">
        <v>135</v>
      </c>
      <c r="F164" s="9">
        <f>102</f>
        <v>102</v>
      </c>
      <c r="G164" s="10">
        <f>17</f>
        <v>17</v>
      </c>
      <c r="H164" s="10">
        <f>1.1</f>
        <v>1.1000000000000001</v>
      </c>
      <c r="I164" s="11">
        <f>61.22</f>
        <v>61.22</v>
      </c>
      <c r="J164" s="11">
        <f>965.04</f>
        <v>965.04</v>
      </c>
      <c r="K164" s="10">
        <f>26</f>
        <v>26</v>
      </c>
      <c r="L164" s="10">
        <f>1.6</f>
        <v>1.6</v>
      </c>
      <c r="M164" s="21">
        <f>30602000000</f>
        <v>30602000000</v>
      </c>
      <c r="N164" s="21">
        <f>505854054810</f>
        <v>505854054810</v>
      </c>
    </row>
  </sheetData>
  <mergeCells count="8">
    <mergeCell ref="F1:J1"/>
    <mergeCell ref="K1:N1"/>
    <mergeCell ref="F2:J2"/>
    <mergeCell ref="K2:N2"/>
    <mergeCell ref="B3:B4"/>
    <mergeCell ref="C3:C4"/>
    <mergeCell ref="D3:D4"/>
    <mergeCell ref="E3:E4"/>
  </mergeCells>
  <phoneticPr fontId="2"/>
  <pageMargins left="0.23622047244094491" right="0.23622047244094491" top="0.74803149606299213" bottom="0.74803149606299213" header="0.31496062992125984" footer="0.31496062992125984"/>
  <pageSetup paperSize="9" scale="33" orientation="portrait" r:id="rId1"/>
  <headerFooter>
    <oddFooter>&amp;C1-&amp;P&amp;RCopyright (c) Tokyo Stock Exchange, Inc.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9"/>
  <sheetViews>
    <sheetView showGridLines="0" zoomScaleNormal="100" workbookViewId="0">
      <pane ySplit="5" topLeftCell="A6" activePane="bottomLeft" state="frozen"/>
      <selection pane="bottomLeft"/>
    </sheetView>
  </sheetViews>
  <sheetFormatPr defaultRowHeight="13.5" x14ac:dyDescent="0.15"/>
  <cols>
    <col min="1" max="1" width="12.875" style="5" customWidth="1" collapsed="1"/>
    <col min="2" max="2" width="9.125" style="5" bestFit="1" customWidth="1" collapsed="1"/>
    <col min="3" max="4" width="11.75" style="5" bestFit="1" customWidth="1" collapsed="1"/>
    <col min="5" max="5" width="18.75" style="5" bestFit="1" customWidth="1" collapsed="1"/>
    <col min="6" max="6" width="18.75" style="5" customWidth="1" collapsed="1"/>
    <col min="7" max="12" width="26" style="5" customWidth="1" collapsed="1"/>
    <col min="13" max="15" width="9" style="5" collapsed="1"/>
    <col min="16" max="16" width="9" style="5" customWidth="1" collapsed="1"/>
    <col min="17" max="17" width="9" style="5" collapsed="1"/>
    <col min="18" max="19" width="9" style="5" customWidth="1" collapsed="1"/>
    <col min="20" max="16384" width="9" style="5" collapsed="1"/>
  </cols>
  <sheetData>
    <row r="1" spans="1:26" ht="33.75" customHeight="1"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r="2" spans="1:26" ht="13.5" customHeight="1"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r="3" spans="1:26" ht="13.5" customHeight="1" x14ac:dyDescent="0.15">
      <c r="A3" s="16"/>
      <c r="B3" s="2"/>
      <c r="C3" s="2"/>
      <c r="D3" s="2"/>
      <c r="E3" s="2"/>
      <c r="F3" s="17"/>
      <c r="G3" s="17"/>
      <c r="H3" s="17"/>
      <c r="I3" s="17"/>
      <c r="J3" s="27" t="s">
        <v>52</v>
      </c>
      <c r="K3" s="27"/>
      <c r="L3" s="27"/>
      <c r="M3" s="3"/>
      <c r="N3" s="3"/>
      <c r="O3" s="3"/>
      <c r="P3" s="4"/>
      <c r="Q3" s="3"/>
      <c r="R3" s="3"/>
      <c r="S3" s="3"/>
      <c r="T3" s="3"/>
      <c r="U3" s="3"/>
      <c r="V3" s="3"/>
      <c r="W3" s="3"/>
      <c r="X3" s="3"/>
      <c r="Y3" s="3"/>
      <c r="Z3" s="3"/>
    </row>
    <row r="4" spans="1:26" s="20" customFormat="1" ht="24"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r="5" spans="1:26" s="20" customFormat="1" ht="24"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1804</f>
        <v>1804</v>
      </c>
      <c r="E6" s="23">
        <f>23.3</f>
        <v>23.3</v>
      </c>
      <c r="F6" s="23">
        <f>1.3</f>
        <v>1.3</v>
      </c>
      <c r="G6" s="11">
        <f>85.67</f>
        <v>85.67</v>
      </c>
      <c r="H6" s="11">
        <f>1503.44</f>
        <v>1503.44</v>
      </c>
      <c r="I6" s="23">
        <f>25.1</f>
        <v>25.1</v>
      </c>
      <c r="J6" s="23">
        <f>1.7</f>
        <v>1.7</v>
      </c>
      <c r="K6" s="24">
        <f>17065196916533</f>
        <v>17065196916533</v>
      </c>
      <c r="L6" s="24">
        <f>254877155760641</f>
        <v>254877155760641</v>
      </c>
    </row>
    <row r="7" spans="1:26" x14ac:dyDescent="0.15">
      <c r="A7" s="22" t="s">
        <v>53</v>
      </c>
      <c r="B7" s="22" t="s">
        <v>136</v>
      </c>
      <c r="C7" s="22" t="s">
        <v>137</v>
      </c>
      <c r="D7" s="9">
        <f>414</f>
        <v>414</v>
      </c>
      <c r="E7" s="23">
        <f>16</f>
        <v>16</v>
      </c>
      <c r="F7" s="23">
        <f>0.7</f>
        <v>0.7</v>
      </c>
      <c r="G7" s="11">
        <f>78.09</f>
        <v>78.09</v>
      </c>
      <c r="H7" s="11">
        <f>1797.88</f>
        <v>1797.88</v>
      </c>
      <c r="I7" s="23">
        <f>26.6</f>
        <v>26.6</v>
      </c>
      <c r="J7" s="23">
        <f>1.1</f>
        <v>1.1000000000000001</v>
      </c>
      <c r="K7" s="24">
        <f>208703213800</f>
        <v>208703213800</v>
      </c>
      <c r="L7" s="24">
        <f>5017505735000</f>
        <v>5017505735000</v>
      </c>
    </row>
    <row r="8" spans="1:26" x14ac:dyDescent="0.15">
      <c r="A8" s="22" t="s">
        <v>53</v>
      </c>
      <c r="B8" s="22" t="s">
        <v>138</v>
      </c>
      <c r="C8" s="22" t="s">
        <v>139</v>
      </c>
      <c r="D8" s="9">
        <f>270</f>
        <v>270</v>
      </c>
      <c r="E8" s="23">
        <f>125.6</f>
        <v>125.6</v>
      </c>
      <c r="F8" s="23">
        <f>5.1</f>
        <v>5.0999999999999996</v>
      </c>
      <c r="G8" s="11">
        <f>14.5</f>
        <v>14.5</v>
      </c>
      <c r="H8" s="11">
        <f>355.75</f>
        <v>355.75</v>
      </c>
      <c r="I8" s="23" t="str">
        <f>"－"</f>
        <v>－</v>
      </c>
      <c r="J8" s="23">
        <f>5.9</f>
        <v>5.9</v>
      </c>
      <c r="K8" s="24">
        <f>-35146926000</f>
        <v>-35146926000</v>
      </c>
      <c r="L8" s="24">
        <f>985253550133</f>
        <v>985253550133</v>
      </c>
    </row>
    <row r="9" spans="1:26" x14ac:dyDescent="0.15">
      <c r="A9" s="22" t="s">
        <v>53</v>
      </c>
      <c r="B9" s="22" t="s">
        <v>140</v>
      </c>
      <c r="C9" s="22" t="s">
        <v>140</v>
      </c>
      <c r="D9" s="9">
        <f>583</f>
        <v>583</v>
      </c>
      <c r="E9" s="23">
        <f>18.8</f>
        <v>18.8</v>
      </c>
      <c r="F9" s="23">
        <f>0.9</f>
        <v>0.9</v>
      </c>
      <c r="G9" s="11">
        <f>72.6</f>
        <v>72.599999999999994</v>
      </c>
      <c r="H9" s="11">
        <f>1460.94</f>
        <v>1460.94</v>
      </c>
      <c r="I9" s="23">
        <f>35.6</f>
        <v>35.6</v>
      </c>
      <c r="J9" s="23">
        <f>1.4</f>
        <v>1.4</v>
      </c>
      <c r="K9" s="24">
        <f>200260636364</f>
        <v>200260636364</v>
      </c>
      <c r="L9" s="24">
        <f>4975306401310</f>
        <v>4975306401310</v>
      </c>
    </row>
  </sheetData>
  <mergeCells count="7">
    <mergeCell ref="B4:B5"/>
    <mergeCell ref="C4:C5"/>
    <mergeCell ref="G1:I1"/>
    <mergeCell ref="J1:L1"/>
    <mergeCell ref="G2:I2"/>
    <mergeCell ref="J2:L2"/>
    <mergeCell ref="J3:L3"/>
  </mergeCells>
  <phoneticPr fontId="2"/>
  <pageMargins left="0.70866141732283472" right="0.70866141732283472" top="0.74803149606299213" bottom="0.74803149606299213" header="0.31496062992125984" footer="0.31496062992125984"/>
  <pageSetup paperSize="9" scale="37" orientation="portrait" r:id="rId1"/>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規模別・業種別（連結）</vt:lpstr>
      <vt:lpstr>市場別（単体）</vt:lpstr>
      <vt:lpstr>'規模別・業種別（連結）'!Print_Titles</vt:lpstr>
      <vt:lpstr>'市場別（単体）'!Print_Titles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2020-08-03T00:52:00Z</dcterms:created>
  <dcterms:modified xsi:type="dcterms:W3CDTF">2020-08-03T00:52:11Z</dcterms:modified>
</cp:coreProperties>
</file>