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<sst xmlns="http://schemas.openxmlformats.org/spreadsheetml/2006/main" count="4958" uniqueCount="1300">
  <si>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</si>
  <si>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</si>
  <si>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</si>
  <si>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</si>
  <si>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</si>
  <si>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</si>
  <si>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</si>
  <si>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</si>
  <si>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</si>
  <si>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</si>
  <si>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</si>
  <si>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</si>
  <si>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</si>
  <si>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</si>
  <si>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</si>
  <si>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</si>
  <si>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</si>
  <si>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</si>
  <si>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</si>
  <si>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</si>
  <si>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</si>
  <si>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</si>
  <si>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</si>
  <si>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</si>
  <si>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</si>
  <si>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</si>
  <si>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</si>
  <si>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</si>
  <si>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</si>
  <si>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</si>
  <si>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</si>
  <si>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</si>
  <si>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</si>
  <si>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</si>
  <si>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</si>
  <si>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</si>
  <si>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</si>
  <si>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</si>
  <si>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</si>
  <si>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</si>
  <si>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</si>
  <si>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</si>
  <si>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2024/02</t>
  </si>
  <si>
    <t>1305</t>
  </si>
  <si>
    <t>ｉＦｒｅｅＥＴＦ　ＴＯＰＩＸ（年１回決算型）　受益証券</t>
  </si>
  <si>
    <t>iFreeETF TOPIX (Yearly Dividend Type)</t>
  </si>
  <si>
    <t/>
  </si>
  <si>
    <t>貸借</t>
  </si>
  <si>
    <t>1</t>
  </si>
  <si>
    <t>27</t>
  </si>
  <si>
    <t>29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</si>
  <si>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</si>
  <si>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</si>
  <si>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</si>
  <si>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</si>
  <si>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</si>
  <si>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</si>
  <si>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</si>
  <si>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</si>
  <si>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</si>
  <si>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21</t>
  </si>
  <si>
    <t>5</t>
  </si>
  <si>
    <t>1311</t>
  </si>
  <si>
    <t>ＮＥＸＴ　ＦＵＮＤＳ　ＴＯＰＩＸ　Ｃｏｒｅ　３０連動型上場投信　受益証券</t>
  </si>
  <si>
    <t>NEXT FUNDS TOPIX Core 30 Exchange Traded Fund</t>
  </si>
  <si>
    <t>1319</t>
  </si>
  <si>
    <t>ＮＥＸＴ　ＦＵＮＤＳ　日経３００株価指数連動型上場投信　受益証券</t>
  </si>
  <si>
    <t>NEXT FUNDS Nikkei 300 Index Exchange Traded Fund</t>
  </si>
  <si>
    <t>26</t>
  </si>
  <si>
    <t>8</t>
  </si>
  <si>
    <t>28</t>
  </si>
  <si>
    <t>1320</t>
  </si>
  <si>
    <t>ｉＦｒｅｅＥＴＦ　日経２２５（年１回決算型）　受益証券</t>
  </si>
  <si>
    <t>iFreeETF Nikkei225 (Yearly Dividend Type)</t>
  </si>
  <si>
    <t>7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</si>
  <si>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</si>
  <si>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</si>
  <si>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</si>
  <si>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</si>
  <si>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</si>
  <si>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</si>
  <si>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2</t>
  </si>
  <si>
    <t>1324</t>
  </si>
  <si>
    <t>ＮＥＸＴ　ＦＵＮＤＳ　ロシア株式指数連動型上場投信　受益証券</t>
  </si>
  <si>
    <t>NEXT FUNDS Russian Equity Index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</si>
  <si>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</si>
  <si>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</si>
  <si>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</si>
  <si>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14</t>
  </si>
  <si>
    <t>1326</t>
  </si>
  <si>
    <t>ＳＰＤＲゴールド・シェア　受益証券</t>
  </si>
  <si>
    <t>SPDR Gold Shares</t>
  </si>
  <si>
    <t>15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</si>
  <si>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</si>
  <si>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</si>
  <si>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</si>
  <si>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</si>
  <si>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</si>
  <si>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</si>
  <si>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</si>
  <si>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</si>
  <si>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</si>
  <si>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133A</t>
  </si>
  <si>
    <t>グローバルＸ　超短期米国債　ＥＴＦ　受益証券</t>
  </si>
  <si>
    <t>Global X Ultra Short-Term T-Bill ETF</t>
  </si>
  <si>
    <t>19</t>
  </si>
  <si>
    <t>1343</t>
  </si>
  <si>
    <t>ＮＥＸＴ　ＦＵＮＤＳ　東証ＲＥＩＴ　指数連動型上場投信　受益証券</t>
  </si>
  <si>
    <t>NEXT FUNDS REIT INDEX ETF</t>
  </si>
  <si>
    <t>22</t>
  </si>
  <si>
    <t>1345</t>
  </si>
  <si>
    <t>上場インデックスファンドＪリート（東証ＲＥＩＴ指数）隔月分配型　受益証券</t>
  </si>
  <si>
    <t>Listed Index Fund J-REIT (Tokyo Stock Exchange REIT Index)Bi-Monthly Dividend Payment Type</t>
  </si>
  <si>
    <t>1346</t>
  </si>
  <si>
    <t>ＭＡＸＩＳ　日経２２５上場投信　受益証券</t>
  </si>
  <si>
    <t>MAXIS NIKKEI 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</si>
  <si>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</si>
  <si>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</si>
  <si>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</si>
  <si>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</si>
  <si>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</si>
  <si>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</si>
  <si>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</si>
  <si>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</si>
  <si>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</si>
  <si>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</si>
  <si>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</si>
  <si>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Exchange Traded Fund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</si>
  <si>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</si>
  <si>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</si>
  <si>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</si>
  <si>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</si>
  <si>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</si>
  <si>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</si>
  <si>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</si>
  <si>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</si>
  <si>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</si>
  <si>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</si>
  <si>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ｉＦｒｅｅＥＴＦ　日経平均レバレッジ・インデックス　受益証券</t>
  </si>
  <si>
    <t>iFreeETF Nikkei225 Leveraged Index</t>
  </si>
  <si>
    <t>1366</t>
  </si>
  <si>
    <t>ｉＦｒｅｅＥＴＦ　日経平均ダブルインバース・インデックス　受益証券</t>
  </si>
  <si>
    <t>iFreeETF Nikkei225 Double Inverse Index</t>
  </si>
  <si>
    <t>1367</t>
  </si>
  <si>
    <t>ｉＦｒｅｅＥＴＦ　ＴＯＰＩＸレバレッジ（２倍）指数　受益証券</t>
  </si>
  <si>
    <t>iFreeETF TOPIX Leveraged (2x) Index</t>
  </si>
  <si>
    <t>1368</t>
  </si>
  <si>
    <t>ｉＦｒｅｅＥＴＦ　ＴＯＰＩＸダブルインバース（－２倍）指数　受益証券</t>
  </si>
  <si>
    <t>iFreeETF TOPIX Double Inverse (-2x) Index</t>
  </si>
  <si>
    <t>1369</t>
  </si>
  <si>
    <t>Ｏｎｅ　ＥＴＦ　日経２２５　受益証券</t>
  </si>
  <si>
    <t>One ETF Nikkei225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</si>
  <si>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</si>
  <si>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</si>
  <si>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</si>
  <si>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</si>
  <si>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</si>
  <si>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</si>
  <si>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</si>
  <si>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</si>
  <si>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</si>
  <si>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20</t>
  </si>
  <si>
    <t>140A</t>
  </si>
  <si>
    <t>ｉＦｒｅｅＥＴＦ　米国１０年国債先物インバース　受益証券</t>
  </si>
  <si>
    <t>iFreeETF 10-Year U.S. Treasury Note Futures Inverse</t>
  </si>
  <si>
    <t xml:space="preserve">新規上場  </t>
  </si>
  <si>
    <t xml:space="preserve">New Listing  </t>
  </si>
  <si>
    <t xml:space="preserve">2024/02/28  </t>
  </si>
  <si>
    <t>1456</t>
  </si>
  <si>
    <t>ｉＦｒｅｅＥＴＦ　日経平均インバース・インデックス　受益証券</t>
  </si>
  <si>
    <t>iFreeETF Nikkei225 Inverse Index</t>
  </si>
  <si>
    <t>1457</t>
  </si>
  <si>
    <t>ｉＦｒｅｅＥＴＦ　ＴＯＰＩＸインバース（－１倍）指数　受益証券</t>
  </si>
  <si>
    <t>iFreeETF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</si>
  <si>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</si>
  <si>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</si>
  <si>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</si>
  <si>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</si>
  <si>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</si>
  <si>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</si>
  <si>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1464</t>
  </si>
  <si>
    <t>ｉＦｒｅｅＥＴＦ　ＪＰＸ日経４００レバレッジ・インデックス　受益証券</t>
  </si>
  <si>
    <t>iFreeETF JPX-Nikkei400 Leveraged (2x) Index</t>
  </si>
  <si>
    <t>1465</t>
  </si>
  <si>
    <t>ｉＦｒｅｅＥＴＦ　ＪＰＸ日経４００インバース・インデックス　受益証券</t>
  </si>
  <si>
    <t>iFreeETF JPX-Nikkei400 Inverse (-1x) Index</t>
  </si>
  <si>
    <t>1466</t>
  </si>
  <si>
    <t>ｉＦｒｅｅＥＴＦ　ＪＰＸ日経４００ダブルインバース・インデックス　受益証券</t>
  </si>
  <si>
    <t>iFreeETF JPX-Nikkei400 Double Inverse (-2x) Index</t>
  </si>
  <si>
    <t>1469</t>
  </si>
  <si>
    <t>ＪＰＸ日経４００ベア２倍上場投信（ダブルインバース）　受益証券</t>
  </si>
  <si>
    <t>JPX-Nikkei 400 Bear -2x Double Inverse ETF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</si>
  <si>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</si>
  <si>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</si>
  <si>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</si>
  <si>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</si>
  <si>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</si>
  <si>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</si>
  <si>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</si>
  <si>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</si>
  <si>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</si>
  <si>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</si>
  <si>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</si>
  <si>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</si>
  <si>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</si>
  <si>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</si>
  <si>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</si>
  <si>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</si>
  <si>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</si>
  <si>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</si>
  <si>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13</t>
  </si>
  <si>
    <t>1478</t>
  </si>
  <si>
    <t>ｉシェアーズ　ＭＳＣＩ　ジャパン高配当利回り　ＥＴＦ　受益証券</t>
  </si>
  <si>
    <t>iShares MSCI Japan High Dividend ETF</t>
  </si>
  <si>
    <t>9</t>
  </si>
  <si>
    <t>1479</t>
  </si>
  <si>
    <t>ｉＦｒｅｅＥＴＦ　ＭＳＣＩ日本株人材設備投資指数　受益証券</t>
  </si>
  <si>
    <t>iFreeETF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</si>
  <si>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</si>
  <si>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</si>
  <si>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</si>
  <si>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</si>
  <si>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</si>
  <si>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</si>
  <si>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</si>
  <si>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</si>
  <si>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</si>
  <si>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</si>
  <si>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</si>
  <si>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</si>
  <si>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</si>
  <si>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</si>
  <si>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</si>
  <si>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</si>
  <si>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</si>
  <si>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</si>
  <si>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6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</si>
  <si>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</si>
  <si>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</si>
  <si>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</si>
  <si>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</si>
  <si>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</si>
  <si>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</si>
  <si>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</si>
  <si>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ｉＦｒｅｅＥＴＦ　東証ＲＥＩＴ指数　受益証券</t>
  </si>
  <si>
    <t>iFreeETF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</si>
  <si>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</si>
  <si>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</si>
  <si>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</si>
  <si>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</si>
  <si>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</si>
  <si>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</si>
  <si>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</si>
  <si>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</si>
  <si>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</si>
  <si>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確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</si>
  <si>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</si>
  <si>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</si>
  <si>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</si>
  <si>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</si>
  <si>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</si>
  <si>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</si>
  <si>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</si>
  <si>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</si>
  <si>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</si>
  <si>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</si>
  <si>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</si>
  <si>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</si>
  <si>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</si>
  <si>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</si>
  <si>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</si>
  <si>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</si>
  <si>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</si>
  <si>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</si>
  <si>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</si>
  <si>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</si>
  <si>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</si>
  <si>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</si>
  <si>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</si>
  <si>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</si>
  <si>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</si>
  <si>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</si>
  <si>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</si>
  <si>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</si>
  <si>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</si>
  <si>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</si>
  <si>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</si>
  <si>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</si>
  <si>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</si>
  <si>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</si>
  <si>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ＮＡＳＤＡＱ－１００（為替ヘッジなし）連動型上場投信　受益証券</t>
  </si>
  <si>
    <t>NEXT FUNDS NASDAQ-100(R) (Unhedged) Exchange Traded Fund</t>
  </si>
  <si>
    <t>1546</t>
  </si>
  <si>
    <t>ＮＥＸＴ　ＦＵＮＤＳ　ダウ・ジョーンズ工業株３０種平均株価（為替ヘッジなし）連動型上場投信　受益証券</t>
  </si>
  <si>
    <t>NEXT FUNDS DJIA (Unhedged) Exchange Traded Fund</t>
  </si>
  <si>
    <t>16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</si>
  <si>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</si>
  <si>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</si>
  <si>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</si>
  <si>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</si>
  <si>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</si>
  <si>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</si>
  <si>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</si>
  <si>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東証スタンダードＴＯＰ２０ＥＴＦ　受益証券</t>
  </si>
  <si>
    <t>TSE Standard Top 20 ETF</t>
  </si>
  <si>
    <t>1552</t>
  </si>
  <si>
    <t>国際のＥＴＦ　ＶＩＸ短期先物指数　受益証券</t>
  </si>
  <si>
    <t>KOKUSAI S&amp;P500 VIX SHORT-TERM FUTURES INDEX ETF</t>
  </si>
  <si>
    <t xml:space="preserve">上場廃止  </t>
  </si>
  <si>
    <t xml:space="preserve">Removal  </t>
  </si>
  <si>
    <t xml:space="preserve">2024/02/12  </t>
  </si>
  <si>
    <t>整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</si>
  <si>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</si>
  <si>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</si>
  <si>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</si>
  <si>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</si>
  <si>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Ａ－ＲＥＩＴ）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</si>
  <si>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</si>
  <si>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</si>
  <si>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</si>
  <si>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</si>
  <si>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</si>
  <si>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</si>
  <si>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</si>
  <si>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</si>
  <si>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</si>
  <si>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</si>
  <si>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</si>
  <si>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東証グロース・コアＥＴＦ　受益証券</t>
  </si>
  <si>
    <t>TSE Growth Core ETF</t>
  </si>
  <si>
    <t>1566</t>
  </si>
  <si>
    <t>上場インデックスファンド新興国債券　受益証券</t>
  </si>
  <si>
    <t>Listed Index Fund Emerging Bond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</si>
  <si>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</si>
  <si>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</si>
  <si>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</si>
  <si>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</si>
  <si>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</si>
  <si>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</si>
  <si>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</si>
  <si>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</si>
  <si>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</si>
  <si>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</si>
  <si>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</si>
  <si>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</si>
  <si>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</si>
  <si>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</si>
  <si>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</si>
  <si>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</si>
  <si>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</si>
  <si>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</si>
  <si>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1577</t>
  </si>
  <si>
    <t>ＮＥＸＴ　ＦＵＮＤＳ　野村日本株高配当７０連動型上場投信　受益証券</t>
  </si>
  <si>
    <t>NEXT FUNDS Nomura Japan Equity High Dividend 70 Exchange Traded Fund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</si>
  <si>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</si>
  <si>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</si>
  <si>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</si>
  <si>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</si>
  <si>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</si>
  <si>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</si>
  <si>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</si>
  <si>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</si>
  <si>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</si>
  <si>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1585</t>
  </si>
  <si>
    <t>ｉＦｒｅｅＥＴＦ　ＴＯＰＩＸ　Ｅｘ－Ｆｉｎａｎｃｉａｌｓ　受益証券</t>
  </si>
  <si>
    <t>iFreeETF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</si>
  <si>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</si>
  <si>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</si>
  <si>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</si>
  <si>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</si>
  <si>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</si>
  <si>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</si>
  <si>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</si>
  <si>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</si>
  <si>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</si>
  <si>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</si>
  <si>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</si>
  <si>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</si>
  <si>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</si>
  <si>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</si>
  <si>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</si>
  <si>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</si>
  <si>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</si>
  <si>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</si>
  <si>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</si>
  <si>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</si>
  <si>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</si>
  <si>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1599</t>
  </si>
  <si>
    <t>ｉＦｒｅｅＥＴＦ　ＪＰＸ日経４００　受益証券</t>
  </si>
  <si>
    <t>iFreeETF JPX-Nikkei400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</si>
  <si>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</si>
  <si>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</si>
  <si>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</si>
  <si>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</si>
  <si>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</si>
  <si>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</si>
  <si>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</si>
  <si>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</si>
  <si>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</si>
  <si>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</si>
  <si>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</si>
  <si>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</si>
  <si>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</si>
  <si>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</si>
  <si>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</si>
  <si>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</si>
  <si>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</si>
  <si>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</si>
  <si>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</si>
  <si>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</si>
  <si>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</si>
  <si>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</si>
  <si>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</si>
  <si>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</si>
  <si>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</si>
  <si>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</si>
  <si>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</si>
  <si>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</si>
  <si>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</si>
  <si>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</si>
  <si>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</si>
  <si>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</si>
  <si>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</si>
  <si>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</si>
  <si>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</si>
  <si>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</si>
  <si>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</si>
  <si>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</si>
  <si>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</si>
  <si>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</si>
  <si>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</si>
  <si>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</si>
  <si>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</si>
  <si>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</si>
  <si>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</si>
  <si>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</si>
  <si>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</si>
  <si>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</si>
  <si>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</si>
  <si>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</si>
  <si>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</si>
  <si>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</si>
  <si>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</si>
  <si>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</si>
  <si>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</si>
  <si>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ｉＦｒｅｅＥＴＦ　ＴＯＰＩＸ高配当４０指数　受益証券</t>
  </si>
  <si>
    <t>iFreeETF TOPIX High Dividend Yield 40 Index</t>
  </si>
  <si>
    <t>1652</t>
  </si>
  <si>
    <t>ｉＦｒｅｅＥＴＦ　ＭＳＣＩ日本株女性活躍指数（ＷＩＮ）　受益証券</t>
  </si>
  <si>
    <t>iFreeETF MSCI Japan Empowering Women Index (WIN)</t>
  </si>
  <si>
    <t>1653</t>
  </si>
  <si>
    <t>ｉＦｒｅｅＥＴＦ　ＭＳＣＩジャパンＥＳＧセレクト・リーダーズ指数　受益証券</t>
  </si>
  <si>
    <t>iFreeETF MSCI Japan ESG Select Leaders Index</t>
  </si>
  <si>
    <t>1654</t>
  </si>
  <si>
    <t>ｉＦｒｅｅＥＴＦ　ＦＴＳＥ　Ｂｌｏｓｓｏｍ　Ｊａｐａｎ　Ｉｎｄｅｘ　受益証券</t>
  </si>
  <si>
    <t>iFreeETF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</si>
  <si>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</si>
  <si>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</si>
  <si>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</si>
  <si>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</si>
  <si>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</si>
  <si>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</si>
  <si>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</si>
  <si>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</si>
  <si>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</si>
  <si>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</si>
  <si>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</si>
  <si>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</si>
  <si>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</si>
  <si>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</si>
  <si>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</si>
  <si>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</si>
  <si>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</si>
  <si>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</si>
  <si>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</si>
  <si>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</si>
  <si>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</si>
  <si>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</si>
  <si>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</si>
  <si>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</si>
  <si>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</si>
  <si>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</si>
  <si>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</si>
  <si>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</si>
  <si>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</si>
  <si>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</si>
  <si>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</si>
  <si>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</si>
  <si>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</si>
  <si>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</si>
  <si>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</si>
  <si>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</si>
  <si>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</si>
  <si>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</si>
  <si>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</si>
  <si>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</si>
  <si>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　連動型上場投信　受益証券</t>
  </si>
  <si>
    <t>NEXT FUNDS Nifty 50 Linked Exchange Traded Fund</t>
  </si>
  <si>
    <t>1679</t>
  </si>
  <si>
    <t>Ｓｉｍｐｌｅ－Ｘ　ＮＹ　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</si>
  <si>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</si>
  <si>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</si>
  <si>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</si>
  <si>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 (MSCI-KOKUSAI)</t>
  </si>
  <si>
    <t>1681</t>
  </si>
  <si>
    <t>上場インデックスファンド海外新興国株式（ＭＳＣＩ　エマージング）　受益証券</t>
  </si>
  <si>
    <t>Listed Index Fund International Emerging Countries Equity (MSCI EMERGING)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</si>
  <si>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</si>
  <si>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</si>
  <si>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</si>
  <si>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</si>
  <si>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</si>
  <si>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</si>
  <si>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</si>
  <si>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</si>
  <si>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</si>
  <si>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</si>
  <si>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</si>
  <si>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</si>
  <si>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</si>
  <si>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</si>
  <si>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</si>
  <si>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</si>
  <si>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</si>
  <si>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</si>
  <si>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</si>
  <si>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</si>
  <si>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</si>
  <si>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</si>
  <si>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</si>
  <si>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</si>
  <si>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</si>
  <si>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</si>
  <si>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</si>
  <si>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</si>
  <si>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</si>
  <si>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</si>
  <si>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</si>
  <si>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</si>
  <si>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</si>
  <si>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</si>
  <si>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</si>
  <si>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</si>
  <si>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</si>
  <si>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</si>
  <si>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</si>
  <si>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</si>
  <si>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</si>
  <si>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</si>
  <si>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</si>
  <si>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</si>
  <si>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</si>
  <si>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</si>
  <si>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</si>
  <si>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 (TSE Dividend Focus 100)</t>
  </si>
  <si>
    <t>1699</t>
  </si>
  <si>
    <t>ＮＥＸＴ　ＦＵＮＤＳ　ＮＯＭＵＲＡ　原油インデックス連動型上場投信　受益証券</t>
  </si>
  <si>
    <t>NEXT FUNDS NOMURA Crude Oil Long Index Linked Exchange Traded Fund</t>
  </si>
  <si>
    <t>2011</t>
  </si>
  <si>
    <t>ＳＭＤＡＭ　Ａｃｔｉｖｅ　ＥＴＦ　日本高配当株式　受益証券</t>
  </si>
  <si>
    <t>SMDAM Active ETF Japan High Dividend Equity</t>
  </si>
  <si>
    <t>2012</t>
  </si>
  <si>
    <t>ｉシェアーズ　米国債０－３ヶ月　ＥＴＦ　受益証券</t>
  </si>
  <si>
    <t>iShares 0-3 Month US Treasury Bond ETF</t>
  </si>
  <si>
    <t>2013</t>
  </si>
  <si>
    <t>ｉシェアーズ　米国高配当株　ＥＴＦ　受益証券</t>
  </si>
  <si>
    <t>iShares US High Dividend ETF</t>
  </si>
  <si>
    <t>2014</t>
  </si>
  <si>
    <t>ｉシェアーズ　米国連続増配株　ＥＴＦ　受益証券</t>
  </si>
  <si>
    <t>iShares US Dividend Growth ETF</t>
  </si>
  <si>
    <t>2015</t>
  </si>
  <si>
    <t>ｉＦｒｅｅＥＴＦ　米国国債７－１０年（為替ヘッジなし）　受益証券</t>
  </si>
  <si>
    <t>iFreeETF US Treasury Bond 7-10 Year (NON HEDGED)</t>
  </si>
  <si>
    <t>2016</t>
  </si>
  <si>
    <t>ｉＦｒｅｅＥＴＦ　米国国債７－１０年（為替ヘッジあり）　受益証券</t>
  </si>
  <si>
    <t>iFreeETF US Treasury Bond 7-10 Year (JPY HEDGED)</t>
  </si>
  <si>
    <t>2017</t>
  </si>
  <si>
    <t>ｉＦｒｅｅＥＴＦ　ＪＰＸプライム１５０　受益証券</t>
  </si>
  <si>
    <t>iFreeETF JPX Prime 150</t>
  </si>
  <si>
    <t>2018</t>
  </si>
  <si>
    <t>グローバルＸ　ＵＳ　ＲＥＩＴ・トップ２０　ＥＴＦ　受益証券</t>
  </si>
  <si>
    <t>Global X US REIT Top 20 ETF</t>
  </si>
  <si>
    <t>2019</t>
  </si>
  <si>
    <t>グローバルＸ　米国優先証券　ＥＴＦ（隔月分配型）　受益証券</t>
  </si>
  <si>
    <t>Global X U.S. Preferred Security ETF (Bi-monthly dividend type)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</si>
  <si>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</si>
  <si>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</si>
  <si>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</si>
  <si>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</si>
  <si>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</si>
  <si>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</si>
  <si>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</si>
  <si>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</si>
  <si>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</si>
  <si>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</si>
  <si>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</si>
  <si>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</si>
  <si>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</si>
  <si>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</si>
  <si>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</si>
  <si>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</si>
  <si>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</si>
  <si>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</si>
  <si>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</si>
  <si>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</si>
  <si>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</si>
  <si>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</si>
  <si>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</si>
  <si>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</si>
  <si>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</si>
  <si>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</si>
  <si>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</si>
  <si>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</si>
  <si>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</si>
  <si>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</si>
  <si>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</si>
  <si>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</si>
  <si>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東証グロース市場２５０　ＥＴＮ　受益証券</t>
  </si>
  <si>
    <t>NEXT NOTES Tokyo Stock Exchange Growth Market 250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</si>
  <si>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</si>
  <si>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</si>
  <si>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</si>
  <si>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</si>
  <si>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</si>
  <si>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</si>
  <si>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</si>
  <si>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</si>
  <si>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</si>
  <si>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</si>
  <si>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</si>
  <si>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</si>
  <si>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</si>
  <si>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</si>
  <si>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</si>
  <si>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</si>
  <si>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</si>
  <si>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</si>
  <si>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</si>
  <si>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</si>
  <si>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</si>
  <si>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</si>
  <si>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</si>
  <si>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</si>
  <si>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</si>
  <si>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</si>
  <si>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</si>
  <si>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</si>
  <si>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</si>
  <si>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</si>
  <si>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</si>
  <si>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</si>
  <si>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</si>
  <si>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</si>
  <si>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</si>
  <si>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</si>
  <si>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</si>
  <si>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</si>
  <si>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</si>
  <si>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</si>
  <si>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</si>
  <si>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</si>
  <si>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</si>
  <si>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</si>
  <si>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</si>
  <si>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2073</t>
  </si>
  <si>
    <t>スマートＥＳＧ３０低カーボンリスク（ネットリターン）ＥＴＮ　受益証券</t>
  </si>
  <si>
    <t>Smart ESG 30 Low Carbon Risk Net Return ETN</t>
  </si>
  <si>
    <t>2080</t>
  </si>
  <si>
    <t>ＰＢＲ１倍割れ解消推進ＥＴＦ　受益証券</t>
  </si>
  <si>
    <t>PBR Improvement over 1x ETF</t>
  </si>
  <si>
    <t>2081</t>
  </si>
  <si>
    <t>政策保有解消推進ＥＴＦ　受益証券</t>
  </si>
  <si>
    <t>Strategic Shareholding Disposal Promotion ETF</t>
  </si>
  <si>
    <t>2082</t>
  </si>
  <si>
    <t>投資家経営者一心同体ＥＴＦ　受益証券</t>
  </si>
  <si>
    <t>Investor-Management Unite as One ETF</t>
  </si>
  <si>
    <t>2083</t>
  </si>
  <si>
    <t>ＮＥＸＴ　ＦＵＮＤＳ　日本成長株アクティブ上場投信　受益証券</t>
  </si>
  <si>
    <t>NEXT FUNDS Japan Growth Equity Active Exchange Traded Fund</t>
  </si>
  <si>
    <t>2084</t>
  </si>
  <si>
    <t>ＮＥＸＴ　ＦＵＮＤＳ　日本高配当株アクティブ上場投信　受益証券</t>
  </si>
  <si>
    <t>NEXT FUNDS Japan High Dividend Equity Active Exchange Traded Fund</t>
  </si>
  <si>
    <t>2085</t>
  </si>
  <si>
    <t>ＭＡＸＩＳ高配当日本株アクティブ上場投信　受益証券</t>
  </si>
  <si>
    <t>MAXIS High Dividend Japan Equity Actively Managed ETF</t>
  </si>
  <si>
    <t>2086</t>
  </si>
  <si>
    <t>ＮＺＡＭ　上場投信　Ｓ＆Ｐ５００（為替ヘッジあり）　受益証券</t>
  </si>
  <si>
    <t>NZAM ETF S&amp;P500 (JPY Hedged)</t>
  </si>
  <si>
    <t>2087</t>
  </si>
  <si>
    <t>ＮＺＡＭ　上場投信　ＮＡＳＤＡＱ１００（為替ヘッジあり）　受益証券</t>
  </si>
  <si>
    <t>NZAM ETF NASDAQ100 (JPY Hedged)</t>
  </si>
  <si>
    <t>2088</t>
  </si>
  <si>
    <t>ＮＺＡＭ　上場投信　ＮＹダウ３０（為替ヘッジあり）　受益証券</t>
  </si>
  <si>
    <t>NZAM ETF NY Dow30 (JPY Hedged)</t>
  </si>
  <si>
    <t>2089</t>
  </si>
  <si>
    <t>ＮＺＡＭ　上場投信　ＤＡＸ（為替ヘッジあり）　受益証券</t>
  </si>
  <si>
    <t>NZAM ETF DAX (JPY Hedged)</t>
  </si>
  <si>
    <t>2090</t>
  </si>
  <si>
    <t>ＮＺＡＭ　上場投信　米国国債７－１０年（為替ヘッジあり）　受益証券</t>
  </si>
  <si>
    <t>NZAM ETF US Treasury 7-10Y (JPY Hedged)</t>
  </si>
  <si>
    <t>2091</t>
  </si>
  <si>
    <t>ＮＺＡＭ　上場投信　ドイツ国債７－１０年（為替ヘッジあり）　受益証券</t>
  </si>
  <si>
    <t>NZAM ETF German Government Bond 7-10Y (JPY Hedged)</t>
  </si>
  <si>
    <t>2092</t>
  </si>
  <si>
    <t>ＮＺＡＭ　上場投信　フランス国債７－１０年（為替ヘッジあり）　受益証券</t>
  </si>
  <si>
    <t>NZAM ETF France Government Bond 7-10Y (JPY Hedged)</t>
  </si>
  <si>
    <t>2093</t>
  </si>
  <si>
    <t>上場Ｔｒａｃｅｒｓ　米国債０－２年ラダー（為替ヘッジなし）　受益証券</t>
  </si>
  <si>
    <t>Listed Tracers US Government Bond 0-2years Ladder (No Currency Hedge)</t>
  </si>
  <si>
    <t>2094</t>
  </si>
  <si>
    <t>東証ＲＥＩＴインバースＥＴＦ　受益証券</t>
  </si>
  <si>
    <t>TSE REIT Inverse ETF</t>
  </si>
  <si>
    <t>2095</t>
  </si>
  <si>
    <t>グローバルＸ　Ｓ＆Ｐ５００配当貴族　ＥＴＦ（為替ヘッジあり）　受益証券</t>
  </si>
  <si>
    <t>Global X S&amp;P 500 Dividend Aristocrats ETF (JPY Hedged)</t>
  </si>
  <si>
    <t>2096</t>
  </si>
  <si>
    <t>グローバルＸ　オフィス・Ｊ－ＲＥＩＴ　ＥＴＦ　受益証券</t>
  </si>
  <si>
    <t>Global X Office J-REIT ETF</t>
  </si>
  <si>
    <t>2097</t>
  </si>
  <si>
    <t>グローバルＸ　レジデンシャル・Ｊ－ＲＥＩＴ　ＥＴＦ　受益証券</t>
  </si>
  <si>
    <t>Global X Residential J-REIT ETF</t>
  </si>
  <si>
    <t>2098</t>
  </si>
  <si>
    <t>グローバルＸ　ホテル＆リテール・Ｊ－ＲＥＩＴ　ＥＴＦ　受益証券</t>
  </si>
  <si>
    <t>Global X Hotel &amp; Retail J-REIT ETF</t>
  </si>
  <si>
    <t>2235</t>
  </si>
  <si>
    <t>上場インデックスファンド米国株式（ダウ平均）為替ヘッジなし　受益証券</t>
  </si>
  <si>
    <t>Listed Index Fund US Equity (Dow Average) No Currency Hedge</t>
  </si>
  <si>
    <t>2236</t>
  </si>
  <si>
    <t>グローバルＸ　Ｓ＆Ｐ５００配当貴族ＥＴＦ　受益証券</t>
  </si>
  <si>
    <t>Global X S&amp;P 500 Dividend Aristocrats ETF</t>
  </si>
  <si>
    <t>2237</t>
  </si>
  <si>
    <t>ｉＦｒｅｅＥＴＦ　Ｓ＆Ｐ５００レバレッジ　受益証券</t>
  </si>
  <si>
    <t>iFreeETF S&amp;P500 Leveraged (2x)</t>
  </si>
  <si>
    <t>2238</t>
  </si>
  <si>
    <t>ｉＦｒｅｅＥＴＦ　Ｓ＆Ｐ５００インバース　受益証券</t>
  </si>
  <si>
    <t>iFreeETF S&amp;P500 Inverse</t>
  </si>
  <si>
    <t>2239</t>
  </si>
  <si>
    <t>上場インデックスファンドＳ＆Ｐ５００先物レバレッジ２倍　受益証券</t>
  </si>
  <si>
    <t>Listed Index Fund S&amp;P500 Futures Leveraged Two Times</t>
  </si>
  <si>
    <t>2240</t>
  </si>
  <si>
    <t>上場インデックスファンドＳ＆Ｐ５００先物インバース　受益証券</t>
  </si>
  <si>
    <t>Listed Index Fund S&amp;P500 Futures Inverse</t>
  </si>
  <si>
    <t>2241</t>
  </si>
  <si>
    <t>ＭＡＸＩＳ　ＮＹダウ上場投信　受益証券</t>
  </si>
  <si>
    <t>MAXIS NY Dow Industrial Average ETF</t>
  </si>
  <si>
    <t>2242</t>
  </si>
  <si>
    <t>ＭＡＸＩＳ　ＮＹダウ上場投信（為替ヘッジあり）　受益証券</t>
  </si>
  <si>
    <t>MAXIS NY Dow Industrial Average ETF (JPY Hedged)</t>
  </si>
  <si>
    <t>2243</t>
  </si>
  <si>
    <t>グローバルＸ　半導体　ＥＴＦ　受益証券</t>
  </si>
  <si>
    <t>Global X Semiconductor ETF</t>
  </si>
  <si>
    <t>2244</t>
  </si>
  <si>
    <t>グローバルＸ　ＵＳ　テック・トップ２０　ＥＴＦ　受益証券</t>
  </si>
  <si>
    <t>Global X US Tech Top 20 ETF</t>
  </si>
  <si>
    <t>2245</t>
  </si>
  <si>
    <t>ＮＥＸＴ　ＦＵＮＤＳ　ブルームバーグ・ドイツ国債（７－１０年）インデックス（為替ヘッジあり）連動型上場投信　受益証券</t>
  </si>
  <si>
    <t>NEXT FUNDS Bloomberg Germany Treasury Bond (7-10 year) Index (Yen-Hedged) Exchange Traded Fund</t>
  </si>
  <si>
    <t>2246</t>
  </si>
  <si>
    <t>ＮＥＸＴ　ＦＵＮＤＳ　ブルームバーグ・フランス国債（７－１０年）インデックス（為替ヘッジあり）連動型上場投信　受益証券</t>
  </si>
  <si>
    <t>NEXT FUNDS Bloomberg France Treasury Bond (7-10 year) Index (Yen-Hedged) Exchange Traded Fund</t>
  </si>
  <si>
    <t>2247</t>
  </si>
  <si>
    <t>ｉＦｒｅｅＥＴＦ　Ｓ＆Ｐ５００（為替ヘッジなし）　受益証券</t>
  </si>
  <si>
    <t>iFreeETF S&amp;P500 (NON HEDGED)</t>
  </si>
  <si>
    <t>2248</t>
  </si>
  <si>
    <t>ｉＦｒｅｅＥＴＦ　Ｓ＆Ｐ５００（為替ヘッジあり）　受益証券</t>
  </si>
  <si>
    <t>iFreeETF S&amp;P500 (JPY HEDGED)</t>
  </si>
  <si>
    <t>2249</t>
  </si>
  <si>
    <t>ｉＦｒｅｅＥＴＦ　Ｓ＆Ｐ５００ダブルインバース　受益証券</t>
  </si>
  <si>
    <t>iFreeETF S&amp;P500 Double Inverse (-2x)</t>
  </si>
  <si>
    <t>2250</t>
  </si>
  <si>
    <t>ｉシェアーズ　ＭＳＣＩ　ジャパン気候変動アクション　ＥＴＦ　受益証券</t>
  </si>
  <si>
    <t>iShares MSCI Japan Climate Action ETF</t>
  </si>
  <si>
    <t>2251</t>
  </si>
  <si>
    <t>ＮＥＸＴ　ＦＵＮＤＳ　ＪＰＸ国債先物ダブルインバース指数連動型上場投信　受益証券</t>
  </si>
  <si>
    <t>NEXT FUNDS JPX JGB Futures Double Inverse Index Exchange Traded Fund</t>
  </si>
  <si>
    <t>2252</t>
  </si>
  <si>
    <t>グローバルＸ　Ｍｏｒｎｉｎｇｓｔａｒ　米国中小型　Ｍｏａｔ　ＥＴＦ　受益証券</t>
  </si>
  <si>
    <t>Global X Morningstar US Small Mid Moat ETF</t>
  </si>
  <si>
    <t>2253</t>
  </si>
  <si>
    <t>グローバルＸ　スーパーディビィデンド－ＵＳ　ＥＴＦ　受益証券</t>
  </si>
  <si>
    <t>Global X SuperDividend U.S. ETF</t>
  </si>
  <si>
    <t>2254</t>
  </si>
  <si>
    <t>グローバルＸ　チャイナＥＶ＆バッテリー　ＥＴＦ　受益証券</t>
  </si>
  <si>
    <t>Global X China Electric Vehicle and Battery ETF</t>
  </si>
  <si>
    <t>2255</t>
  </si>
  <si>
    <t>ｉシェアーズ　米国債２０年超　ＥＴＦ　受益証券</t>
  </si>
  <si>
    <t>iShares 20+ Year US Treasury Bond ETF</t>
  </si>
  <si>
    <t>2256</t>
  </si>
  <si>
    <t>ｉシェアーズ　米国総合債券　ＥＴＦ　受益証券</t>
  </si>
  <si>
    <t>iShares US Aggregate Bond ETF</t>
  </si>
  <si>
    <t>2257</t>
  </si>
  <si>
    <t>ｉシェアーズ　米ドル建て投資適格社債　ＥＴＦ　受益証券</t>
  </si>
  <si>
    <t>iShares USD Investment Grade Corporate Bond ETF</t>
  </si>
  <si>
    <t>2258</t>
  </si>
  <si>
    <t>ｉシェアーズ　米ドル建てハイイールド社債　ＥＴＦ　受益証券</t>
  </si>
  <si>
    <t>iShares USD High Yield Corporate Bond ETF</t>
  </si>
  <si>
    <t>2259</t>
  </si>
  <si>
    <t>ｉシェアーズ　フランス国債７－１０年　ＥＴＦ（為替ヘッジあり）　受益証券</t>
  </si>
  <si>
    <t>iShares 7-10 Year France Government Bond JPY Hedged ETF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</si>
  <si>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</si>
  <si>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</si>
  <si>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</si>
  <si>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</si>
  <si>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</si>
  <si>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</si>
  <si>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</si>
  <si>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</si>
  <si>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</si>
  <si>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</si>
  <si>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</si>
  <si>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</si>
  <si>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</si>
  <si>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</si>
  <si>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</si>
  <si>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</si>
  <si>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</si>
  <si>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</si>
  <si>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</si>
  <si>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東証グロース２５０ＥＴＦ　受益証券</t>
  </si>
  <si>
    <t>TSE Growth 250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</si>
  <si>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</si>
  <si>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</si>
  <si>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</si>
  <si>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</si>
  <si>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</si>
  <si>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</si>
  <si>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</si>
  <si>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</si>
  <si>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</si>
  <si>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</si>
  <si>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</si>
  <si>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</si>
  <si>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</si>
  <si>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</si>
  <si>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</si>
  <si>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</si>
  <si>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</si>
  <si>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</si>
  <si>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</si>
  <si>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</si>
  <si>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</si>
  <si>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</si>
  <si>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</si>
  <si>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</si>
  <si>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</si>
  <si>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</si>
  <si>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</si>
  <si>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</si>
  <si>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</si>
  <si>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</si>
  <si>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</si>
  <si>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</si>
  <si>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</si>
  <si>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</si>
  <si>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ｉＦｒｅｅＥＴＦ　東証ＲＥＩＴ　Ｃｏｒｅ指数　受益証券</t>
  </si>
  <si>
    <t>iFreeETF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</si>
  <si>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</si>
  <si>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</si>
  <si>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</si>
  <si>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</si>
  <si>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</si>
  <si>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</si>
  <si>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</si>
  <si>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</si>
  <si>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</si>
  <si>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</si>
  <si>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</si>
  <si>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</si>
  <si>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</si>
  <si>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ブルームバーグ米国投資適格社債（１－１０年）インデックス（為替ヘッジあり）連動型上場投信　受益証券</t>
  </si>
  <si>
    <t>NEXT FUNDS Bloomberg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</si>
  <si>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</si>
  <si>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</si>
  <si>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</si>
  <si>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</si>
  <si>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</si>
  <si>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</si>
  <si>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</si>
  <si>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</si>
  <si>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</si>
  <si>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</si>
  <si>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</si>
  <si>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</si>
  <si>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</si>
  <si>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</si>
  <si>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</si>
  <si>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</si>
  <si>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</si>
  <si>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</si>
  <si>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</si>
  <si>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</si>
  <si>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</si>
  <si>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</si>
  <si>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</si>
  <si>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</si>
  <si>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</si>
  <si>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</si>
  <si>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</si>
  <si>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</si>
  <si>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</si>
  <si>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</si>
  <si>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</si>
  <si>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</si>
  <si>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</si>
  <si>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</si>
  <si>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</si>
  <si>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</si>
  <si>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</si>
  <si>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</si>
  <si>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</si>
  <si>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</si>
  <si>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</si>
  <si>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</si>
  <si>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</si>
  <si>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</si>
  <si>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</si>
  <si>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</si>
  <si>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</si>
  <si>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</si>
  <si>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</si>
  <si>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</si>
  <si>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</si>
  <si>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</si>
  <si>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</si>
  <si>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</si>
  <si>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</si>
  <si>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</si>
  <si>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</si>
  <si>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</si>
  <si>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</si>
  <si>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 Nikkei225 (Quarterly Dividend Type)</t>
  </si>
  <si>
    <t>2625</t>
  </si>
  <si>
    <t>ｉＦｒｅｅＥＴＦ　ＴＯＰＩＸ（年４回決算型）　受益証券</t>
  </si>
  <si>
    <t>iFreeETF TOPIX 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</si>
  <si>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</si>
  <si>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</si>
  <si>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</si>
  <si>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</si>
  <si>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</si>
  <si>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</si>
  <si>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</si>
  <si>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</si>
  <si>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</si>
  <si>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</si>
  <si>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</si>
  <si>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</si>
  <si>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</si>
  <si>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</si>
  <si>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</si>
  <si>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</si>
  <si>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</si>
  <si>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</si>
  <si>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</si>
  <si>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</si>
  <si>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</si>
  <si>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</si>
  <si>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</si>
  <si>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</si>
  <si>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</si>
  <si>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</si>
  <si>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</si>
  <si>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</si>
  <si>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</si>
  <si>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</si>
  <si>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</si>
  <si>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</si>
  <si>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</si>
  <si>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</si>
  <si>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クリーンテック－日本株式　ＥＴＦ　受益証券</t>
  </si>
  <si>
    <t>Global X CleanTech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</si>
  <si>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</si>
  <si>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</si>
  <si>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</si>
  <si>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</si>
  <si>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</si>
  <si>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</si>
  <si>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</si>
  <si>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</si>
  <si>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</si>
  <si>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</si>
  <si>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グローバルリーダーズ－日本株式　ＥＴＦ　受益証券</t>
  </si>
  <si>
    <t>Global X Japan Global Leaders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</si>
  <si>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</si>
  <si>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</si>
  <si>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</si>
  <si>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</si>
  <si>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</si>
  <si>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</si>
  <si>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>2644</t>
  </si>
  <si>
    <t>グローバルＸ　半導体関連－日本株式　ＥＴＦ　受益証券</t>
  </si>
  <si>
    <t>Global X Japan Semiconductor ETF</t>
  </si>
  <si>
    <t>2645</t>
  </si>
  <si>
    <t>グローバルＸ　レジャー＆エンターテインメント－日本株式　ＥＴＦ　受益証券</t>
  </si>
  <si>
    <t>Global X Japan Leisure &amp; Entertainment ETF</t>
  </si>
  <si>
    <t>2646</t>
  </si>
  <si>
    <t>グローバルＸ　メタルビジネス－日本株式　ＥＴＦ　受益証券</t>
  </si>
  <si>
    <t>Global X Japan Metal Business ETF</t>
  </si>
  <si>
    <t>2647</t>
  </si>
  <si>
    <t>ＮＥＸＴ　ＦＵＮＤＳ　ブルームバーグ米国国債（７－１０年）インデックス（為替ヘッジなし）連動型上場投信　受益証券</t>
  </si>
  <si>
    <t>NEXT FUNDS Bloomberg US Treasury Bond (7-10 year) Index (Unhedged) Exchange Traded Fund</t>
  </si>
  <si>
    <t>2648</t>
  </si>
  <si>
    <t>ＮＥＸＴ　ＦＵＮＤＳ　ブルームバーグ米国国債（７－１０年）インデックス（為替ヘッジあり）連動型上場投信　受益証券</t>
  </si>
  <si>
    <t>NEXT FUNDS Bloomberg US Treasury Bond (7-10 year) Index (Yen-Hedged) Exchange Traded Fund</t>
  </si>
  <si>
    <t>2649</t>
  </si>
  <si>
    <t>ｉシェアーズ　米国政府系機関ジニーメイＭＢＳ　ＥＴＦ（為替ヘッジあり）　受益証券</t>
  </si>
  <si>
    <t>iShares Ginnie Mae MBS JPY Hedged ETF</t>
  </si>
  <si>
    <t>2836</t>
  </si>
  <si>
    <t>グローバルＸ　フィンテック－日本株式　ＥＴＦ　受益証券</t>
  </si>
  <si>
    <t>Global X Japan Fintech ETF</t>
  </si>
  <si>
    <t>2837</t>
  </si>
  <si>
    <t>グローバルＸ　中小型リーダーズ－日本株式　ＥＴＦ　受益証券</t>
  </si>
  <si>
    <t>Global X Japan Mid &amp; Small Cap Leaders ETF</t>
  </si>
  <si>
    <t>2838</t>
  </si>
  <si>
    <t>ＭＡＸＩＳ米国国債７－１０年上場投信（為替ヘッジなし）　受益証券</t>
  </si>
  <si>
    <t>MAXIS US Treasury Bond 7-10 Year ETF (Unhedged)</t>
  </si>
  <si>
    <t>2839</t>
  </si>
  <si>
    <t>ＭＡＸＩＳ米国国債７－１０年上場投信（為替ヘッジあり）　受益証券</t>
  </si>
  <si>
    <t>MAXIS US Treasury Bond 7-10 Year ETF (JPY Hedged)</t>
  </si>
  <si>
    <t>2840</t>
  </si>
  <si>
    <t>ｉＦｒｅｅＥＴＦ　ＮＡＳＤＡＱ１００（為替ヘッジなし）　受益証券</t>
  </si>
  <si>
    <t>iFreeETF NASDAQ100 (NON HEDGED)</t>
  </si>
  <si>
    <t>2841</t>
  </si>
  <si>
    <t>ｉＦｒｅｅＥＴＦ　ＮＡＳＤＡＱ１００（為替ヘッジあり）　受益証券</t>
  </si>
  <si>
    <t>iFreeETF NASDAQ100 (JPY HEDGED)</t>
  </si>
  <si>
    <t>2842</t>
  </si>
  <si>
    <t>ｉＦｒｅｅＥＴＦ　ＮＡＳＤＡＱ１００インバース　受益証券</t>
  </si>
  <si>
    <t>iFreeETF NASDAQ100 Inverse</t>
  </si>
  <si>
    <t>2843</t>
  </si>
  <si>
    <t>上場インデックスファンド豪州国債（為替ヘッジあり）　受益証券</t>
  </si>
  <si>
    <t>Listed Index Fund Australian Government Bond (Currency Hedge)</t>
  </si>
  <si>
    <t>2844</t>
  </si>
  <si>
    <t>上場インデックスファンド豪州国債（為替ヘッジなし）　受益証券</t>
  </si>
  <si>
    <t>Listed Index Fund Australian Government Bond (No Currency Hedge)</t>
  </si>
  <si>
    <t>2845</t>
  </si>
  <si>
    <t>ＮＥＸＴ　ＦＵＮＤＳ　ＮＡＳＤＡＱ－１００（為替ヘッジあり）連動型上場投信　受益証券</t>
  </si>
  <si>
    <t>NEXT FUNDS NASDAQ-100(R) (Yen-Hedged) Exchange Traded Fund</t>
  </si>
  <si>
    <t>2846</t>
  </si>
  <si>
    <t>ＮＥＸＴ　ＦＵＮＤＳ　ダウ・ジョーンズ工業株３０種平均株価（為替ヘッジあり）連動型上場投信　受益証券</t>
  </si>
  <si>
    <t>NEXT FUNDS DJIA (Yen-Hedged) Exchange Traded Fund</t>
  </si>
  <si>
    <t>2847</t>
  </si>
  <si>
    <t>グローバルＸ　新成長インフラ－日本株式　ＥＴＦ　受益証券</t>
  </si>
  <si>
    <t>Global X Japan New Growth Infrastructure ETF</t>
  </si>
  <si>
    <t>2848</t>
  </si>
  <si>
    <t>グローバルＸ　ＭＳＣＩ　気候変動対応－日本株式　ＥＴＦ　受益証券</t>
  </si>
  <si>
    <t>Global X MSCI Japan Climate Change ETF</t>
  </si>
  <si>
    <t>2849</t>
  </si>
  <si>
    <t>グローバルＸ　Ｍｏｒｎｉｎｇｓｔａｒ　高配当　ＥＳＧ－日本株式　ＥＴＦ　受益証券</t>
  </si>
  <si>
    <t>Global X Morningstar Japan High Dividend ESG ETF</t>
  </si>
  <si>
    <t>2850</t>
  </si>
  <si>
    <t>ＮＥＸＴ　ＦＵＮＤＳ　ＳｏｌａｃｔｉｖｅジャパンＥＳＧコア指数連動型上場投信　受益証券</t>
  </si>
  <si>
    <t>NEXT FUNDS Solactive Japan ESG Core Index Exchange Traded Fund</t>
  </si>
  <si>
    <t>2851</t>
  </si>
  <si>
    <t>ｉシェアーズ　ＭＳＣＩ　ジャパンＳＲＩ　ＥＴＦ　受益証券</t>
  </si>
  <si>
    <t>iShares MSCI Japan SRI ETF</t>
  </si>
  <si>
    <t>2852</t>
  </si>
  <si>
    <t>ｉシェアーズ　グリーンＪリート　ＥＴＦ　受益証券</t>
  </si>
  <si>
    <t>iShares Japan Green REIT ETF</t>
  </si>
  <si>
    <t>2853</t>
  </si>
  <si>
    <t>ｉシェアーズ　気候リスク調整世界国債　ＥＴＦ（除く日本・為替ヘッジあり）　受益証券</t>
  </si>
  <si>
    <t>iShares Climate Risk-Adjusted Global ex Japan Government Bond JPY Hedged ETF</t>
  </si>
  <si>
    <t>2854</t>
  </si>
  <si>
    <t>グローバルＸ　テック・トップ２０－日本株式　ＥＴＦ　受益証券</t>
  </si>
  <si>
    <t>Global X Japan Tech Top 20 ETF</t>
  </si>
  <si>
    <t>2855</t>
  </si>
  <si>
    <t>グローバルＸ　グリーン・Ｊ－ＲＥＩＴ　ＥＴＦ　受益証券</t>
  </si>
  <si>
    <t>Global X Green J-REIT ETF</t>
  </si>
  <si>
    <t>2856</t>
  </si>
  <si>
    <t>ｉシェアーズ　米国債３－７年　ＥＴＦ（為替ヘッジあり）　受益証券</t>
  </si>
  <si>
    <t>iShares 3-7 Year US Treasury Bond JPY Hedged ETF</t>
  </si>
  <si>
    <t>2857</t>
  </si>
  <si>
    <t>ｉシェアーズ　ドイツ国債　ＥＴＦ（為替ヘッジあり）　受益証券</t>
  </si>
  <si>
    <t>iShares Germany Government Bond JPY Hedged ETF</t>
  </si>
  <si>
    <t>2858</t>
  </si>
  <si>
    <t>グローバルＸ　日経２２５　カバード・コール　ＥＴＦ（プレミアム再投資型）　受益証券</t>
  </si>
  <si>
    <t>Global X Nikkei 225 Covered Call ETF (option premium reinvestment type)</t>
  </si>
  <si>
    <t>2859</t>
  </si>
  <si>
    <t>ＮＥＸＴ　ＦＵＮＤＳ　ユーロ・ストックス５０指数（為替ヘッジあり）連動型上場投信　受益証券</t>
  </si>
  <si>
    <t>NEXT FUNDS EURO STOXX 50 (Yen-Hedged) Exchange Traded Fund</t>
  </si>
  <si>
    <t>2860</t>
  </si>
  <si>
    <t>ＮＥＸＴ　ＦＵＮＤＳ　ドイツ株式・ＤＡＸ（為替ヘッジあり）連動型上場投信　受益証券</t>
  </si>
  <si>
    <t>NEXT FUNDS German Equity DAX (Yen-Hedged) Exchange Traded Fund</t>
  </si>
  <si>
    <t>2861</t>
  </si>
  <si>
    <t>上場インデックスファンドフランス国債（為替ヘッジなし）　受益証券</t>
  </si>
  <si>
    <t>Listed Index Fund France Government Bond (No Currency Hedge)</t>
  </si>
  <si>
    <t>2862</t>
  </si>
  <si>
    <t>上場インデックスファンドフランス国債（為替ヘッジあり）　受益証券</t>
  </si>
  <si>
    <t>Listed Index Fund France Government Bond (Currency Hedge)</t>
  </si>
  <si>
    <t>2863</t>
  </si>
  <si>
    <t>ＮＥＸＴ　ＦＵＮＤＳ　Ｓ＆Ｐ米国株式・債券バランス保守型指数（為替ヘッジあり）連動型上場投信　受益証券</t>
  </si>
  <si>
    <t>NEXT FUNDS S&amp;P US Equity and Bond Balance Conservative Index (Yen-Hedged) Exchange Traded Fund</t>
  </si>
  <si>
    <t>2864</t>
  </si>
  <si>
    <t>グローバルＸ　ロジスティクス・ＲＥＩＴ　ＥＴＦ　受益証券</t>
  </si>
  <si>
    <t>Global X Logistics REIT ETF</t>
  </si>
  <si>
    <t>2865</t>
  </si>
  <si>
    <t>グローバルＸ　ＮＡＳＤＡＱ１００・カバード・コール　ＥＴＦ　受益証券</t>
  </si>
  <si>
    <t>Global X Nasdaq 100 Covered Call ETF</t>
  </si>
  <si>
    <t>2866</t>
  </si>
  <si>
    <t>グローバルＸ　米国優先証券　ＥＴＦ　受益証券</t>
  </si>
  <si>
    <t>Global X U.S. Preferred Security ETF</t>
  </si>
  <si>
    <t>2867</t>
  </si>
  <si>
    <t>グローバルＸ　自動運転＆ＥＶ　ＥＴＦ　受益証券</t>
  </si>
  <si>
    <t>Global X Autonomous &amp; EV ETF</t>
  </si>
  <si>
    <t>2868</t>
  </si>
  <si>
    <t>グローバルＸ　Ｓ＆Ｐ５００・カバード・コール　ＥＴＦ　受益証券</t>
  </si>
  <si>
    <t>Global X S&amp;P 500 Covered Call ETF</t>
  </si>
  <si>
    <t>2869</t>
  </si>
  <si>
    <t>ｉＦｒｅｅＥＴＦ　ＮＡＳＤＡＱ１００レバレッジ　受益証券</t>
  </si>
  <si>
    <t>iFreeETF NASDAQ100 Leveraged (2x)</t>
  </si>
  <si>
    <t>2870</t>
  </si>
  <si>
    <t>ｉＦｒｅｅＥＴＦ　ＮＡＳＤＡＱ１００ダブルインバース　受益証券</t>
  </si>
  <si>
    <t>iFreeETF NASDAQ100 Double Inverse (-2x)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</si>
  <si>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</si>
  <si>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</si>
  <si>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</si>
  <si>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</si>
  <si>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</si>
  <si>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</si>
  <si>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</si>
  <si>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</si>
  <si>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</si>
  <si>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2989</t>
  </si>
  <si>
    <t>東海道リート投資法人　投資証券</t>
  </si>
  <si>
    <t>Tokaido REIT,Inc.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</si>
  <si>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</si>
  <si>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</si>
  <si>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</si>
  <si>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</si>
  <si>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</si>
  <si>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</si>
  <si>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</si>
  <si>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</si>
  <si>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</si>
  <si>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</si>
  <si>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</si>
  <si>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</si>
  <si>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</si>
  <si>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</si>
  <si>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</si>
  <si>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</si>
  <si>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</si>
  <si>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</si>
  <si>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</si>
  <si>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</si>
  <si>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</si>
  <si>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</si>
  <si>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</si>
  <si>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</si>
  <si>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</si>
  <si>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</si>
  <si>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</si>
  <si>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</si>
  <si>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</si>
  <si>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</si>
  <si>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</si>
  <si>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</si>
  <si>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</si>
  <si>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</si>
  <si>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</si>
  <si>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</si>
  <si>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</si>
  <si>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</si>
  <si>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</si>
  <si>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</si>
  <si>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</si>
  <si>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</si>
  <si>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</si>
  <si>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</si>
  <si>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</si>
  <si>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</si>
  <si>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</si>
  <si>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</si>
  <si>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</si>
  <si>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</si>
  <si>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</si>
  <si>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</si>
  <si>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</si>
  <si>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</si>
  <si>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</si>
  <si>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</si>
  <si>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</si>
  <si>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</si>
  <si>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</si>
  <si>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</si>
  <si>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</si>
  <si>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</si>
  <si>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</si>
  <si>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</si>
  <si>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</si>
  <si>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</si>
  <si>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</si>
  <si>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</si>
  <si>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</si>
  <si>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</si>
  <si>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日本ホテル＆レジデンシャル投資法人　投資証券</t>
  </si>
  <si>
    <t>Nippon Hotel &amp; Residential Investment Corporation</t>
  </si>
  <si>
    <t>3476</t>
  </si>
  <si>
    <t>投資法人みらい　投資証券</t>
  </si>
  <si>
    <t>MIRAI Corporation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</si>
  <si>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</si>
  <si>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</si>
  <si>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</si>
  <si>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</si>
  <si>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</si>
  <si>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</si>
  <si>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</si>
  <si>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</si>
  <si>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</si>
  <si>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</si>
  <si>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</si>
  <si>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</si>
  <si>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</si>
  <si>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アドバンス・ロジスティクス投資法人　投資証券</t>
  </si>
  <si>
    <t>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</si>
  <si>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</si>
  <si>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</si>
  <si>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</si>
  <si>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</si>
  <si>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</si>
  <si>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</si>
  <si>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</si>
  <si>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</si>
  <si>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</si>
  <si>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</si>
  <si>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</si>
  <si>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</si>
  <si>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</si>
  <si>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</si>
  <si>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</si>
  <si>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</si>
  <si>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</si>
  <si>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</si>
  <si>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</si>
  <si>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</si>
  <si>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</si>
  <si>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</si>
  <si>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</si>
  <si>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</si>
  <si>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</si>
  <si>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</si>
  <si>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</si>
  <si>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</si>
  <si>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森トラストリート投資法人　投資証券</t>
  </si>
  <si>
    <t>MORI TRUST REIT,Inc.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</si>
  <si>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</si>
  <si>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</si>
  <si>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</si>
  <si>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</si>
  <si>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</si>
  <si>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</si>
  <si>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</si>
  <si>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</si>
  <si>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</si>
  <si>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</si>
  <si>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</si>
  <si>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</si>
  <si>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</si>
  <si>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</si>
  <si>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</si>
  <si>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</si>
  <si>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ＫＤＸ不動産投資法人　投資証券</t>
  </si>
  <si>
    <t>KDX Realty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</si>
  <si>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</si>
  <si>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</si>
  <si>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</si>
  <si>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</si>
  <si>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</si>
  <si>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</si>
  <si>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</si>
  <si>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</si>
  <si>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</si>
  <si>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</si>
  <si>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</si>
  <si>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</si>
  <si>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</si>
  <si>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</si>
  <si>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</si>
  <si>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</si>
  <si>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</si>
  <si>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</si>
  <si>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</si>
  <si>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</si>
  <si>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</si>
  <si>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</si>
  <si>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</si>
  <si>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</si>
  <si>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9282</t>
  </si>
  <si>
    <t>いちごグリーンインフラ投資法人　投資証券</t>
  </si>
  <si>
    <t>Ichigo Green Infrastructure Investment Corporation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</si>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</sst>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15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2678</f>
        <v>2678.0</v>
      </c>
      <c r="L7" s="34" t="s">
        <v>48</v>
      </c>
      <c r="M7" s="33" t="n">
        <f>2847.5</f>
        <v>2847.5</v>
      </c>
      <c r="N7" s="34" t="s">
        <v>49</v>
      </c>
      <c r="O7" s="33" t="n">
        <f>2672</f>
        <v>2672.0</v>
      </c>
      <c r="P7" s="34" t="s">
        <v>48</v>
      </c>
      <c r="Q7" s="33" t="n">
        <f>2828.5</f>
        <v>2828.5</v>
      </c>
      <c r="R7" s="34" t="s">
        <v>50</v>
      </c>
      <c r="S7" s="35" t="n">
        <f>2756.58</f>
        <v>2756.58</v>
      </c>
      <c r="T7" s="32" t="n">
        <f>15230270</f>
        <v>1.523027E7</v>
      </c>
      <c r="U7" s="32" t="n">
        <f>12553550</f>
        <v>1.255355E7</v>
      </c>
      <c r="V7" s="32" t="n">
        <f>41500458033</f>
        <v>4.1500458033E10</v>
      </c>
      <c r="W7" s="32" t="n">
        <f>34071847123</f>
        <v>3.4071847123E10</v>
      </c>
      <c r="X7" s="36" t="n">
        <f>19</f>
        <v>19.0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2649.5</f>
        <v>2649.5</v>
      </c>
      <c r="L8" s="34" t="s">
        <v>48</v>
      </c>
      <c r="M8" s="33" t="n">
        <f>2817.5</f>
        <v>2817.5</v>
      </c>
      <c r="N8" s="34" t="s">
        <v>49</v>
      </c>
      <c r="O8" s="33" t="n">
        <f>2643</f>
        <v>2643.0</v>
      </c>
      <c r="P8" s="34" t="s">
        <v>48</v>
      </c>
      <c r="Q8" s="33" t="n">
        <f>2805</f>
        <v>2805.0</v>
      </c>
      <c r="R8" s="34" t="s">
        <v>50</v>
      </c>
      <c r="S8" s="35" t="n">
        <f>2728.26</f>
        <v>2728.26</v>
      </c>
      <c r="T8" s="32" t="n">
        <f>35111420</f>
        <v>3.511142E7</v>
      </c>
      <c r="U8" s="32" t="n">
        <f>2932930</f>
        <v>2932930.0</v>
      </c>
      <c r="V8" s="32" t="n">
        <f>95744446195</f>
        <v>9.5744446195E10</v>
      </c>
      <c r="W8" s="32" t="n">
        <f>8088778720</f>
        <v>8.08877872E9</v>
      </c>
      <c r="X8" s="36" t="n">
        <f>19</f>
        <v>19.0</v>
      </c>
    </row>
    <row r="9">
      <c r="A9" s="27" t="s">
        <v>42</v>
      </c>
      <c r="B9" s="27" t="s">
        <v>54</v>
      </c>
      <c r="C9" s="27" t="s">
        <v>55</v>
      </c>
      <c r="D9" s="27" t="s">
        <v>56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1.0</v>
      </c>
      <c r="K9" s="33" t="n">
        <f>2617</f>
        <v>2617.0</v>
      </c>
      <c r="L9" s="34" t="s">
        <v>48</v>
      </c>
      <c r="M9" s="33" t="n">
        <f>2784</f>
        <v>2784.0</v>
      </c>
      <c r="N9" s="34" t="s">
        <v>49</v>
      </c>
      <c r="O9" s="33" t="n">
        <f>2611</f>
        <v>2611.0</v>
      </c>
      <c r="P9" s="34" t="s">
        <v>48</v>
      </c>
      <c r="Q9" s="33" t="n">
        <f>2764</f>
        <v>2764.0</v>
      </c>
      <c r="R9" s="34" t="s">
        <v>50</v>
      </c>
      <c r="S9" s="35" t="n">
        <f>2694.68</f>
        <v>2694.68</v>
      </c>
      <c r="T9" s="32" t="n">
        <f>5747419</f>
        <v>5747419.0</v>
      </c>
      <c r="U9" s="32" t="n">
        <f>233811</f>
        <v>233811.0</v>
      </c>
      <c r="V9" s="32" t="n">
        <f>15659002878</f>
        <v>1.5659002878E10</v>
      </c>
      <c r="W9" s="32" t="n">
        <f>630913525</f>
        <v>6.30913525E8</v>
      </c>
      <c r="X9" s="36" t="n">
        <f>19</f>
        <v>19.0</v>
      </c>
    </row>
    <row r="10">
      <c r="A10" s="27" t="s">
        <v>42</v>
      </c>
      <c r="B10" s="27" t="s">
        <v>57</v>
      </c>
      <c r="C10" s="27" t="s">
        <v>58</v>
      </c>
      <c r="D10" s="27" t="s">
        <v>59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36640</f>
        <v>36640.0</v>
      </c>
      <c r="L10" s="34" t="s">
        <v>48</v>
      </c>
      <c r="M10" s="33" t="n">
        <f>39750</f>
        <v>39750.0</v>
      </c>
      <c r="N10" s="34" t="s">
        <v>60</v>
      </c>
      <c r="O10" s="33" t="n">
        <f>36020</f>
        <v>36020.0</v>
      </c>
      <c r="P10" s="34" t="s">
        <v>61</v>
      </c>
      <c r="Q10" s="33" t="n">
        <f>38840</f>
        <v>38840.0</v>
      </c>
      <c r="R10" s="34" t="s">
        <v>50</v>
      </c>
      <c r="S10" s="35" t="n">
        <f>38153.16</f>
        <v>38153.16</v>
      </c>
      <c r="T10" s="32" t="n">
        <f>6343</f>
        <v>6343.0</v>
      </c>
      <c r="U10" s="32" t="str">
        <f>"－"</f>
        <v>－</v>
      </c>
      <c r="V10" s="32" t="n">
        <f>242056950</f>
        <v>2.4205695E8</v>
      </c>
      <c r="W10" s="32" t="str">
        <f>"－"</f>
        <v>－</v>
      </c>
      <c r="X10" s="36" t="n">
        <f>19</f>
        <v>19.0</v>
      </c>
    </row>
    <row r="11">
      <c r="A11" s="27" t="s">
        <v>42</v>
      </c>
      <c r="B11" s="27" t="s">
        <v>62</v>
      </c>
      <c r="C11" s="27" t="s">
        <v>63</v>
      </c>
      <c r="D11" s="27" t="s">
        <v>64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1314</f>
        <v>1314.0</v>
      </c>
      <c r="L11" s="34" t="s">
        <v>48</v>
      </c>
      <c r="M11" s="33" t="n">
        <f>1430</f>
        <v>1430.0</v>
      </c>
      <c r="N11" s="34" t="s">
        <v>49</v>
      </c>
      <c r="O11" s="33" t="n">
        <f>1301</f>
        <v>1301.0</v>
      </c>
      <c r="P11" s="34" t="s">
        <v>48</v>
      </c>
      <c r="Q11" s="33" t="n">
        <f>1413</f>
        <v>1413.0</v>
      </c>
      <c r="R11" s="34" t="s">
        <v>50</v>
      </c>
      <c r="S11" s="35" t="n">
        <f>1370.89</f>
        <v>1370.89</v>
      </c>
      <c r="T11" s="32" t="n">
        <f>551260</f>
        <v>551260.0</v>
      </c>
      <c r="U11" s="32" t="n">
        <f>11080</f>
        <v>11080.0</v>
      </c>
      <c r="V11" s="32" t="n">
        <f>761635875</f>
        <v>7.61635875E8</v>
      </c>
      <c r="W11" s="32" t="n">
        <f>14731550</f>
        <v>1.473155E7</v>
      </c>
      <c r="X11" s="36" t="n">
        <f>19</f>
        <v>19.0</v>
      </c>
    </row>
    <row r="12">
      <c r="A12" s="27" t="s">
        <v>42</v>
      </c>
      <c r="B12" s="27" t="s">
        <v>65</v>
      </c>
      <c r="C12" s="27" t="s">
        <v>66</v>
      </c>
      <c r="D12" s="27" t="s">
        <v>67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1000.0</v>
      </c>
      <c r="K12" s="33" t="n">
        <f>454.6</f>
        <v>454.6</v>
      </c>
      <c r="L12" s="34" t="s">
        <v>48</v>
      </c>
      <c r="M12" s="33" t="n">
        <f>496</f>
        <v>496.0</v>
      </c>
      <c r="N12" s="34" t="s">
        <v>68</v>
      </c>
      <c r="O12" s="33" t="n">
        <f>450.2</f>
        <v>450.2</v>
      </c>
      <c r="P12" s="34" t="s">
        <v>69</v>
      </c>
      <c r="Q12" s="33" t="n">
        <f>490</f>
        <v>490.0</v>
      </c>
      <c r="R12" s="34" t="s">
        <v>70</v>
      </c>
      <c r="S12" s="35" t="n">
        <f>470.86</f>
        <v>470.86</v>
      </c>
      <c r="T12" s="32" t="n">
        <f>117000</f>
        <v>117000.0</v>
      </c>
      <c r="U12" s="32" t="str">
        <f>"－"</f>
        <v>－</v>
      </c>
      <c r="V12" s="32" t="n">
        <f>55152900</f>
        <v>5.51529E7</v>
      </c>
      <c r="W12" s="32" t="str">
        <f>"－"</f>
        <v>－</v>
      </c>
      <c r="X12" s="36" t="n">
        <f>16</f>
        <v>16.0</v>
      </c>
    </row>
    <row r="13">
      <c r="A13" s="27" t="s">
        <v>42</v>
      </c>
      <c r="B13" s="27" t="s">
        <v>71</v>
      </c>
      <c r="C13" s="27" t="s">
        <v>72</v>
      </c>
      <c r="D13" s="27" t="s">
        <v>73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1.0</v>
      </c>
      <c r="K13" s="33" t="n">
        <f>37160</f>
        <v>37160.0</v>
      </c>
      <c r="L13" s="34" t="s">
        <v>48</v>
      </c>
      <c r="M13" s="33" t="n">
        <f>40740</f>
        <v>40740.0</v>
      </c>
      <c r="N13" s="34" t="s">
        <v>68</v>
      </c>
      <c r="O13" s="33" t="n">
        <f>37040</f>
        <v>37040.0</v>
      </c>
      <c r="P13" s="34" t="s">
        <v>74</v>
      </c>
      <c r="Q13" s="33" t="n">
        <f>40500</f>
        <v>40500.0</v>
      </c>
      <c r="R13" s="34" t="s">
        <v>50</v>
      </c>
      <c r="S13" s="35" t="n">
        <f>39051.05</f>
        <v>39051.05</v>
      </c>
      <c r="T13" s="32" t="n">
        <f>843100</f>
        <v>843100.0</v>
      </c>
      <c r="U13" s="32" t="n">
        <f>61468</f>
        <v>61468.0</v>
      </c>
      <c r="V13" s="32" t="n">
        <f>33144043456</f>
        <v>3.3144043456E10</v>
      </c>
      <c r="W13" s="32" t="n">
        <f>2402649226</f>
        <v>2.402649226E9</v>
      </c>
      <c r="X13" s="36" t="n">
        <f>19</f>
        <v>19.0</v>
      </c>
    </row>
    <row r="14">
      <c r="A14" s="27" t="s">
        <v>42</v>
      </c>
      <c r="B14" s="27" t="s">
        <v>75</v>
      </c>
      <c r="C14" s="27" t="s">
        <v>76</v>
      </c>
      <c r="D14" s="27" t="s">
        <v>77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1.0</v>
      </c>
      <c r="K14" s="33" t="n">
        <f>37290</f>
        <v>37290.0</v>
      </c>
      <c r="L14" s="34" t="s">
        <v>48</v>
      </c>
      <c r="M14" s="33" t="n">
        <f>40900</f>
        <v>40900.0</v>
      </c>
      <c r="N14" s="34" t="s">
        <v>68</v>
      </c>
      <c r="O14" s="33" t="n">
        <f>37190</f>
        <v>37190.0</v>
      </c>
      <c r="P14" s="34" t="s">
        <v>74</v>
      </c>
      <c r="Q14" s="33" t="n">
        <f>40670</f>
        <v>40670.0</v>
      </c>
      <c r="R14" s="34" t="s">
        <v>50</v>
      </c>
      <c r="S14" s="35" t="n">
        <f>39203.68</f>
        <v>39203.68</v>
      </c>
      <c r="T14" s="32" t="n">
        <f>6737366</f>
        <v>6737366.0</v>
      </c>
      <c r="U14" s="32" t="n">
        <f>528009</f>
        <v>528009.0</v>
      </c>
      <c r="V14" s="32" t="n">
        <f>263835360301</f>
        <v>2.63835360301E11</v>
      </c>
      <c r="W14" s="32" t="n">
        <f>20107144441</f>
        <v>2.0107144441E10</v>
      </c>
      <c r="X14" s="36" t="n">
        <f>19</f>
        <v>19.0</v>
      </c>
    </row>
    <row r="15">
      <c r="A15" s="27" t="s">
        <v>42</v>
      </c>
      <c r="B15" s="27" t="s">
        <v>78</v>
      </c>
      <c r="C15" s="27" t="s">
        <v>79</v>
      </c>
      <c r="D15" s="27" t="s">
        <v>80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10.0</v>
      </c>
      <c r="K15" s="33" t="n">
        <f>6876</f>
        <v>6876.0</v>
      </c>
      <c r="L15" s="34" t="s">
        <v>48</v>
      </c>
      <c r="M15" s="33" t="n">
        <f>7579</f>
        <v>7579.0</v>
      </c>
      <c r="N15" s="34" t="s">
        <v>60</v>
      </c>
      <c r="O15" s="33" t="n">
        <f>6670</f>
        <v>6670.0</v>
      </c>
      <c r="P15" s="34" t="s">
        <v>81</v>
      </c>
      <c r="Q15" s="33" t="n">
        <f>7402</f>
        <v>7402.0</v>
      </c>
      <c r="R15" s="34" t="s">
        <v>50</v>
      </c>
      <c r="S15" s="35" t="n">
        <f>7187.21</f>
        <v>7187.21</v>
      </c>
      <c r="T15" s="32" t="n">
        <f>25810</f>
        <v>25810.0</v>
      </c>
      <c r="U15" s="32" t="str">
        <f>"－"</f>
        <v>－</v>
      </c>
      <c r="V15" s="32" t="n">
        <f>184315510</f>
        <v>1.8431551E8</v>
      </c>
      <c r="W15" s="32" t="str">
        <f>"－"</f>
        <v>－</v>
      </c>
      <c r="X15" s="36" t="n">
        <f>19</f>
        <v>19.0</v>
      </c>
    </row>
    <row r="16">
      <c r="A16" s="27" t="s">
        <v>42</v>
      </c>
      <c r="B16" s="27" t="s">
        <v>82</v>
      </c>
      <c r="C16" s="27" t="s">
        <v>83</v>
      </c>
      <c r="D16" s="27" t="s">
        <v>84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100.0</v>
      </c>
      <c r="K16" s="33" t="str">
        <f>"－"</f>
        <v>－</v>
      </c>
      <c r="L16" s="34"/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5" t="str">
        <f>"－"</f>
        <v>－</v>
      </c>
      <c r="T16" s="32" t="str">
        <f>"－"</f>
        <v>－</v>
      </c>
      <c r="U16" s="32" t="str">
        <f>"－"</f>
        <v>－</v>
      </c>
      <c r="V16" s="32" t="str">
        <f>"－"</f>
        <v>－</v>
      </c>
      <c r="W16" s="32" t="str">
        <f>"－"</f>
        <v>－</v>
      </c>
      <c r="X16" s="36" t="str">
        <f>"－"</f>
        <v>－</v>
      </c>
    </row>
    <row r="17">
      <c r="A17" s="27" t="s">
        <v>42</v>
      </c>
      <c r="B17" s="27" t="s">
        <v>85</v>
      </c>
      <c r="C17" s="27" t="s">
        <v>86</v>
      </c>
      <c r="D17" s="27" t="s">
        <v>87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100.0</v>
      </c>
      <c r="K17" s="33" t="n">
        <f>246</f>
        <v>246.0</v>
      </c>
      <c r="L17" s="34" t="s">
        <v>48</v>
      </c>
      <c r="M17" s="33" t="n">
        <f>253.8</f>
        <v>253.8</v>
      </c>
      <c r="N17" s="34" t="s">
        <v>50</v>
      </c>
      <c r="O17" s="33" t="n">
        <f>243.6</f>
        <v>243.6</v>
      </c>
      <c r="P17" s="34" t="s">
        <v>88</v>
      </c>
      <c r="Q17" s="33" t="n">
        <f>253.8</f>
        <v>253.8</v>
      </c>
      <c r="R17" s="34" t="s">
        <v>50</v>
      </c>
      <c r="S17" s="35" t="n">
        <f>248.88</f>
        <v>248.88</v>
      </c>
      <c r="T17" s="32" t="n">
        <f>819400</f>
        <v>819400.0</v>
      </c>
      <c r="U17" s="32" t="n">
        <f>1200</f>
        <v>1200.0</v>
      </c>
      <c r="V17" s="32" t="n">
        <f>204146760</f>
        <v>2.0414676E8</v>
      </c>
      <c r="W17" s="32" t="n">
        <f>296710</f>
        <v>296710.0</v>
      </c>
      <c r="X17" s="36" t="n">
        <f>19</f>
        <v>19.0</v>
      </c>
    </row>
    <row r="18">
      <c r="A18" s="27" t="s">
        <v>42</v>
      </c>
      <c r="B18" s="27" t="s">
        <v>89</v>
      </c>
      <c r="C18" s="27" t="s">
        <v>90</v>
      </c>
      <c r="D18" s="27" t="s">
        <v>91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1.0</v>
      </c>
      <c r="K18" s="33" t="n">
        <f>27795</f>
        <v>27795.0</v>
      </c>
      <c r="L18" s="34" t="s">
        <v>48</v>
      </c>
      <c r="M18" s="33" t="n">
        <f>28405</f>
        <v>28405.0</v>
      </c>
      <c r="N18" s="34" t="s">
        <v>50</v>
      </c>
      <c r="O18" s="33" t="n">
        <f>27705</f>
        <v>27705.0</v>
      </c>
      <c r="P18" s="34" t="s">
        <v>92</v>
      </c>
      <c r="Q18" s="33" t="n">
        <f>28275</f>
        <v>28275.0</v>
      </c>
      <c r="R18" s="34" t="s">
        <v>50</v>
      </c>
      <c r="S18" s="35" t="n">
        <f>28044.74</f>
        <v>28044.74</v>
      </c>
      <c r="T18" s="32" t="n">
        <f>114034</f>
        <v>114034.0</v>
      </c>
      <c r="U18" s="32" t="str">
        <f>"－"</f>
        <v>－</v>
      </c>
      <c r="V18" s="32" t="n">
        <f>3192910975</f>
        <v>3.192910975E9</v>
      </c>
      <c r="W18" s="32" t="str">
        <f>"－"</f>
        <v>－</v>
      </c>
      <c r="X18" s="36" t="n">
        <f>19</f>
        <v>19.0</v>
      </c>
    </row>
    <row r="19">
      <c r="A19" s="27" t="s">
        <v>42</v>
      </c>
      <c r="B19" s="27" t="s">
        <v>93</v>
      </c>
      <c r="C19" s="27" t="s">
        <v>94</v>
      </c>
      <c r="D19" s="27" t="s">
        <v>95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10.0</v>
      </c>
      <c r="K19" s="33" t="n">
        <f>7374</f>
        <v>7374.0</v>
      </c>
      <c r="L19" s="34" t="s">
        <v>48</v>
      </c>
      <c r="M19" s="33" t="n">
        <f>7528</f>
        <v>7528.0</v>
      </c>
      <c r="N19" s="34" t="s">
        <v>50</v>
      </c>
      <c r="O19" s="33" t="n">
        <f>7348</f>
        <v>7348.0</v>
      </c>
      <c r="P19" s="34" t="s">
        <v>92</v>
      </c>
      <c r="Q19" s="33" t="n">
        <f>7491</f>
        <v>7491.0</v>
      </c>
      <c r="R19" s="34" t="s">
        <v>50</v>
      </c>
      <c r="S19" s="35" t="n">
        <f>7442.68</f>
        <v>7442.68</v>
      </c>
      <c r="T19" s="32" t="n">
        <f>265540</f>
        <v>265540.0</v>
      </c>
      <c r="U19" s="32" t="n">
        <f>170</f>
        <v>170.0</v>
      </c>
      <c r="V19" s="32" t="n">
        <f>1973147590</f>
        <v>1.97314759E9</v>
      </c>
      <c r="W19" s="32" t="n">
        <f>1260840</f>
        <v>1260840.0</v>
      </c>
      <c r="X19" s="36" t="n">
        <f>19</f>
        <v>19.0</v>
      </c>
    </row>
    <row r="20">
      <c r="A20" s="27" t="s">
        <v>42</v>
      </c>
      <c r="B20" s="27" t="s">
        <v>96</v>
      </c>
      <c r="C20" s="27" t="s">
        <v>97</v>
      </c>
      <c r="D20" s="27" t="s">
        <v>98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1.0</v>
      </c>
      <c r="K20" s="33" t="n">
        <f>37480</f>
        <v>37480.0</v>
      </c>
      <c r="L20" s="34" t="s">
        <v>48</v>
      </c>
      <c r="M20" s="33" t="n">
        <f>40780</f>
        <v>40780.0</v>
      </c>
      <c r="N20" s="34" t="s">
        <v>68</v>
      </c>
      <c r="O20" s="33" t="n">
        <f>37380</f>
        <v>37380.0</v>
      </c>
      <c r="P20" s="34" t="s">
        <v>74</v>
      </c>
      <c r="Q20" s="33" t="n">
        <f>40560</f>
        <v>40560.0</v>
      </c>
      <c r="R20" s="34" t="s">
        <v>50</v>
      </c>
      <c r="S20" s="35" t="n">
        <f>39173.16</f>
        <v>39173.16</v>
      </c>
      <c r="T20" s="32" t="n">
        <f>925248</f>
        <v>925248.0</v>
      </c>
      <c r="U20" s="32" t="n">
        <f>47395</f>
        <v>47395.0</v>
      </c>
      <c r="V20" s="32" t="n">
        <f>36042632891</f>
        <v>3.6042632891E10</v>
      </c>
      <c r="W20" s="32" t="n">
        <f>1808622681</f>
        <v>1.808622681E9</v>
      </c>
      <c r="X20" s="36" t="n">
        <f>19</f>
        <v>19.0</v>
      </c>
    </row>
    <row r="21">
      <c r="A21" s="27" t="s">
        <v>42</v>
      </c>
      <c r="B21" s="27" t="s">
        <v>99</v>
      </c>
      <c r="C21" s="27" t="s">
        <v>100</v>
      </c>
      <c r="D21" s="27" t="s">
        <v>101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37320</f>
        <v>37320.0</v>
      </c>
      <c r="L21" s="34" t="s">
        <v>48</v>
      </c>
      <c r="M21" s="33" t="n">
        <f>40940</f>
        <v>40940.0</v>
      </c>
      <c r="N21" s="34" t="s">
        <v>68</v>
      </c>
      <c r="O21" s="33" t="n">
        <f>37220</f>
        <v>37220.0</v>
      </c>
      <c r="P21" s="34" t="s">
        <v>74</v>
      </c>
      <c r="Q21" s="33" t="n">
        <f>40700</f>
        <v>40700.0</v>
      </c>
      <c r="R21" s="34" t="s">
        <v>50</v>
      </c>
      <c r="S21" s="35" t="n">
        <f>39249.47</f>
        <v>39249.47</v>
      </c>
      <c r="T21" s="32" t="n">
        <f>704790</f>
        <v>704790.0</v>
      </c>
      <c r="U21" s="32" t="n">
        <f>169866</f>
        <v>169866.0</v>
      </c>
      <c r="V21" s="32" t="n">
        <f>27623892384</f>
        <v>2.7623892384E10</v>
      </c>
      <c r="W21" s="32" t="n">
        <f>6673391064</f>
        <v>6.673391064E9</v>
      </c>
      <c r="X21" s="36" t="n">
        <f>19</f>
        <v>19.0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1022</f>
        <v>1022.0</v>
      </c>
      <c r="L22" s="34" t="s">
        <v>48</v>
      </c>
      <c r="M22" s="33" t="n">
        <f>1179</f>
        <v>1179.0</v>
      </c>
      <c r="N22" s="34" t="s">
        <v>105</v>
      </c>
      <c r="O22" s="33" t="n">
        <f>994</f>
        <v>994.0</v>
      </c>
      <c r="P22" s="34" t="s">
        <v>81</v>
      </c>
      <c r="Q22" s="33" t="n">
        <f>1026</f>
        <v>1026.0</v>
      </c>
      <c r="R22" s="34" t="s">
        <v>50</v>
      </c>
      <c r="S22" s="35" t="n">
        <f>1018.42</f>
        <v>1018.42</v>
      </c>
      <c r="T22" s="32" t="n">
        <f>266123</f>
        <v>266123.0</v>
      </c>
      <c r="U22" s="32" t="n">
        <f>1</f>
        <v>1.0</v>
      </c>
      <c r="V22" s="32" t="n">
        <f>271435459</f>
        <v>2.71435459E8</v>
      </c>
      <c r="W22" s="32" t="n">
        <f>1021</f>
        <v>1021.0</v>
      </c>
      <c r="X22" s="36" t="n">
        <f>19</f>
        <v>19.0</v>
      </c>
    </row>
    <row r="23">
      <c r="A23" s="27" t="s">
        <v>42</v>
      </c>
      <c r="B23" s="27" t="s">
        <v>106</v>
      </c>
      <c r="C23" s="27" t="s">
        <v>107</v>
      </c>
      <c r="D23" s="27" t="s">
        <v>108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1950</f>
        <v>1950.0</v>
      </c>
      <c r="L23" s="34" t="s">
        <v>48</v>
      </c>
      <c r="M23" s="33" t="n">
        <f>1956.5</f>
        <v>1956.5</v>
      </c>
      <c r="N23" s="34" t="s">
        <v>61</v>
      </c>
      <c r="O23" s="33" t="n">
        <f>1805.5</f>
        <v>1805.5</v>
      </c>
      <c r="P23" s="34" t="s">
        <v>109</v>
      </c>
      <c r="Q23" s="33" t="n">
        <f>1837.5</f>
        <v>1837.5</v>
      </c>
      <c r="R23" s="34" t="s">
        <v>50</v>
      </c>
      <c r="S23" s="35" t="n">
        <f>1876.05</f>
        <v>1876.05</v>
      </c>
      <c r="T23" s="32" t="n">
        <f>19758180</f>
        <v>1.975818E7</v>
      </c>
      <c r="U23" s="32" t="n">
        <f>6381110</f>
        <v>6381110.0</v>
      </c>
      <c r="V23" s="32" t="n">
        <f>36899926495</f>
        <v>3.6899926495E10</v>
      </c>
      <c r="W23" s="32" t="n">
        <f>11982796695</f>
        <v>1.1982796695E10</v>
      </c>
      <c r="X23" s="36" t="n">
        <f>19</f>
        <v>19.0</v>
      </c>
    </row>
    <row r="24">
      <c r="A24" s="27" t="s">
        <v>42</v>
      </c>
      <c r="B24" s="27" t="s">
        <v>110</v>
      </c>
      <c r="C24" s="27" t="s">
        <v>111</v>
      </c>
      <c r="D24" s="27" t="s">
        <v>112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100.0</v>
      </c>
      <c r="K24" s="33" t="n">
        <f>1825.5</f>
        <v>1825.5</v>
      </c>
      <c r="L24" s="34" t="s">
        <v>48</v>
      </c>
      <c r="M24" s="33" t="n">
        <f>1833</f>
        <v>1833.0</v>
      </c>
      <c r="N24" s="34" t="s">
        <v>61</v>
      </c>
      <c r="O24" s="33" t="n">
        <f>1709</f>
        <v>1709.0</v>
      </c>
      <c r="P24" s="34" t="s">
        <v>109</v>
      </c>
      <c r="Q24" s="33" t="n">
        <f>1739.5</f>
        <v>1739.5</v>
      </c>
      <c r="R24" s="34" t="s">
        <v>50</v>
      </c>
      <c r="S24" s="35" t="n">
        <f>1768.66</f>
        <v>1768.66</v>
      </c>
      <c r="T24" s="32" t="n">
        <f>16795700</f>
        <v>1.67957E7</v>
      </c>
      <c r="U24" s="32" t="n">
        <f>3936400</f>
        <v>3936400.0</v>
      </c>
      <c r="V24" s="32" t="n">
        <f>29363583822</f>
        <v>2.9363583822E10</v>
      </c>
      <c r="W24" s="32" t="n">
        <f>6938540822</f>
        <v>6.938540822E9</v>
      </c>
      <c r="X24" s="36" t="n">
        <f>19</f>
        <v>19.0</v>
      </c>
    </row>
    <row r="25">
      <c r="A25" s="27" t="s">
        <v>42</v>
      </c>
      <c r="B25" s="27" t="s">
        <v>113</v>
      </c>
      <c r="C25" s="27" t="s">
        <v>114</v>
      </c>
      <c r="D25" s="27" t="s">
        <v>115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1.0</v>
      </c>
      <c r="K25" s="33" t="n">
        <f>37090</f>
        <v>37090.0</v>
      </c>
      <c r="L25" s="34" t="s">
        <v>48</v>
      </c>
      <c r="M25" s="33" t="n">
        <f>40690</f>
        <v>40690.0</v>
      </c>
      <c r="N25" s="34" t="s">
        <v>68</v>
      </c>
      <c r="O25" s="33" t="n">
        <f>36990</f>
        <v>36990.0</v>
      </c>
      <c r="P25" s="34" t="s">
        <v>74</v>
      </c>
      <c r="Q25" s="33" t="n">
        <f>40430</f>
        <v>40430.0</v>
      </c>
      <c r="R25" s="34" t="s">
        <v>50</v>
      </c>
      <c r="S25" s="35" t="n">
        <f>38997.37</f>
        <v>38997.37</v>
      </c>
      <c r="T25" s="32" t="n">
        <f>659600</f>
        <v>659600.0</v>
      </c>
      <c r="U25" s="32" t="n">
        <f>282778</f>
        <v>282778.0</v>
      </c>
      <c r="V25" s="32" t="n">
        <f>25540172416</f>
        <v>2.5540172416E10</v>
      </c>
      <c r="W25" s="32" t="n">
        <f>10848302896</f>
        <v>1.0848302896E10</v>
      </c>
      <c r="X25" s="36" t="n">
        <f>19</f>
        <v>19.0</v>
      </c>
    </row>
    <row r="26">
      <c r="A26" s="27" t="s">
        <v>42</v>
      </c>
      <c r="B26" s="27" t="s">
        <v>116</v>
      </c>
      <c r="C26" s="27" t="s">
        <v>117</v>
      </c>
      <c r="D26" s="27" t="s">
        <v>118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2619.5</f>
        <v>2619.5</v>
      </c>
      <c r="L26" s="34" t="s">
        <v>48</v>
      </c>
      <c r="M26" s="33" t="n">
        <f>2785</f>
        <v>2785.0</v>
      </c>
      <c r="N26" s="34" t="s">
        <v>49</v>
      </c>
      <c r="O26" s="33" t="n">
        <f>2613.5</f>
        <v>2613.5</v>
      </c>
      <c r="P26" s="34" t="s">
        <v>48</v>
      </c>
      <c r="Q26" s="33" t="n">
        <f>2766.5</f>
        <v>2766.5</v>
      </c>
      <c r="R26" s="34" t="s">
        <v>50</v>
      </c>
      <c r="S26" s="35" t="n">
        <f>2696.32</f>
        <v>2696.32</v>
      </c>
      <c r="T26" s="32" t="n">
        <f>2373690</f>
        <v>2373690.0</v>
      </c>
      <c r="U26" s="32" t="n">
        <f>30000</f>
        <v>30000.0</v>
      </c>
      <c r="V26" s="32" t="n">
        <f>6424106230</f>
        <v>6.42410623E9</v>
      </c>
      <c r="W26" s="32" t="n">
        <f>81582000</f>
        <v>8.1582E7</v>
      </c>
      <c r="X26" s="36" t="n">
        <f>19</f>
        <v>19.0</v>
      </c>
    </row>
    <row r="27">
      <c r="A27" s="27" t="s">
        <v>42</v>
      </c>
      <c r="B27" s="27" t="s">
        <v>119</v>
      </c>
      <c r="C27" s="27" t="s">
        <v>120</v>
      </c>
      <c r="D27" s="27" t="s">
        <v>121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1.0</v>
      </c>
      <c r="K27" s="33" t="n">
        <f>15600</f>
        <v>15600.0</v>
      </c>
      <c r="L27" s="34" t="s">
        <v>48</v>
      </c>
      <c r="M27" s="33" t="n">
        <f>16055</f>
        <v>16055.0</v>
      </c>
      <c r="N27" s="34" t="s">
        <v>50</v>
      </c>
      <c r="O27" s="33" t="n">
        <f>15570</f>
        <v>15570.0</v>
      </c>
      <c r="P27" s="34" t="s">
        <v>81</v>
      </c>
      <c r="Q27" s="33" t="n">
        <f>16055</f>
        <v>16055.0</v>
      </c>
      <c r="R27" s="34" t="s">
        <v>50</v>
      </c>
      <c r="S27" s="35" t="n">
        <f>15831.76</f>
        <v>15831.76</v>
      </c>
      <c r="T27" s="32" t="n">
        <f>1230</f>
        <v>1230.0</v>
      </c>
      <c r="U27" s="32" t="str">
        <f>"－"</f>
        <v>－</v>
      </c>
      <c r="V27" s="32" t="n">
        <f>19455100</f>
        <v>1.94551E7</v>
      </c>
      <c r="W27" s="32" t="str">
        <f>"－"</f>
        <v>－</v>
      </c>
      <c r="X27" s="36" t="n">
        <f>17</f>
        <v>17.0</v>
      </c>
    </row>
    <row r="28">
      <c r="A28" s="27" t="s">
        <v>42</v>
      </c>
      <c r="B28" s="27" t="s">
        <v>122</v>
      </c>
      <c r="C28" s="27" t="s">
        <v>123</v>
      </c>
      <c r="D28" s="27" t="s">
        <v>124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10.0</v>
      </c>
      <c r="K28" s="33" t="n">
        <f>470</f>
        <v>470.0</v>
      </c>
      <c r="L28" s="34" t="s">
        <v>48</v>
      </c>
      <c r="M28" s="33" t="n">
        <f>471.9</f>
        <v>471.9</v>
      </c>
      <c r="N28" s="34" t="s">
        <v>48</v>
      </c>
      <c r="O28" s="33" t="n">
        <f>412.7</f>
        <v>412.7</v>
      </c>
      <c r="P28" s="34" t="s">
        <v>49</v>
      </c>
      <c r="Q28" s="33" t="n">
        <f>418.2</f>
        <v>418.2</v>
      </c>
      <c r="R28" s="34" t="s">
        <v>50</v>
      </c>
      <c r="S28" s="35" t="n">
        <f>442.21</f>
        <v>442.21</v>
      </c>
      <c r="T28" s="32" t="n">
        <f>23250870</f>
        <v>2.325087E7</v>
      </c>
      <c r="U28" s="32" t="n">
        <f>661460</f>
        <v>661460.0</v>
      </c>
      <c r="V28" s="32" t="n">
        <f>10289792251</f>
        <v>1.0289792251E10</v>
      </c>
      <c r="W28" s="32" t="n">
        <f>279996018</f>
        <v>2.79996018E8</v>
      </c>
      <c r="X28" s="36" t="n">
        <f>19</f>
        <v>19.0</v>
      </c>
    </row>
    <row r="29">
      <c r="A29" s="27" t="s">
        <v>42</v>
      </c>
      <c r="B29" s="27" t="s">
        <v>125</v>
      </c>
      <c r="C29" s="27" t="s">
        <v>126</v>
      </c>
      <c r="D29" s="27" t="s">
        <v>127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179</f>
        <v>179.0</v>
      </c>
      <c r="L29" s="34" t="s">
        <v>48</v>
      </c>
      <c r="M29" s="33" t="n">
        <f>180</f>
        <v>180.0</v>
      </c>
      <c r="N29" s="34" t="s">
        <v>48</v>
      </c>
      <c r="O29" s="33" t="n">
        <f>147</f>
        <v>147.0</v>
      </c>
      <c r="P29" s="34" t="s">
        <v>68</v>
      </c>
      <c r="Q29" s="33" t="n">
        <f>149</f>
        <v>149.0</v>
      </c>
      <c r="R29" s="34" t="s">
        <v>50</v>
      </c>
      <c r="S29" s="35" t="n">
        <f>161.53</f>
        <v>161.53</v>
      </c>
      <c r="T29" s="32" t="n">
        <f>1293680846</f>
        <v>1.293680846E9</v>
      </c>
      <c r="U29" s="32" t="n">
        <f>5408730</f>
        <v>5408730.0</v>
      </c>
      <c r="V29" s="32" t="n">
        <f>208393039573</f>
        <v>2.08393039573E11</v>
      </c>
      <c r="W29" s="32" t="n">
        <f>878041337</f>
        <v>8.78041337E8</v>
      </c>
      <c r="X29" s="36" t="n">
        <f>19</f>
        <v>19.0</v>
      </c>
    </row>
    <row r="30">
      <c r="A30" s="27" t="s">
        <v>42</v>
      </c>
      <c r="B30" s="27" t="s">
        <v>128</v>
      </c>
      <c r="C30" s="27" t="s">
        <v>129</v>
      </c>
      <c r="D30" s="27" t="s">
        <v>130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1.0</v>
      </c>
      <c r="K30" s="33" t="n">
        <f>45180</f>
        <v>45180.0</v>
      </c>
      <c r="L30" s="34" t="s">
        <v>48</v>
      </c>
      <c r="M30" s="33" t="n">
        <f>54070</f>
        <v>54070.0</v>
      </c>
      <c r="N30" s="34" t="s">
        <v>68</v>
      </c>
      <c r="O30" s="33" t="n">
        <f>44790</f>
        <v>44790.0</v>
      </c>
      <c r="P30" s="34" t="s">
        <v>74</v>
      </c>
      <c r="Q30" s="33" t="n">
        <f>53470</f>
        <v>53470.0</v>
      </c>
      <c r="R30" s="34" t="s">
        <v>50</v>
      </c>
      <c r="S30" s="35" t="n">
        <f>49776.32</f>
        <v>49776.32</v>
      </c>
      <c r="T30" s="32" t="n">
        <f>376939</f>
        <v>376939.0</v>
      </c>
      <c r="U30" s="32" t="n">
        <f>15</f>
        <v>15.0</v>
      </c>
      <c r="V30" s="32" t="n">
        <f>18860571360</f>
        <v>1.886057136E10</v>
      </c>
      <c r="W30" s="32" t="n">
        <f>694190</f>
        <v>694190.0</v>
      </c>
      <c r="X30" s="36" t="n">
        <f>19</f>
        <v>19.0</v>
      </c>
    </row>
    <row r="31">
      <c r="A31" s="27" t="s">
        <v>42</v>
      </c>
      <c r="B31" s="27" t="s">
        <v>131</v>
      </c>
      <c r="C31" s="27" t="s">
        <v>132</v>
      </c>
      <c r="D31" s="27" t="s">
        <v>133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10.0</v>
      </c>
      <c r="K31" s="33" t="n">
        <f>437.2</f>
        <v>437.2</v>
      </c>
      <c r="L31" s="34" t="s">
        <v>48</v>
      </c>
      <c r="M31" s="33" t="n">
        <f>439.5</f>
        <v>439.5</v>
      </c>
      <c r="N31" s="34" t="s">
        <v>74</v>
      </c>
      <c r="O31" s="33" t="n">
        <f>360.5</f>
        <v>360.5</v>
      </c>
      <c r="P31" s="34" t="s">
        <v>49</v>
      </c>
      <c r="Q31" s="33" t="n">
        <f>364.7</f>
        <v>364.7</v>
      </c>
      <c r="R31" s="34" t="s">
        <v>50</v>
      </c>
      <c r="S31" s="35" t="n">
        <f>394.92</f>
        <v>394.92</v>
      </c>
      <c r="T31" s="32" t="n">
        <f>485555610</f>
        <v>4.8555561E8</v>
      </c>
      <c r="U31" s="32" t="n">
        <f>523560</f>
        <v>523560.0</v>
      </c>
      <c r="V31" s="32" t="n">
        <f>192590211836</f>
        <v>1.92590211836E11</v>
      </c>
      <c r="W31" s="32" t="n">
        <f>204550317</f>
        <v>2.04550317E8</v>
      </c>
      <c r="X31" s="36" t="n">
        <f>19</f>
        <v>19.0</v>
      </c>
    </row>
    <row r="32">
      <c r="A32" s="27" t="s">
        <v>42</v>
      </c>
      <c r="B32" s="27" t="s">
        <v>134</v>
      </c>
      <c r="C32" s="27" t="s">
        <v>135</v>
      </c>
      <c r="D32" s="27" t="s">
        <v>136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1.0</v>
      </c>
      <c r="K32" s="33" t="n">
        <f>23590</f>
        <v>23590.0</v>
      </c>
      <c r="L32" s="34" t="s">
        <v>48</v>
      </c>
      <c r="M32" s="33" t="n">
        <f>24875</f>
        <v>24875.0</v>
      </c>
      <c r="N32" s="34" t="s">
        <v>49</v>
      </c>
      <c r="O32" s="33" t="n">
        <f>23440</f>
        <v>23440.0</v>
      </c>
      <c r="P32" s="34" t="s">
        <v>69</v>
      </c>
      <c r="Q32" s="33" t="n">
        <f>24705</f>
        <v>24705.0</v>
      </c>
      <c r="R32" s="34" t="s">
        <v>50</v>
      </c>
      <c r="S32" s="35" t="n">
        <f>24121.05</f>
        <v>24121.05</v>
      </c>
      <c r="T32" s="32" t="n">
        <f>23848</f>
        <v>23848.0</v>
      </c>
      <c r="U32" s="32" t="n">
        <f>5</f>
        <v>5.0</v>
      </c>
      <c r="V32" s="32" t="n">
        <f>574848290</f>
        <v>5.7484829E8</v>
      </c>
      <c r="W32" s="32" t="n">
        <f>118285</f>
        <v>118285.0</v>
      </c>
      <c r="X32" s="36" t="n">
        <f>19</f>
        <v>19.0</v>
      </c>
    </row>
    <row r="33">
      <c r="A33" s="27" t="s">
        <v>42</v>
      </c>
      <c r="B33" s="27" t="s">
        <v>137</v>
      </c>
      <c r="C33" s="27" t="s">
        <v>138</v>
      </c>
      <c r="D33" s="27" t="s">
        <v>139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37470</f>
        <v>37470.0</v>
      </c>
      <c r="L33" s="34" t="s">
        <v>48</v>
      </c>
      <c r="M33" s="33" t="n">
        <f>44910</f>
        <v>44910.0</v>
      </c>
      <c r="N33" s="34" t="s">
        <v>49</v>
      </c>
      <c r="O33" s="33" t="n">
        <f>37250</f>
        <v>37250.0</v>
      </c>
      <c r="P33" s="34" t="s">
        <v>74</v>
      </c>
      <c r="Q33" s="33" t="n">
        <f>44360</f>
        <v>44360.0</v>
      </c>
      <c r="R33" s="34" t="s">
        <v>50</v>
      </c>
      <c r="S33" s="35" t="n">
        <f>41374.21</f>
        <v>41374.21</v>
      </c>
      <c r="T33" s="32" t="n">
        <f>817126</f>
        <v>817126.0</v>
      </c>
      <c r="U33" s="32" t="n">
        <f>40</f>
        <v>40.0</v>
      </c>
      <c r="V33" s="32" t="n">
        <f>33895456630</f>
        <v>3.389545663E10</v>
      </c>
      <c r="W33" s="32" t="n">
        <f>1711200</f>
        <v>1711200.0</v>
      </c>
      <c r="X33" s="36" t="n">
        <f>19</f>
        <v>19.0</v>
      </c>
    </row>
    <row r="34">
      <c r="A34" s="27" t="s">
        <v>42</v>
      </c>
      <c r="B34" s="27" t="s">
        <v>140</v>
      </c>
      <c r="C34" s="27" t="s">
        <v>141</v>
      </c>
      <c r="D34" s="27" t="s">
        <v>142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464</f>
        <v>464.0</v>
      </c>
      <c r="L34" s="34" t="s">
        <v>48</v>
      </c>
      <c r="M34" s="33" t="n">
        <f>467</f>
        <v>467.0</v>
      </c>
      <c r="N34" s="34" t="s">
        <v>74</v>
      </c>
      <c r="O34" s="33" t="n">
        <f>383</f>
        <v>383.0</v>
      </c>
      <c r="P34" s="34" t="s">
        <v>68</v>
      </c>
      <c r="Q34" s="33" t="n">
        <f>387</f>
        <v>387.0</v>
      </c>
      <c r="R34" s="34" t="s">
        <v>50</v>
      </c>
      <c r="S34" s="35" t="n">
        <f>419.79</f>
        <v>419.79</v>
      </c>
      <c r="T34" s="32" t="n">
        <f>31727885</f>
        <v>3.1727885E7</v>
      </c>
      <c r="U34" s="32" t="n">
        <f>102259</f>
        <v>102259.0</v>
      </c>
      <c r="V34" s="32" t="n">
        <f>13320869948</f>
        <v>1.3320869948E10</v>
      </c>
      <c r="W34" s="32" t="n">
        <f>39693275</f>
        <v>3.9693275E7</v>
      </c>
      <c r="X34" s="36" t="n">
        <f>19</f>
        <v>19.0</v>
      </c>
    </row>
    <row r="35">
      <c r="A35" s="27" t="s">
        <v>42</v>
      </c>
      <c r="B35" s="27" t="s">
        <v>143</v>
      </c>
      <c r="C35" s="27" t="s">
        <v>144</v>
      </c>
      <c r="D35" s="27" t="s">
        <v>145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1.0</v>
      </c>
      <c r="K35" s="33" t="n">
        <f>32280</f>
        <v>32280.0</v>
      </c>
      <c r="L35" s="34" t="s">
        <v>48</v>
      </c>
      <c r="M35" s="33" t="n">
        <f>36440</f>
        <v>36440.0</v>
      </c>
      <c r="N35" s="34" t="s">
        <v>49</v>
      </c>
      <c r="O35" s="33" t="n">
        <f>32140</f>
        <v>32140.0</v>
      </c>
      <c r="P35" s="34" t="s">
        <v>48</v>
      </c>
      <c r="Q35" s="33" t="n">
        <f>35970</f>
        <v>35970.0</v>
      </c>
      <c r="R35" s="34" t="s">
        <v>50</v>
      </c>
      <c r="S35" s="35" t="n">
        <f>34188.95</f>
        <v>34188.95</v>
      </c>
      <c r="T35" s="32" t="n">
        <f>143365</f>
        <v>143365.0</v>
      </c>
      <c r="U35" s="32" t="str">
        <f>"－"</f>
        <v>－</v>
      </c>
      <c r="V35" s="32" t="n">
        <f>4900195840</f>
        <v>4.90019584E9</v>
      </c>
      <c r="W35" s="32" t="str">
        <f>"－"</f>
        <v>－</v>
      </c>
      <c r="X35" s="36" t="n">
        <f>19</f>
        <v>19.0</v>
      </c>
    </row>
    <row r="36">
      <c r="A36" s="27" t="s">
        <v>42</v>
      </c>
      <c r="B36" s="27" t="s">
        <v>146</v>
      </c>
      <c r="C36" s="27" t="s">
        <v>147</v>
      </c>
      <c r="D36" s="27" t="s">
        <v>148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680</f>
        <v>680.0</v>
      </c>
      <c r="L36" s="34" t="s">
        <v>48</v>
      </c>
      <c r="M36" s="33" t="n">
        <f>684</f>
        <v>684.0</v>
      </c>
      <c r="N36" s="34" t="s">
        <v>48</v>
      </c>
      <c r="O36" s="33" t="n">
        <f>599</f>
        <v>599.0</v>
      </c>
      <c r="P36" s="34" t="s">
        <v>49</v>
      </c>
      <c r="Q36" s="33" t="n">
        <f>606</f>
        <v>606.0</v>
      </c>
      <c r="R36" s="34" t="s">
        <v>50</v>
      </c>
      <c r="S36" s="35" t="n">
        <f>641.84</f>
        <v>641.84</v>
      </c>
      <c r="T36" s="32" t="n">
        <f>1827259</f>
        <v>1827259.0</v>
      </c>
      <c r="U36" s="32" t="str">
        <f>"－"</f>
        <v>－</v>
      </c>
      <c r="V36" s="32" t="n">
        <f>1171872040</f>
        <v>1.17187204E9</v>
      </c>
      <c r="W36" s="32" t="str">
        <f>"－"</f>
        <v>－</v>
      </c>
      <c r="X36" s="36" t="n">
        <f>19</f>
        <v>19.0</v>
      </c>
    </row>
    <row r="37">
      <c r="A37" s="27" t="s">
        <v>42</v>
      </c>
      <c r="B37" s="27" t="s">
        <v>149</v>
      </c>
      <c r="C37" s="27" t="s">
        <v>150</v>
      </c>
      <c r="D37" s="27" t="s">
        <v>151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36020</f>
        <v>36020.0</v>
      </c>
      <c r="L37" s="34" t="s">
        <v>48</v>
      </c>
      <c r="M37" s="33" t="n">
        <f>39460</f>
        <v>39460.0</v>
      </c>
      <c r="N37" s="34" t="s">
        <v>68</v>
      </c>
      <c r="O37" s="33" t="n">
        <f>35900</f>
        <v>35900.0</v>
      </c>
      <c r="P37" s="34" t="s">
        <v>74</v>
      </c>
      <c r="Q37" s="33" t="n">
        <f>39330</f>
        <v>39330.0</v>
      </c>
      <c r="R37" s="34" t="s">
        <v>50</v>
      </c>
      <c r="S37" s="35" t="n">
        <f>37856.32</f>
        <v>37856.32</v>
      </c>
      <c r="T37" s="32" t="n">
        <f>62157</f>
        <v>62157.0</v>
      </c>
      <c r="U37" s="32" t="n">
        <f>3000</f>
        <v>3000.0</v>
      </c>
      <c r="V37" s="32" t="n">
        <f>2350714050</f>
        <v>2.35071405E9</v>
      </c>
      <c r="W37" s="32" t="n">
        <f>111413100</f>
        <v>1.114131E8</v>
      </c>
      <c r="X37" s="36" t="n">
        <f>19</f>
        <v>19.0</v>
      </c>
    </row>
    <row r="38">
      <c r="A38" s="27" t="s">
        <v>42</v>
      </c>
      <c r="B38" s="27" t="s">
        <v>152</v>
      </c>
      <c r="C38" s="27" t="s">
        <v>153</v>
      </c>
      <c r="D38" s="27" t="s">
        <v>154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36530</f>
        <v>36530.0</v>
      </c>
      <c r="L38" s="34" t="s">
        <v>48</v>
      </c>
      <c r="M38" s="33" t="n">
        <f>39800</f>
        <v>39800.0</v>
      </c>
      <c r="N38" s="34" t="s">
        <v>68</v>
      </c>
      <c r="O38" s="33" t="n">
        <f>36240</f>
        <v>36240.0</v>
      </c>
      <c r="P38" s="34" t="s">
        <v>74</v>
      </c>
      <c r="Q38" s="33" t="n">
        <f>39690</f>
        <v>39690.0</v>
      </c>
      <c r="R38" s="34" t="s">
        <v>50</v>
      </c>
      <c r="S38" s="35" t="n">
        <f>38232.63</f>
        <v>38232.63</v>
      </c>
      <c r="T38" s="32" t="n">
        <f>514872</f>
        <v>514872.0</v>
      </c>
      <c r="U38" s="32" t="n">
        <f>254220</f>
        <v>254220.0</v>
      </c>
      <c r="V38" s="32" t="n">
        <f>19758400303</f>
        <v>1.9758400303E10</v>
      </c>
      <c r="W38" s="32" t="n">
        <f>9770543653</f>
        <v>9.770543653E9</v>
      </c>
      <c r="X38" s="36" t="n">
        <f>19</f>
        <v>19.0</v>
      </c>
    </row>
    <row r="39">
      <c r="A39" s="27" t="s">
        <v>42</v>
      </c>
      <c r="B39" s="27" t="s">
        <v>155</v>
      </c>
      <c r="C39" s="27" t="s">
        <v>156</v>
      </c>
      <c r="D39" s="27" t="s">
        <v>157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10.0</v>
      </c>
      <c r="K39" s="33" t="n">
        <f>1843</f>
        <v>1843.0</v>
      </c>
      <c r="L39" s="34" t="s">
        <v>48</v>
      </c>
      <c r="M39" s="33" t="n">
        <f>1859.5</f>
        <v>1859.5</v>
      </c>
      <c r="N39" s="34" t="s">
        <v>61</v>
      </c>
      <c r="O39" s="33" t="n">
        <f>1736</f>
        <v>1736.0</v>
      </c>
      <c r="P39" s="34" t="s">
        <v>109</v>
      </c>
      <c r="Q39" s="33" t="n">
        <f>1767.5</f>
        <v>1767.5</v>
      </c>
      <c r="R39" s="34" t="s">
        <v>50</v>
      </c>
      <c r="S39" s="35" t="n">
        <f>1796.03</f>
        <v>1796.03</v>
      </c>
      <c r="T39" s="32" t="n">
        <f>4573710</f>
        <v>4573710.0</v>
      </c>
      <c r="U39" s="32" t="n">
        <f>3509850</f>
        <v>3509850.0</v>
      </c>
      <c r="V39" s="32" t="n">
        <f>8320456027</f>
        <v>8.320456027E9</v>
      </c>
      <c r="W39" s="32" t="n">
        <f>6408513362</f>
        <v>6.408513362E9</v>
      </c>
      <c r="X39" s="36" t="n">
        <f>19</f>
        <v>19.0</v>
      </c>
    </row>
    <row r="40">
      <c r="A40" s="27" t="s">
        <v>42</v>
      </c>
      <c r="B40" s="27" t="s">
        <v>158</v>
      </c>
      <c r="C40" s="27" t="s">
        <v>159</v>
      </c>
      <c r="D40" s="27" t="s">
        <v>160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10.0</v>
      </c>
      <c r="K40" s="33" t="n">
        <f>2094</f>
        <v>2094.0</v>
      </c>
      <c r="L40" s="34" t="s">
        <v>48</v>
      </c>
      <c r="M40" s="33" t="n">
        <f>2245</f>
        <v>2245.0</v>
      </c>
      <c r="N40" s="34" t="s">
        <v>161</v>
      </c>
      <c r="O40" s="33" t="n">
        <f>2069</f>
        <v>2069.0</v>
      </c>
      <c r="P40" s="34" t="s">
        <v>81</v>
      </c>
      <c r="Q40" s="33" t="n">
        <f>2145</f>
        <v>2145.0</v>
      </c>
      <c r="R40" s="34" t="s">
        <v>50</v>
      </c>
      <c r="S40" s="35" t="n">
        <f>2131.71</f>
        <v>2131.71</v>
      </c>
      <c r="T40" s="32" t="n">
        <f>12190</f>
        <v>12190.0</v>
      </c>
      <c r="U40" s="32" t="n">
        <f>10</f>
        <v>10.0</v>
      </c>
      <c r="V40" s="32" t="n">
        <f>26075150</f>
        <v>2.607515E7</v>
      </c>
      <c r="W40" s="32" t="n">
        <f>21250</f>
        <v>21250.0</v>
      </c>
      <c r="X40" s="36" t="n">
        <f>19</f>
        <v>19.0</v>
      </c>
    </row>
    <row r="41">
      <c r="A41" s="27" t="s">
        <v>42</v>
      </c>
      <c r="B41" s="27" t="s">
        <v>162</v>
      </c>
      <c r="C41" s="27" t="s">
        <v>163</v>
      </c>
      <c r="D41" s="27" t="s">
        <v>164</v>
      </c>
      <c r="E41" s="28" t="s">
        <v>165</v>
      </c>
      <c r="F41" s="29" t="s">
        <v>166</v>
      </c>
      <c r="G41" s="30" t="s">
        <v>167</v>
      </c>
      <c r="H41" s="31"/>
      <c r="I41" s="31" t="s">
        <v>47</v>
      </c>
      <c r="J41" s="32" t="n">
        <v>1.0</v>
      </c>
      <c r="K41" s="33" t="n">
        <f>2006</f>
        <v>2006.0</v>
      </c>
      <c r="L41" s="34" t="s">
        <v>70</v>
      </c>
      <c r="M41" s="33" t="n">
        <f>2006</f>
        <v>2006.0</v>
      </c>
      <c r="N41" s="34" t="s">
        <v>70</v>
      </c>
      <c r="O41" s="33" t="n">
        <f>1991</f>
        <v>1991.0</v>
      </c>
      <c r="P41" s="34" t="s">
        <v>50</v>
      </c>
      <c r="Q41" s="33" t="n">
        <f>1999</f>
        <v>1999.0</v>
      </c>
      <c r="R41" s="34" t="s">
        <v>50</v>
      </c>
      <c r="S41" s="35" t="n">
        <f>1999.5</f>
        <v>1999.5</v>
      </c>
      <c r="T41" s="32" t="n">
        <f>1505</f>
        <v>1505.0</v>
      </c>
      <c r="U41" s="32" t="str">
        <f>"－"</f>
        <v>－</v>
      </c>
      <c r="V41" s="32" t="n">
        <f>3009587</f>
        <v>3009587.0</v>
      </c>
      <c r="W41" s="32" t="str">
        <f>"－"</f>
        <v>－</v>
      </c>
      <c r="X41" s="36" t="n">
        <f>2</f>
        <v>2.0</v>
      </c>
    </row>
    <row r="42">
      <c r="A42" s="27" t="s">
        <v>42</v>
      </c>
      <c r="B42" s="27" t="s">
        <v>168</v>
      </c>
      <c r="C42" s="27" t="s">
        <v>169</v>
      </c>
      <c r="D42" s="27" t="s">
        <v>170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2949</f>
        <v>2949.0</v>
      </c>
      <c r="L42" s="34" t="s">
        <v>48</v>
      </c>
      <c r="M42" s="33" t="n">
        <f>2955</f>
        <v>2955.0</v>
      </c>
      <c r="N42" s="34" t="s">
        <v>74</v>
      </c>
      <c r="O42" s="33" t="n">
        <f>2680</f>
        <v>2680.0</v>
      </c>
      <c r="P42" s="34" t="s">
        <v>68</v>
      </c>
      <c r="Q42" s="33" t="n">
        <f>2694</f>
        <v>2694.0</v>
      </c>
      <c r="R42" s="34" t="s">
        <v>50</v>
      </c>
      <c r="S42" s="35" t="n">
        <f>2802.42</f>
        <v>2802.42</v>
      </c>
      <c r="T42" s="32" t="n">
        <f>4325964</f>
        <v>4325964.0</v>
      </c>
      <c r="U42" s="32" t="n">
        <f>1652600</f>
        <v>1652600.0</v>
      </c>
      <c r="V42" s="32" t="n">
        <f>11959319643</f>
        <v>1.1959319643E10</v>
      </c>
      <c r="W42" s="32" t="n">
        <f>4469574046</f>
        <v>4.469574046E9</v>
      </c>
      <c r="X42" s="36" t="n">
        <f>19</f>
        <v>19.0</v>
      </c>
    </row>
    <row r="43">
      <c r="A43" s="27" t="s">
        <v>42</v>
      </c>
      <c r="B43" s="27" t="s">
        <v>171</v>
      </c>
      <c r="C43" s="27" t="s">
        <v>172</v>
      </c>
      <c r="D43" s="27" t="s">
        <v>173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3495</f>
        <v>3495.0</v>
      </c>
      <c r="L43" s="34" t="s">
        <v>48</v>
      </c>
      <c r="M43" s="33" t="n">
        <f>3495</f>
        <v>3495.0</v>
      </c>
      <c r="N43" s="34" t="s">
        <v>48</v>
      </c>
      <c r="O43" s="33" t="n">
        <f>3275</f>
        <v>3275.0</v>
      </c>
      <c r="P43" s="34" t="s">
        <v>49</v>
      </c>
      <c r="Q43" s="33" t="n">
        <f>3295</f>
        <v>3295.0</v>
      </c>
      <c r="R43" s="34" t="s">
        <v>50</v>
      </c>
      <c r="S43" s="35" t="n">
        <f>3387.11</f>
        <v>3387.11</v>
      </c>
      <c r="T43" s="32" t="n">
        <f>1510693</f>
        <v>1510693.0</v>
      </c>
      <c r="U43" s="32" t="n">
        <f>1414674</f>
        <v>1414674.0</v>
      </c>
      <c r="V43" s="32" t="n">
        <f>5242589790</f>
        <v>5.24258979E9</v>
      </c>
      <c r="W43" s="32" t="n">
        <f>4918798595</f>
        <v>4.918798595E9</v>
      </c>
      <c r="X43" s="36" t="n">
        <f>19</f>
        <v>19.0</v>
      </c>
    </row>
    <row r="44">
      <c r="A44" s="27" t="s">
        <v>42</v>
      </c>
      <c r="B44" s="27" t="s">
        <v>174</v>
      </c>
      <c r="C44" s="27" t="s">
        <v>175</v>
      </c>
      <c r="D44" s="27" t="s">
        <v>176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28650</f>
        <v>28650.0</v>
      </c>
      <c r="L44" s="34" t="s">
        <v>48</v>
      </c>
      <c r="M44" s="33" t="n">
        <f>34300</f>
        <v>34300.0</v>
      </c>
      <c r="N44" s="34" t="s">
        <v>68</v>
      </c>
      <c r="O44" s="33" t="n">
        <f>28420</f>
        <v>28420.0</v>
      </c>
      <c r="P44" s="34" t="s">
        <v>74</v>
      </c>
      <c r="Q44" s="33" t="n">
        <f>33890</f>
        <v>33890.0</v>
      </c>
      <c r="R44" s="34" t="s">
        <v>50</v>
      </c>
      <c r="S44" s="35" t="n">
        <f>31582.89</f>
        <v>31582.89</v>
      </c>
      <c r="T44" s="32" t="n">
        <f>6418217</f>
        <v>6418217.0</v>
      </c>
      <c r="U44" s="32" t="n">
        <f>2540</f>
        <v>2540.0</v>
      </c>
      <c r="V44" s="32" t="n">
        <f>201708110975</f>
        <v>2.01708110975E11</v>
      </c>
      <c r="W44" s="32" t="n">
        <f>80355180</f>
        <v>8.035518E7</v>
      </c>
      <c r="X44" s="36" t="n">
        <f>19</f>
        <v>19.0</v>
      </c>
    </row>
    <row r="45">
      <c r="A45" s="27" t="s">
        <v>42</v>
      </c>
      <c r="B45" s="27" t="s">
        <v>177</v>
      </c>
      <c r="C45" s="27" t="s">
        <v>178</v>
      </c>
      <c r="D45" s="27" t="s">
        <v>179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721</f>
        <v>721.0</v>
      </c>
      <c r="L45" s="34" t="s">
        <v>48</v>
      </c>
      <c r="M45" s="33" t="n">
        <f>725</f>
        <v>725.0</v>
      </c>
      <c r="N45" s="34" t="s">
        <v>74</v>
      </c>
      <c r="O45" s="33" t="n">
        <f>594</f>
        <v>594.0</v>
      </c>
      <c r="P45" s="34" t="s">
        <v>68</v>
      </c>
      <c r="Q45" s="33" t="n">
        <f>601</f>
        <v>601.0</v>
      </c>
      <c r="R45" s="34" t="s">
        <v>50</v>
      </c>
      <c r="S45" s="35" t="n">
        <f>651.42</f>
        <v>651.42</v>
      </c>
      <c r="T45" s="32" t="n">
        <f>221771892</f>
        <v>2.21771892E8</v>
      </c>
      <c r="U45" s="32" t="n">
        <f>5725902</f>
        <v>5725902.0</v>
      </c>
      <c r="V45" s="32" t="n">
        <f>145178969556</f>
        <v>1.45178969556E11</v>
      </c>
      <c r="W45" s="32" t="n">
        <f>3481165410</f>
        <v>3.48116541E9</v>
      </c>
      <c r="X45" s="36" t="n">
        <f>19</f>
        <v>19.0</v>
      </c>
    </row>
    <row r="46">
      <c r="A46" s="27" t="s">
        <v>42</v>
      </c>
      <c r="B46" s="27" t="s">
        <v>180</v>
      </c>
      <c r="C46" s="27" t="s">
        <v>181</v>
      </c>
      <c r="D46" s="27" t="s">
        <v>182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25810</f>
        <v>25810.0</v>
      </c>
      <c r="L46" s="34" t="s">
        <v>48</v>
      </c>
      <c r="M46" s="33" t="n">
        <f>29235</f>
        <v>29235.0</v>
      </c>
      <c r="N46" s="34" t="s">
        <v>49</v>
      </c>
      <c r="O46" s="33" t="n">
        <f>25810</f>
        <v>25810.0</v>
      </c>
      <c r="P46" s="34" t="s">
        <v>48</v>
      </c>
      <c r="Q46" s="33" t="n">
        <f>28935</f>
        <v>28935.0</v>
      </c>
      <c r="R46" s="34" t="s">
        <v>50</v>
      </c>
      <c r="S46" s="35" t="n">
        <f>27427.89</f>
        <v>27427.89</v>
      </c>
      <c r="T46" s="32" t="n">
        <f>5421</f>
        <v>5421.0</v>
      </c>
      <c r="U46" s="32" t="str">
        <f>"－"</f>
        <v>－</v>
      </c>
      <c r="V46" s="32" t="n">
        <f>149441875</f>
        <v>1.49441875E8</v>
      </c>
      <c r="W46" s="32" t="str">
        <f>"－"</f>
        <v>－</v>
      </c>
      <c r="X46" s="36" t="n">
        <f>19</f>
        <v>19.0</v>
      </c>
    </row>
    <row r="47">
      <c r="A47" s="27" t="s">
        <v>42</v>
      </c>
      <c r="B47" s="27" t="s">
        <v>183</v>
      </c>
      <c r="C47" s="27" t="s">
        <v>184</v>
      </c>
      <c r="D47" s="27" t="s">
        <v>185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3345</f>
        <v>3345.0</v>
      </c>
      <c r="L47" s="34" t="s">
        <v>48</v>
      </c>
      <c r="M47" s="33" t="n">
        <f>3390</f>
        <v>3390.0</v>
      </c>
      <c r="N47" s="34" t="s">
        <v>81</v>
      </c>
      <c r="O47" s="33" t="n">
        <f>3175</f>
        <v>3175.0</v>
      </c>
      <c r="P47" s="34" t="s">
        <v>50</v>
      </c>
      <c r="Q47" s="33" t="n">
        <f>3175</f>
        <v>3175.0</v>
      </c>
      <c r="R47" s="34" t="s">
        <v>50</v>
      </c>
      <c r="S47" s="35" t="n">
        <f>3263.46</f>
        <v>3263.46</v>
      </c>
      <c r="T47" s="32" t="n">
        <f>139</f>
        <v>139.0</v>
      </c>
      <c r="U47" s="32" t="str">
        <f>"－"</f>
        <v>－</v>
      </c>
      <c r="V47" s="32" t="n">
        <f>459515</f>
        <v>459515.0</v>
      </c>
      <c r="W47" s="32" t="str">
        <f>"－"</f>
        <v>－</v>
      </c>
      <c r="X47" s="36" t="n">
        <f>13</f>
        <v>13.0</v>
      </c>
    </row>
    <row r="48">
      <c r="A48" s="27" t="s">
        <v>42</v>
      </c>
      <c r="B48" s="27" t="s">
        <v>186</v>
      </c>
      <c r="C48" s="27" t="s">
        <v>187</v>
      </c>
      <c r="D48" s="27" t="s">
        <v>188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875</f>
        <v>875.0</v>
      </c>
      <c r="L48" s="34" t="s">
        <v>48</v>
      </c>
      <c r="M48" s="33" t="n">
        <f>876</f>
        <v>876.0</v>
      </c>
      <c r="N48" s="34" t="s">
        <v>48</v>
      </c>
      <c r="O48" s="33" t="n">
        <f>765</f>
        <v>765.0</v>
      </c>
      <c r="P48" s="34" t="s">
        <v>49</v>
      </c>
      <c r="Q48" s="33" t="n">
        <f>778</f>
        <v>778.0</v>
      </c>
      <c r="R48" s="34" t="s">
        <v>50</v>
      </c>
      <c r="S48" s="35" t="n">
        <f>822.37</f>
        <v>822.37</v>
      </c>
      <c r="T48" s="32" t="n">
        <f>35365</f>
        <v>35365.0</v>
      </c>
      <c r="U48" s="32" t="str">
        <f>"－"</f>
        <v>－</v>
      </c>
      <c r="V48" s="32" t="n">
        <f>28519685</f>
        <v>2.8519685E7</v>
      </c>
      <c r="W48" s="32" t="str">
        <f>"－"</f>
        <v>－</v>
      </c>
      <c r="X48" s="36" t="n">
        <f>19</f>
        <v>19.0</v>
      </c>
    </row>
    <row r="49">
      <c r="A49" s="27" t="s">
        <v>42</v>
      </c>
      <c r="B49" s="27" t="s">
        <v>189</v>
      </c>
      <c r="C49" s="27" t="s">
        <v>190</v>
      </c>
      <c r="D49" s="27" t="s">
        <v>191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10.0</v>
      </c>
      <c r="K49" s="33" t="n">
        <f>847</f>
        <v>847.0</v>
      </c>
      <c r="L49" s="34" t="s">
        <v>48</v>
      </c>
      <c r="M49" s="33" t="n">
        <f>850.5</f>
        <v>850.5</v>
      </c>
      <c r="N49" s="34" t="s">
        <v>48</v>
      </c>
      <c r="O49" s="33" t="n">
        <f>750</f>
        <v>750.0</v>
      </c>
      <c r="P49" s="34" t="s">
        <v>68</v>
      </c>
      <c r="Q49" s="33" t="n">
        <f>763.2</f>
        <v>763.2</v>
      </c>
      <c r="R49" s="34" t="s">
        <v>50</v>
      </c>
      <c r="S49" s="35" t="n">
        <f>802.88</f>
        <v>802.88</v>
      </c>
      <c r="T49" s="32" t="n">
        <f>127310</f>
        <v>127310.0</v>
      </c>
      <c r="U49" s="32" t="str">
        <f>"－"</f>
        <v>－</v>
      </c>
      <c r="V49" s="32" t="n">
        <f>100177048</f>
        <v>1.00177048E8</v>
      </c>
      <c r="W49" s="32" t="str">
        <f>"－"</f>
        <v>－</v>
      </c>
      <c r="X49" s="36" t="n">
        <f>19</f>
        <v>19.0</v>
      </c>
    </row>
    <row r="50">
      <c r="A50" s="27" t="s">
        <v>42</v>
      </c>
      <c r="B50" s="27" t="s">
        <v>192</v>
      </c>
      <c r="C50" s="27" t="s">
        <v>193</v>
      </c>
      <c r="D50" s="27" t="s">
        <v>194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352</f>
        <v>352.0</v>
      </c>
      <c r="L50" s="34" t="s">
        <v>48</v>
      </c>
      <c r="M50" s="33" t="n">
        <f>353</f>
        <v>353.0</v>
      </c>
      <c r="N50" s="34" t="s">
        <v>48</v>
      </c>
      <c r="O50" s="33" t="n">
        <f>303</f>
        <v>303.0</v>
      </c>
      <c r="P50" s="34" t="s">
        <v>49</v>
      </c>
      <c r="Q50" s="33" t="n">
        <f>310</f>
        <v>310.0</v>
      </c>
      <c r="R50" s="34" t="s">
        <v>50</v>
      </c>
      <c r="S50" s="35" t="n">
        <f>328.63</f>
        <v>328.63</v>
      </c>
      <c r="T50" s="32" t="n">
        <f>86408</f>
        <v>86408.0</v>
      </c>
      <c r="U50" s="32" t="str">
        <f>"－"</f>
        <v>－</v>
      </c>
      <c r="V50" s="32" t="n">
        <f>28571481</f>
        <v>2.8571481E7</v>
      </c>
      <c r="W50" s="32" t="str">
        <f>"－"</f>
        <v>－</v>
      </c>
      <c r="X50" s="36" t="n">
        <f>19</f>
        <v>19.0</v>
      </c>
    </row>
    <row r="51">
      <c r="A51" s="27" t="s">
        <v>42</v>
      </c>
      <c r="B51" s="27" t="s">
        <v>195</v>
      </c>
      <c r="C51" s="27" t="s">
        <v>196</v>
      </c>
      <c r="D51" s="27" t="s">
        <v>197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10.0</v>
      </c>
      <c r="K51" s="33" t="n">
        <f>2569</f>
        <v>2569.0</v>
      </c>
      <c r="L51" s="34" t="s">
        <v>48</v>
      </c>
      <c r="M51" s="33" t="n">
        <f>2742.5</f>
        <v>2742.5</v>
      </c>
      <c r="N51" s="34" t="s">
        <v>50</v>
      </c>
      <c r="O51" s="33" t="n">
        <f>2566</f>
        <v>2566.0</v>
      </c>
      <c r="P51" s="34" t="s">
        <v>48</v>
      </c>
      <c r="Q51" s="33" t="n">
        <f>2742</f>
        <v>2742.0</v>
      </c>
      <c r="R51" s="34" t="s">
        <v>50</v>
      </c>
      <c r="S51" s="35" t="n">
        <f>2645.34</f>
        <v>2645.34</v>
      </c>
      <c r="T51" s="32" t="n">
        <f>980760</f>
        <v>980760.0</v>
      </c>
      <c r="U51" s="32" t="n">
        <f>420100</f>
        <v>420100.0</v>
      </c>
      <c r="V51" s="32" t="n">
        <f>2643654678</f>
        <v>2.643654678E9</v>
      </c>
      <c r="W51" s="32" t="n">
        <f>1140131343</f>
        <v>1.140131343E9</v>
      </c>
      <c r="X51" s="36" t="n">
        <f>19</f>
        <v>19.0</v>
      </c>
    </row>
    <row r="52">
      <c r="A52" s="27" t="s">
        <v>42</v>
      </c>
      <c r="B52" s="27" t="s">
        <v>198</v>
      </c>
      <c r="C52" s="27" t="s">
        <v>199</v>
      </c>
      <c r="D52" s="27" t="s">
        <v>200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23110</f>
        <v>23110.0</v>
      </c>
      <c r="L52" s="34" t="s">
        <v>48</v>
      </c>
      <c r="M52" s="33" t="n">
        <f>24510</f>
        <v>24510.0</v>
      </c>
      <c r="N52" s="34" t="s">
        <v>49</v>
      </c>
      <c r="O52" s="33" t="n">
        <f>23105</f>
        <v>23105.0</v>
      </c>
      <c r="P52" s="34" t="s">
        <v>74</v>
      </c>
      <c r="Q52" s="33" t="n">
        <f>24430</f>
        <v>24430.0</v>
      </c>
      <c r="R52" s="34" t="s">
        <v>50</v>
      </c>
      <c r="S52" s="35" t="n">
        <f>23781.05</f>
        <v>23781.05</v>
      </c>
      <c r="T52" s="32" t="n">
        <f>782</f>
        <v>782.0</v>
      </c>
      <c r="U52" s="32" t="str">
        <f>"－"</f>
        <v>－</v>
      </c>
      <c r="V52" s="32" t="n">
        <f>18670345</f>
        <v>1.8670345E7</v>
      </c>
      <c r="W52" s="32" t="str">
        <f>"－"</f>
        <v>－</v>
      </c>
      <c r="X52" s="36" t="n">
        <f>19</f>
        <v>19.0</v>
      </c>
    </row>
    <row r="53">
      <c r="A53" s="27" t="s">
        <v>42</v>
      </c>
      <c r="B53" s="27" t="s">
        <v>201</v>
      </c>
      <c r="C53" s="27" t="s">
        <v>202</v>
      </c>
      <c r="D53" s="27" t="s">
        <v>203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1.0</v>
      </c>
      <c r="K53" s="33" t="n">
        <f>2619</f>
        <v>2619.0</v>
      </c>
      <c r="L53" s="34" t="s">
        <v>48</v>
      </c>
      <c r="M53" s="33" t="n">
        <f>2759</f>
        <v>2759.0</v>
      </c>
      <c r="N53" s="34" t="s">
        <v>49</v>
      </c>
      <c r="O53" s="33" t="n">
        <f>2605</f>
        <v>2605.0</v>
      </c>
      <c r="P53" s="34" t="s">
        <v>69</v>
      </c>
      <c r="Q53" s="33" t="n">
        <f>2742</f>
        <v>2742.0</v>
      </c>
      <c r="R53" s="34" t="s">
        <v>50</v>
      </c>
      <c r="S53" s="35" t="n">
        <f>2678.16</f>
        <v>2678.16</v>
      </c>
      <c r="T53" s="32" t="n">
        <f>7825478</f>
        <v>7825478.0</v>
      </c>
      <c r="U53" s="32" t="n">
        <f>2206776</f>
        <v>2206776.0</v>
      </c>
      <c r="V53" s="32" t="n">
        <f>20894316390</f>
        <v>2.089431639E10</v>
      </c>
      <c r="W53" s="32" t="n">
        <f>5869004030</f>
        <v>5.86900403E9</v>
      </c>
      <c r="X53" s="36" t="n">
        <f>19</f>
        <v>19.0</v>
      </c>
    </row>
    <row r="54">
      <c r="A54" s="27" t="s">
        <v>42</v>
      </c>
      <c r="B54" s="27" t="s">
        <v>204</v>
      </c>
      <c r="C54" s="27" t="s">
        <v>205</v>
      </c>
      <c r="D54" s="27" t="s">
        <v>206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1.0</v>
      </c>
      <c r="K54" s="33" t="n">
        <f>1865</f>
        <v>1865.0</v>
      </c>
      <c r="L54" s="34" t="s">
        <v>48</v>
      </c>
      <c r="M54" s="33" t="n">
        <f>1875</f>
        <v>1875.0</v>
      </c>
      <c r="N54" s="34" t="s">
        <v>61</v>
      </c>
      <c r="O54" s="33" t="n">
        <f>1730</f>
        <v>1730.0</v>
      </c>
      <c r="P54" s="34" t="s">
        <v>109</v>
      </c>
      <c r="Q54" s="33" t="n">
        <f>1761</f>
        <v>1761.0</v>
      </c>
      <c r="R54" s="34" t="s">
        <v>50</v>
      </c>
      <c r="S54" s="35" t="n">
        <f>1796.95</f>
        <v>1796.95</v>
      </c>
      <c r="T54" s="32" t="n">
        <f>14425450</f>
        <v>1.442545E7</v>
      </c>
      <c r="U54" s="32" t="n">
        <f>3486657</f>
        <v>3486657.0</v>
      </c>
      <c r="V54" s="32" t="n">
        <f>25502666600</f>
        <v>2.55026666E10</v>
      </c>
      <c r="W54" s="32" t="n">
        <f>6191320044</f>
        <v>6.191320044E9</v>
      </c>
      <c r="X54" s="36" t="n">
        <f>19</f>
        <v>19.0</v>
      </c>
    </row>
    <row r="55">
      <c r="A55" s="27" t="s">
        <v>42</v>
      </c>
      <c r="B55" s="27" t="s">
        <v>207</v>
      </c>
      <c r="C55" s="27" t="s">
        <v>208</v>
      </c>
      <c r="D55" s="27" t="s">
        <v>209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2427</f>
        <v>2427.0</v>
      </c>
      <c r="L55" s="34" t="s">
        <v>48</v>
      </c>
      <c r="M55" s="33" t="n">
        <f>2571</f>
        <v>2571.0</v>
      </c>
      <c r="N55" s="34" t="s">
        <v>210</v>
      </c>
      <c r="O55" s="33" t="n">
        <f>2403</f>
        <v>2403.0</v>
      </c>
      <c r="P55" s="34" t="s">
        <v>69</v>
      </c>
      <c r="Q55" s="33" t="n">
        <f>2500</f>
        <v>2500.0</v>
      </c>
      <c r="R55" s="34" t="s">
        <v>50</v>
      </c>
      <c r="S55" s="35" t="n">
        <f>2455.37</f>
        <v>2455.37</v>
      </c>
      <c r="T55" s="32" t="n">
        <f>22017</f>
        <v>22017.0</v>
      </c>
      <c r="U55" s="32" t="n">
        <f>6040</f>
        <v>6040.0</v>
      </c>
      <c r="V55" s="32" t="n">
        <f>54223538</f>
        <v>5.4223538E7</v>
      </c>
      <c r="W55" s="32" t="n">
        <f>15074826</f>
        <v>1.5074826E7</v>
      </c>
      <c r="X55" s="36" t="n">
        <f>19</f>
        <v>19.0</v>
      </c>
    </row>
    <row r="56">
      <c r="A56" s="27" t="s">
        <v>42</v>
      </c>
      <c r="B56" s="27" t="s">
        <v>211</v>
      </c>
      <c r="C56" s="27" t="s">
        <v>212</v>
      </c>
      <c r="D56" s="27" t="s">
        <v>213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3475</f>
        <v>3475.0</v>
      </c>
      <c r="L56" s="34" t="s">
        <v>48</v>
      </c>
      <c r="M56" s="33" t="n">
        <f>3540</f>
        <v>3540.0</v>
      </c>
      <c r="N56" s="34" t="s">
        <v>68</v>
      </c>
      <c r="O56" s="33" t="n">
        <f>3375</f>
        <v>3375.0</v>
      </c>
      <c r="P56" s="34" t="s">
        <v>214</v>
      </c>
      <c r="Q56" s="33" t="n">
        <f>3510</f>
        <v>3510.0</v>
      </c>
      <c r="R56" s="34" t="s">
        <v>50</v>
      </c>
      <c r="S56" s="35" t="n">
        <f>3476.05</f>
        <v>3476.05</v>
      </c>
      <c r="T56" s="32" t="n">
        <f>1341570</f>
        <v>1341570.0</v>
      </c>
      <c r="U56" s="32" t="n">
        <f>734003</f>
        <v>734003.0</v>
      </c>
      <c r="V56" s="32" t="n">
        <f>4655500521</f>
        <v>4.655500521E9</v>
      </c>
      <c r="W56" s="32" t="n">
        <f>2548259571</f>
        <v>2.548259571E9</v>
      </c>
      <c r="X56" s="36" t="n">
        <f>19</f>
        <v>19.0</v>
      </c>
    </row>
    <row r="57">
      <c r="A57" s="27" t="s">
        <v>42</v>
      </c>
      <c r="B57" s="27" t="s">
        <v>215</v>
      </c>
      <c r="C57" s="27" t="s">
        <v>216</v>
      </c>
      <c r="D57" s="27" t="s">
        <v>217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32550</f>
        <v>32550.0</v>
      </c>
      <c r="L57" s="34" t="s">
        <v>81</v>
      </c>
      <c r="M57" s="33" t="n">
        <f>34840</f>
        <v>34840.0</v>
      </c>
      <c r="N57" s="34" t="s">
        <v>49</v>
      </c>
      <c r="O57" s="33" t="n">
        <f>32500</f>
        <v>32500.0</v>
      </c>
      <c r="P57" s="34" t="s">
        <v>81</v>
      </c>
      <c r="Q57" s="33" t="n">
        <f>34600</f>
        <v>34600.0</v>
      </c>
      <c r="R57" s="34" t="s">
        <v>50</v>
      </c>
      <c r="S57" s="35" t="n">
        <f>33809.23</f>
        <v>33809.23</v>
      </c>
      <c r="T57" s="32" t="n">
        <f>188</f>
        <v>188.0</v>
      </c>
      <c r="U57" s="32" t="str">
        <f>"－"</f>
        <v>－</v>
      </c>
      <c r="V57" s="32" t="n">
        <f>6339630</f>
        <v>6339630.0</v>
      </c>
      <c r="W57" s="32" t="str">
        <f>"－"</f>
        <v>－</v>
      </c>
      <c r="X57" s="36" t="n">
        <f>13</f>
        <v>13.0</v>
      </c>
    </row>
    <row r="58">
      <c r="A58" s="27" t="s">
        <v>42</v>
      </c>
      <c r="B58" s="27" t="s">
        <v>218</v>
      </c>
      <c r="C58" s="27" t="s">
        <v>219</v>
      </c>
      <c r="D58" s="27" t="s">
        <v>220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25605</f>
        <v>25605.0</v>
      </c>
      <c r="L58" s="34" t="s">
        <v>81</v>
      </c>
      <c r="M58" s="33" t="n">
        <f>27180</f>
        <v>27180.0</v>
      </c>
      <c r="N58" s="34" t="s">
        <v>68</v>
      </c>
      <c r="O58" s="33" t="n">
        <f>25585</f>
        <v>25585.0</v>
      </c>
      <c r="P58" s="34" t="s">
        <v>81</v>
      </c>
      <c r="Q58" s="33" t="n">
        <f>27130</f>
        <v>27130.0</v>
      </c>
      <c r="R58" s="34" t="s">
        <v>49</v>
      </c>
      <c r="S58" s="35" t="n">
        <f>26301.15</f>
        <v>26301.15</v>
      </c>
      <c r="T58" s="32" t="n">
        <f>225</f>
        <v>225.0</v>
      </c>
      <c r="U58" s="32" t="str">
        <f>"－"</f>
        <v>－</v>
      </c>
      <c r="V58" s="32" t="n">
        <f>5976545</f>
        <v>5976545.0</v>
      </c>
      <c r="W58" s="32" t="str">
        <f>"－"</f>
        <v>－</v>
      </c>
      <c r="X58" s="36" t="n">
        <f>13</f>
        <v>13.0</v>
      </c>
    </row>
    <row r="59">
      <c r="A59" s="27" t="s">
        <v>42</v>
      </c>
      <c r="B59" s="27" t="s">
        <v>221</v>
      </c>
      <c r="C59" s="27" t="s">
        <v>222</v>
      </c>
      <c r="D59" s="27" t="s">
        <v>223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2649</f>
        <v>2649.0</v>
      </c>
      <c r="L59" s="34" t="s">
        <v>48</v>
      </c>
      <c r="M59" s="33" t="n">
        <f>2739</f>
        <v>2739.0</v>
      </c>
      <c r="N59" s="34" t="s">
        <v>49</v>
      </c>
      <c r="O59" s="33" t="n">
        <f>2499</f>
        <v>2499.0</v>
      </c>
      <c r="P59" s="34" t="s">
        <v>61</v>
      </c>
      <c r="Q59" s="33" t="n">
        <f>2697</f>
        <v>2697.0</v>
      </c>
      <c r="R59" s="34" t="s">
        <v>50</v>
      </c>
      <c r="S59" s="35" t="n">
        <f>2648.26</f>
        <v>2648.26</v>
      </c>
      <c r="T59" s="32" t="n">
        <f>4740</f>
        <v>4740.0</v>
      </c>
      <c r="U59" s="32" t="str">
        <f>"－"</f>
        <v>－</v>
      </c>
      <c r="V59" s="32" t="n">
        <f>12282685</f>
        <v>1.2282685E7</v>
      </c>
      <c r="W59" s="32" t="str">
        <f>"－"</f>
        <v>－</v>
      </c>
      <c r="X59" s="36" t="n">
        <f>19</f>
        <v>19.0</v>
      </c>
    </row>
    <row r="60">
      <c r="A60" s="27" t="s">
        <v>42</v>
      </c>
      <c r="B60" s="27" t="s">
        <v>224</v>
      </c>
      <c r="C60" s="27" t="s">
        <v>225</v>
      </c>
      <c r="D60" s="27" t="s">
        <v>226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1794</f>
        <v>1794.0</v>
      </c>
      <c r="L60" s="34" t="s">
        <v>48</v>
      </c>
      <c r="M60" s="33" t="n">
        <f>1800</f>
        <v>1800.0</v>
      </c>
      <c r="N60" s="34" t="s">
        <v>81</v>
      </c>
      <c r="O60" s="33" t="n">
        <f>1734</f>
        <v>1734.0</v>
      </c>
      <c r="P60" s="34" t="s">
        <v>109</v>
      </c>
      <c r="Q60" s="33" t="n">
        <f>1742</f>
        <v>1742.0</v>
      </c>
      <c r="R60" s="34" t="s">
        <v>50</v>
      </c>
      <c r="S60" s="35" t="n">
        <f>1755.79</f>
        <v>1755.79</v>
      </c>
      <c r="T60" s="32" t="n">
        <f>10720465</f>
        <v>1.0720465E7</v>
      </c>
      <c r="U60" s="32" t="n">
        <f>7144836</f>
        <v>7144836.0</v>
      </c>
      <c r="V60" s="32" t="n">
        <f>18813072828</f>
        <v>1.8813072828E10</v>
      </c>
      <c r="W60" s="32" t="n">
        <f>12543278337</f>
        <v>1.2543278337E10</v>
      </c>
      <c r="X60" s="36" t="n">
        <f>19</f>
        <v>19.0</v>
      </c>
    </row>
    <row r="61">
      <c r="A61" s="27" t="s">
        <v>42</v>
      </c>
      <c r="B61" s="27" t="s">
        <v>227</v>
      </c>
      <c r="C61" s="27" t="s">
        <v>228</v>
      </c>
      <c r="D61" s="27" t="s">
        <v>229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2640</f>
        <v>2640.0</v>
      </c>
      <c r="L61" s="34" t="s">
        <v>48</v>
      </c>
      <c r="M61" s="33" t="n">
        <f>2715</f>
        <v>2715.0</v>
      </c>
      <c r="N61" s="34" t="s">
        <v>70</v>
      </c>
      <c r="O61" s="33" t="n">
        <f>2509</f>
        <v>2509.0</v>
      </c>
      <c r="P61" s="34" t="s">
        <v>210</v>
      </c>
      <c r="Q61" s="33" t="n">
        <f>2686</f>
        <v>2686.0</v>
      </c>
      <c r="R61" s="34" t="s">
        <v>50</v>
      </c>
      <c r="S61" s="35" t="n">
        <f>2632.33</f>
        <v>2632.33</v>
      </c>
      <c r="T61" s="32" t="n">
        <f>2131</f>
        <v>2131.0</v>
      </c>
      <c r="U61" s="32" t="str">
        <f>"－"</f>
        <v>－</v>
      </c>
      <c r="V61" s="32" t="n">
        <f>5639356</f>
        <v>5639356.0</v>
      </c>
      <c r="W61" s="32" t="str">
        <f>"－"</f>
        <v>－</v>
      </c>
      <c r="X61" s="36" t="n">
        <f>18</f>
        <v>18.0</v>
      </c>
    </row>
    <row r="62">
      <c r="A62" s="27" t="s">
        <v>42</v>
      </c>
      <c r="B62" s="27" t="s">
        <v>230</v>
      </c>
      <c r="C62" s="27" t="s">
        <v>231</v>
      </c>
      <c r="D62" s="27" t="s">
        <v>232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10.0</v>
      </c>
      <c r="K62" s="33" t="n">
        <f>2574</f>
        <v>2574.0</v>
      </c>
      <c r="L62" s="34" t="s">
        <v>48</v>
      </c>
      <c r="M62" s="33" t="n">
        <f>2704</f>
        <v>2704.0</v>
      </c>
      <c r="N62" s="34" t="s">
        <v>68</v>
      </c>
      <c r="O62" s="33" t="n">
        <f>2556</f>
        <v>2556.0</v>
      </c>
      <c r="P62" s="34" t="s">
        <v>69</v>
      </c>
      <c r="Q62" s="33" t="n">
        <f>2668</f>
        <v>2668.0</v>
      </c>
      <c r="R62" s="34" t="s">
        <v>50</v>
      </c>
      <c r="S62" s="35" t="n">
        <f>2617.08</f>
        <v>2617.08</v>
      </c>
      <c r="T62" s="32" t="n">
        <f>45930</f>
        <v>45930.0</v>
      </c>
      <c r="U62" s="32" t="str">
        <f>"－"</f>
        <v>－</v>
      </c>
      <c r="V62" s="32" t="n">
        <f>119384620</f>
        <v>1.1938462E8</v>
      </c>
      <c r="W62" s="32" t="str">
        <f>"－"</f>
        <v>－</v>
      </c>
      <c r="X62" s="36" t="n">
        <f>19</f>
        <v>19.0</v>
      </c>
    </row>
    <row r="63">
      <c r="A63" s="27" t="s">
        <v>42</v>
      </c>
      <c r="B63" s="27" t="s">
        <v>233</v>
      </c>
      <c r="C63" s="27" t="s">
        <v>234</v>
      </c>
      <c r="D63" s="27" t="s">
        <v>235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1.0</v>
      </c>
      <c r="K63" s="33" t="n">
        <f>38650</f>
        <v>38650.0</v>
      </c>
      <c r="L63" s="34" t="s">
        <v>236</v>
      </c>
      <c r="M63" s="33" t="n">
        <f>44520</f>
        <v>44520.0</v>
      </c>
      <c r="N63" s="34" t="s">
        <v>105</v>
      </c>
      <c r="O63" s="33" t="n">
        <f>36530</f>
        <v>36530.0</v>
      </c>
      <c r="P63" s="34" t="s">
        <v>74</v>
      </c>
      <c r="Q63" s="33" t="n">
        <f>37850</f>
        <v>37850.0</v>
      </c>
      <c r="R63" s="34" t="s">
        <v>70</v>
      </c>
      <c r="S63" s="35" t="n">
        <f>38410</f>
        <v>38410.0</v>
      </c>
      <c r="T63" s="32" t="n">
        <f>63</f>
        <v>63.0</v>
      </c>
      <c r="U63" s="32" t="str">
        <f>"－"</f>
        <v>－</v>
      </c>
      <c r="V63" s="32" t="n">
        <f>2451500</f>
        <v>2451500.0</v>
      </c>
      <c r="W63" s="32" t="str">
        <f>"－"</f>
        <v>－</v>
      </c>
      <c r="X63" s="36" t="n">
        <f>7</f>
        <v>7.0</v>
      </c>
    </row>
    <row r="64">
      <c r="A64" s="27" t="s">
        <v>42</v>
      </c>
      <c r="B64" s="27" t="s">
        <v>237</v>
      </c>
      <c r="C64" s="27" t="s">
        <v>238</v>
      </c>
      <c r="D64" s="27" t="s">
        <v>239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1.0</v>
      </c>
      <c r="K64" s="33" t="n">
        <f>23240</f>
        <v>23240.0</v>
      </c>
      <c r="L64" s="34" t="s">
        <v>48</v>
      </c>
      <c r="M64" s="33" t="n">
        <f>23305</f>
        <v>23305.0</v>
      </c>
      <c r="N64" s="34" t="s">
        <v>50</v>
      </c>
      <c r="O64" s="33" t="n">
        <f>23110</f>
        <v>23110.0</v>
      </c>
      <c r="P64" s="34" t="s">
        <v>74</v>
      </c>
      <c r="Q64" s="33" t="n">
        <f>23175</f>
        <v>23175.0</v>
      </c>
      <c r="R64" s="34" t="s">
        <v>50</v>
      </c>
      <c r="S64" s="35" t="n">
        <f>23216.32</f>
        <v>23216.32</v>
      </c>
      <c r="T64" s="32" t="n">
        <f>266274</f>
        <v>266274.0</v>
      </c>
      <c r="U64" s="32" t="n">
        <f>244002</f>
        <v>244002.0</v>
      </c>
      <c r="V64" s="32" t="n">
        <f>6195130001</f>
        <v>6.195130001E9</v>
      </c>
      <c r="W64" s="32" t="n">
        <f>5678009296</f>
        <v>5.678009296E9</v>
      </c>
      <c r="X64" s="36" t="n">
        <f>19</f>
        <v>19.0</v>
      </c>
    </row>
    <row r="65">
      <c r="A65" s="27" t="s">
        <v>42</v>
      </c>
      <c r="B65" s="27" t="s">
        <v>240</v>
      </c>
      <c r="C65" s="27" t="s">
        <v>241</v>
      </c>
      <c r="D65" s="27" t="s">
        <v>242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1.0</v>
      </c>
      <c r="K65" s="33" t="n">
        <f>13710</f>
        <v>13710.0</v>
      </c>
      <c r="L65" s="34" t="s">
        <v>48</v>
      </c>
      <c r="M65" s="33" t="n">
        <f>13810</f>
        <v>13810.0</v>
      </c>
      <c r="N65" s="34" t="s">
        <v>81</v>
      </c>
      <c r="O65" s="33" t="n">
        <f>13300</f>
        <v>13300.0</v>
      </c>
      <c r="P65" s="34" t="s">
        <v>109</v>
      </c>
      <c r="Q65" s="33" t="n">
        <f>13360</f>
        <v>13360.0</v>
      </c>
      <c r="R65" s="34" t="s">
        <v>50</v>
      </c>
      <c r="S65" s="35" t="n">
        <f>13464.74</f>
        <v>13464.74</v>
      </c>
      <c r="T65" s="32" t="n">
        <f>782663</f>
        <v>782663.0</v>
      </c>
      <c r="U65" s="32" t="n">
        <f>689107</f>
        <v>689107.0</v>
      </c>
      <c r="V65" s="32" t="n">
        <f>10472506139</f>
        <v>1.0472506139E10</v>
      </c>
      <c r="W65" s="32" t="n">
        <f>9215405654</f>
        <v>9.215405654E9</v>
      </c>
      <c r="X65" s="36" t="n">
        <f>19</f>
        <v>19.0</v>
      </c>
    </row>
    <row r="66">
      <c r="A66" s="27" t="s">
        <v>42</v>
      </c>
      <c r="B66" s="27" t="s">
        <v>243</v>
      </c>
      <c r="C66" s="27" t="s">
        <v>244</v>
      </c>
      <c r="D66" s="27" t="s">
        <v>245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10.0</v>
      </c>
      <c r="K66" s="33" t="n">
        <f>1854.5</f>
        <v>1854.5</v>
      </c>
      <c r="L66" s="34" t="s">
        <v>48</v>
      </c>
      <c r="M66" s="33" t="n">
        <f>1873</f>
        <v>1873.0</v>
      </c>
      <c r="N66" s="34" t="s">
        <v>61</v>
      </c>
      <c r="O66" s="33" t="n">
        <f>1745.5</f>
        <v>1745.5</v>
      </c>
      <c r="P66" s="34" t="s">
        <v>109</v>
      </c>
      <c r="Q66" s="33" t="n">
        <f>1775.5</f>
        <v>1775.5</v>
      </c>
      <c r="R66" s="34" t="s">
        <v>50</v>
      </c>
      <c r="S66" s="35" t="n">
        <f>1807.29</f>
        <v>1807.29</v>
      </c>
      <c r="T66" s="32" t="n">
        <f>4892530</f>
        <v>4892530.0</v>
      </c>
      <c r="U66" s="32" t="n">
        <f>2277600</f>
        <v>2277600.0</v>
      </c>
      <c r="V66" s="32" t="n">
        <f>8789626577</f>
        <v>8.789626577E9</v>
      </c>
      <c r="W66" s="32" t="n">
        <f>4074266647</f>
        <v>4.074266647E9</v>
      </c>
      <c r="X66" s="36" t="n">
        <f>19</f>
        <v>19.0</v>
      </c>
    </row>
    <row r="67">
      <c r="A67" s="27" t="s">
        <v>42</v>
      </c>
      <c r="B67" s="27" t="s">
        <v>246</v>
      </c>
      <c r="C67" s="27" t="s">
        <v>247</v>
      </c>
      <c r="D67" s="27" t="s">
        <v>248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2125</f>
        <v>2125.0</v>
      </c>
      <c r="L67" s="34" t="s">
        <v>48</v>
      </c>
      <c r="M67" s="33" t="n">
        <f>2232</f>
        <v>2232.0</v>
      </c>
      <c r="N67" s="34" t="s">
        <v>49</v>
      </c>
      <c r="O67" s="33" t="n">
        <f>2080</f>
        <v>2080.0</v>
      </c>
      <c r="P67" s="34" t="s">
        <v>214</v>
      </c>
      <c r="Q67" s="33" t="n">
        <f>2216</f>
        <v>2216.0</v>
      </c>
      <c r="R67" s="34" t="s">
        <v>50</v>
      </c>
      <c r="S67" s="35" t="n">
        <f>2152.79</f>
        <v>2152.79</v>
      </c>
      <c r="T67" s="32" t="n">
        <f>17501944</f>
        <v>1.7501944E7</v>
      </c>
      <c r="U67" s="32" t="n">
        <f>1759801</f>
        <v>1759801.0</v>
      </c>
      <c r="V67" s="32" t="n">
        <f>37677786491</f>
        <v>3.7677786491E10</v>
      </c>
      <c r="W67" s="32" t="n">
        <f>3755688826</f>
        <v>3.755688826E9</v>
      </c>
      <c r="X67" s="36" t="n">
        <f>19</f>
        <v>19.0</v>
      </c>
    </row>
    <row r="68">
      <c r="A68" s="27" t="s">
        <v>42</v>
      </c>
      <c r="B68" s="27" t="s">
        <v>249</v>
      </c>
      <c r="C68" s="27" t="s">
        <v>250</v>
      </c>
      <c r="D68" s="27" t="s">
        <v>251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10.0</v>
      </c>
      <c r="K68" s="33" t="n">
        <f>7880</f>
        <v>7880.0</v>
      </c>
      <c r="L68" s="34" t="s">
        <v>210</v>
      </c>
      <c r="M68" s="33" t="n">
        <f>7880</f>
        <v>7880.0</v>
      </c>
      <c r="N68" s="34" t="s">
        <v>210</v>
      </c>
      <c r="O68" s="33" t="n">
        <f>7730</f>
        <v>7730.0</v>
      </c>
      <c r="P68" s="34" t="s">
        <v>50</v>
      </c>
      <c r="Q68" s="33" t="n">
        <f>7730</f>
        <v>7730.0</v>
      </c>
      <c r="R68" s="34" t="s">
        <v>50</v>
      </c>
      <c r="S68" s="35" t="n">
        <f>7805</f>
        <v>7805.0</v>
      </c>
      <c r="T68" s="32" t="n">
        <f>20</f>
        <v>20.0</v>
      </c>
      <c r="U68" s="32" t="str">
        <f>"－"</f>
        <v>－</v>
      </c>
      <c r="V68" s="32" t="n">
        <f>156100</f>
        <v>156100.0</v>
      </c>
      <c r="W68" s="32" t="str">
        <f>"－"</f>
        <v>－</v>
      </c>
      <c r="X68" s="36" t="n">
        <f>2</f>
        <v>2.0</v>
      </c>
    </row>
    <row r="69">
      <c r="A69" s="27" t="s">
        <v>42</v>
      </c>
      <c r="B69" s="27" t="s">
        <v>252</v>
      </c>
      <c r="C69" s="27" t="s">
        <v>253</v>
      </c>
      <c r="D69" s="27" t="s">
        <v>254</v>
      </c>
      <c r="E69" s="28" t="s">
        <v>46</v>
      </c>
      <c r="F69" s="29" t="s">
        <v>46</v>
      </c>
      <c r="G69" s="30" t="s">
        <v>46</v>
      </c>
      <c r="H69" s="31" t="s">
        <v>255</v>
      </c>
      <c r="I69" s="31" t="s">
        <v>47</v>
      </c>
      <c r="J69" s="32" t="n">
        <v>1.0</v>
      </c>
      <c r="K69" s="33" t="n">
        <f>18600</f>
        <v>18600.0</v>
      </c>
      <c r="L69" s="34" t="s">
        <v>48</v>
      </c>
      <c r="M69" s="33" t="n">
        <f>18860</f>
        <v>18860.0</v>
      </c>
      <c r="N69" s="34" t="s">
        <v>48</v>
      </c>
      <c r="O69" s="33" t="n">
        <f>17680</f>
        <v>17680.0</v>
      </c>
      <c r="P69" s="34" t="s">
        <v>210</v>
      </c>
      <c r="Q69" s="33" t="n">
        <f>18700</f>
        <v>18700.0</v>
      </c>
      <c r="R69" s="34" t="s">
        <v>50</v>
      </c>
      <c r="S69" s="35" t="n">
        <f>18488.68</f>
        <v>18488.68</v>
      </c>
      <c r="T69" s="32" t="n">
        <f>3632</f>
        <v>3632.0</v>
      </c>
      <c r="U69" s="32" t="n">
        <f>7</f>
        <v>7.0</v>
      </c>
      <c r="V69" s="32" t="n">
        <f>67217805</f>
        <v>6.7217805E7</v>
      </c>
      <c r="W69" s="32" t="n">
        <f>128185</f>
        <v>128185.0</v>
      </c>
      <c r="X69" s="36" t="n">
        <f>19</f>
        <v>19.0</v>
      </c>
    </row>
    <row r="70">
      <c r="A70" s="27" t="s">
        <v>42</v>
      </c>
      <c r="B70" s="27" t="s">
        <v>256</v>
      </c>
      <c r="C70" s="27" t="s">
        <v>257</v>
      </c>
      <c r="D70" s="27" t="s">
        <v>258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18345</f>
        <v>18345.0</v>
      </c>
      <c r="L70" s="34" t="s">
        <v>48</v>
      </c>
      <c r="M70" s="33" t="n">
        <f>19400</f>
        <v>19400.0</v>
      </c>
      <c r="N70" s="34" t="s">
        <v>70</v>
      </c>
      <c r="O70" s="33" t="n">
        <f>18100</f>
        <v>18100.0</v>
      </c>
      <c r="P70" s="34" t="s">
        <v>69</v>
      </c>
      <c r="Q70" s="33" t="n">
        <f>19295</f>
        <v>19295.0</v>
      </c>
      <c r="R70" s="34" t="s">
        <v>50</v>
      </c>
      <c r="S70" s="35" t="n">
        <f>18571.84</f>
        <v>18571.84</v>
      </c>
      <c r="T70" s="32" t="n">
        <f>3739</f>
        <v>3739.0</v>
      </c>
      <c r="U70" s="32" t="str">
        <f>"－"</f>
        <v>－</v>
      </c>
      <c r="V70" s="32" t="n">
        <f>70217085</f>
        <v>7.0217085E7</v>
      </c>
      <c r="W70" s="32" t="str">
        <f>"－"</f>
        <v>－</v>
      </c>
      <c r="X70" s="36" t="n">
        <f>19</f>
        <v>19.0</v>
      </c>
    </row>
    <row r="71">
      <c r="A71" s="27" t="s">
        <v>42</v>
      </c>
      <c r="B71" s="27" t="s">
        <v>259</v>
      </c>
      <c r="C71" s="27" t="s">
        <v>260</v>
      </c>
      <c r="D71" s="27" t="s">
        <v>261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28120</f>
        <v>28120.0</v>
      </c>
      <c r="L71" s="34" t="s">
        <v>48</v>
      </c>
      <c r="M71" s="33" t="n">
        <f>29415</f>
        <v>29415.0</v>
      </c>
      <c r="N71" s="34" t="s">
        <v>68</v>
      </c>
      <c r="O71" s="33" t="n">
        <f>27885</f>
        <v>27885.0</v>
      </c>
      <c r="P71" s="34" t="s">
        <v>69</v>
      </c>
      <c r="Q71" s="33" t="n">
        <f>29070</f>
        <v>29070.0</v>
      </c>
      <c r="R71" s="34" t="s">
        <v>50</v>
      </c>
      <c r="S71" s="35" t="n">
        <f>28536.05</f>
        <v>28536.05</v>
      </c>
      <c r="T71" s="32" t="n">
        <f>19349</f>
        <v>19349.0</v>
      </c>
      <c r="U71" s="32" t="n">
        <f>9001</f>
        <v>9001.0</v>
      </c>
      <c r="V71" s="32" t="n">
        <f>546668664</f>
        <v>5.46668664E8</v>
      </c>
      <c r="W71" s="32" t="n">
        <f>252067464</f>
        <v>2.52067464E8</v>
      </c>
      <c r="X71" s="36" t="n">
        <f>19</f>
        <v>19.0</v>
      </c>
    </row>
    <row r="72">
      <c r="A72" s="27" t="s">
        <v>42</v>
      </c>
      <c r="B72" s="27" t="s">
        <v>262</v>
      </c>
      <c r="C72" s="27" t="s">
        <v>263</v>
      </c>
      <c r="D72" s="27" t="s">
        <v>264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10.0</v>
      </c>
      <c r="K72" s="33" t="n">
        <f>10295</f>
        <v>10295.0</v>
      </c>
      <c r="L72" s="34" t="s">
        <v>48</v>
      </c>
      <c r="M72" s="33" t="n">
        <f>10460</f>
        <v>10460.0</v>
      </c>
      <c r="N72" s="34" t="s">
        <v>161</v>
      </c>
      <c r="O72" s="33" t="n">
        <f>10170</f>
        <v>10170.0</v>
      </c>
      <c r="P72" s="34" t="s">
        <v>105</v>
      </c>
      <c r="Q72" s="33" t="n">
        <f>10360</f>
        <v>10360.0</v>
      </c>
      <c r="R72" s="34" t="s">
        <v>50</v>
      </c>
      <c r="S72" s="35" t="n">
        <f>10328.68</f>
        <v>10328.68</v>
      </c>
      <c r="T72" s="32" t="n">
        <f>10480</f>
        <v>10480.0</v>
      </c>
      <c r="U72" s="32" t="n">
        <f>180</f>
        <v>180.0</v>
      </c>
      <c r="V72" s="32" t="n">
        <f>108099750</f>
        <v>1.0809975E8</v>
      </c>
      <c r="W72" s="32" t="n">
        <f>1858650</f>
        <v>1858650.0</v>
      </c>
      <c r="X72" s="36" t="n">
        <f>19</f>
        <v>19.0</v>
      </c>
    </row>
    <row r="73">
      <c r="A73" s="27" t="s">
        <v>42</v>
      </c>
      <c r="B73" s="27" t="s">
        <v>265</v>
      </c>
      <c r="C73" s="27" t="s">
        <v>266</v>
      </c>
      <c r="D73" s="27" t="s">
        <v>267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1922</f>
        <v>1922.0</v>
      </c>
      <c r="L73" s="34" t="s">
        <v>48</v>
      </c>
      <c r="M73" s="33" t="n">
        <f>1922</f>
        <v>1922.0</v>
      </c>
      <c r="N73" s="34" t="s">
        <v>48</v>
      </c>
      <c r="O73" s="33" t="n">
        <f>1854</f>
        <v>1854.0</v>
      </c>
      <c r="P73" s="34" t="s">
        <v>88</v>
      </c>
      <c r="Q73" s="33" t="n">
        <f>1861</f>
        <v>1861.0</v>
      </c>
      <c r="R73" s="34" t="s">
        <v>50</v>
      </c>
      <c r="S73" s="35" t="n">
        <f>1879</f>
        <v>1879.0</v>
      </c>
      <c r="T73" s="32" t="n">
        <f>1768627</f>
        <v>1768627.0</v>
      </c>
      <c r="U73" s="32" t="n">
        <f>1288670</f>
        <v>1288670.0</v>
      </c>
      <c r="V73" s="32" t="n">
        <f>3346929623</f>
        <v>3.346929623E9</v>
      </c>
      <c r="W73" s="32" t="n">
        <f>2443846331</f>
        <v>2.443846331E9</v>
      </c>
      <c r="X73" s="36" t="n">
        <f>19</f>
        <v>19.0</v>
      </c>
    </row>
    <row r="74">
      <c r="A74" s="27" t="s">
        <v>42</v>
      </c>
      <c r="B74" s="27" t="s">
        <v>268</v>
      </c>
      <c r="C74" s="27" t="s">
        <v>269</v>
      </c>
      <c r="D74" s="27" t="s">
        <v>270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1894</f>
        <v>1894.0</v>
      </c>
      <c r="L74" s="34" t="s">
        <v>48</v>
      </c>
      <c r="M74" s="33" t="n">
        <f>1900</f>
        <v>1900.0</v>
      </c>
      <c r="N74" s="34" t="s">
        <v>81</v>
      </c>
      <c r="O74" s="33" t="n">
        <f>1874</f>
        <v>1874.0</v>
      </c>
      <c r="P74" s="34" t="s">
        <v>88</v>
      </c>
      <c r="Q74" s="33" t="n">
        <f>1886</f>
        <v>1886.0</v>
      </c>
      <c r="R74" s="34" t="s">
        <v>50</v>
      </c>
      <c r="S74" s="35" t="n">
        <f>1887.63</f>
        <v>1887.63</v>
      </c>
      <c r="T74" s="32" t="n">
        <f>511513</f>
        <v>511513.0</v>
      </c>
      <c r="U74" s="32" t="n">
        <f>5</f>
        <v>5.0</v>
      </c>
      <c r="V74" s="32" t="n">
        <f>965172939</f>
        <v>9.65172939E8</v>
      </c>
      <c r="W74" s="32" t="n">
        <f>8750</f>
        <v>8750.0</v>
      </c>
      <c r="X74" s="36" t="n">
        <f>19</f>
        <v>19.0</v>
      </c>
    </row>
    <row r="75">
      <c r="A75" s="27" t="s">
        <v>42</v>
      </c>
      <c r="B75" s="27" t="s">
        <v>271</v>
      </c>
      <c r="C75" s="27" t="s">
        <v>272</v>
      </c>
      <c r="D75" s="27" t="s">
        <v>273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19815</f>
        <v>19815.0</v>
      </c>
      <c r="L75" s="34" t="s">
        <v>48</v>
      </c>
      <c r="M75" s="33" t="n">
        <f>21165</f>
        <v>21165.0</v>
      </c>
      <c r="N75" s="34" t="s">
        <v>49</v>
      </c>
      <c r="O75" s="33" t="n">
        <f>19740</f>
        <v>19740.0</v>
      </c>
      <c r="P75" s="34" t="s">
        <v>48</v>
      </c>
      <c r="Q75" s="33" t="n">
        <f>21085</f>
        <v>21085.0</v>
      </c>
      <c r="R75" s="34" t="s">
        <v>50</v>
      </c>
      <c r="S75" s="35" t="n">
        <f>20476.05</f>
        <v>20476.05</v>
      </c>
      <c r="T75" s="32" t="n">
        <f>5420</f>
        <v>5420.0</v>
      </c>
      <c r="U75" s="32" t="n">
        <f>1</f>
        <v>1.0</v>
      </c>
      <c r="V75" s="32" t="n">
        <f>110025845</f>
        <v>1.10025845E8</v>
      </c>
      <c r="W75" s="32" t="n">
        <f>19775</f>
        <v>19775.0</v>
      </c>
      <c r="X75" s="36" t="n">
        <f>19</f>
        <v>19.0</v>
      </c>
    </row>
    <row r="76">
      <c r="A76" s="27" t="s">
        <v>42</v>
      </c>
      <c r="B76" s="27" t="s">
        <v>274</v>
      </c>
      <c r="C76" s="27" t="s">
        <v>275</v>
      </c>
      <c r="D76" s="27" t="s">
        <v>276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9474</f>
        <v>9474.0</v>
      </c>
      <c r="L76" s="34" t="s">
        <v>48</v>
      </c>
      <c r="M76" s="33" t="n">
        <f>9545</f>
        <v>9545.0</v>
      </c>
      <c r="N76" s="34" t="s">
        <v>109</v>
      </c>
      <c r="O76" s="33" t="n">
        <f>9361</f>
        <v>9361.0</v>
      </c>
      <c r="P76" s="34" t="s">
        <v>88</v>
      </c>
      <c r="Q76" s="33" t="n">
        <f>9490</f>
        <v>9490.0</v>
      </c>
      <c r="R76" s="34" t="s">
        <v>50</v>
      </c>
      <c r="S76" s="35" t="n">
        <f>9500.63</f>
        <v>9500.63</v>
      </c>
      <c r="T76" s="32" t="n">
        <f>2849</f>
        <v>2849.0</v>
      </c>
      <c r="U76" s="32" t="n">
        <f>1</f>
        <v>1.0</v>
      </c>
      <c r="V76" s="32" t="n">
        <f>27042479</f>
        <v>2.7042479E7</v>
      </c>
      <c r="W76" s="32" t="n">
        <f>9490</f>
        <v>9490.0</v>
      </c>
      <c r="X76" s="36" t="n">
        <f>19</f>
        <v>19.0</v>
      </c>
    </row>
    <row r="77">
      <c r="A77" s="27" t="s">
        <v>42</v>
      </c>
      <c r="B77" s="27" t="s">
        <v>277</v>
      </c>
      <c r="C77" s="27" t="s">
        <v>278</v>
      </c>
      <c r="D77" s="27" t="s">
        <v>279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9127</f>
        <v>9127.0</v>
      </c>
      <c r="L77" s="34" t="s">
        <v>48</v>
      </c>
      <c r="M77" s="33" t="n">
        <f>9400</f>
        <v>9400.0</v>
      </c>
      <c r="N77" s="34" t="s">
        <v>50</v>
      </c>
      <c r="O77" s="33" t="n">
        <f>9109</f>
        <v>9109.0</v>
      </c>
      <c r="P77" s="34" t="s">
        <v>48</v>
      </c>
      <c r="Q77" s="33" t="n">
        <f>9297</f>
        <v>9297.0</v>
      </c>
      <c r="R77" s="34" t="s">
        <v>50</v>
      </c>
      <c r="S77" s="35" t="n">
        <f>9213.32</f>
        <v>9213.32</v>
      </c>
      <c r="T77" s="32" t="n">
        <f>1827681</f>
        <v>1827681.0</v>
      </c>
      <c r="U77" s="32" t="n">
        <f>233416</f>
        <v>233416.0</v>
      </c>
      <c r="V77" s="32" t="n">
        <f>16830263284</f>
        <v>1.6830263284E10</v>
      </c>
      <c r="W77" s="32" t="n">
        <f>2146309441</f>
        <v>2.146309441E9</v>
      </c>
      <c r="X77" s="36" t="n">
        <f>19</f>
        <v>19.0</v>
      </c>
    </row>
    <row r="78">
      <c r="A78" s="27" t="s">
        <v>42</v>
      </c>
      <c r="B78" s="27" t="s">
        <v>280</v>
      </c>
      <c r="C78" s="27" t="s">
        <v>281</v>
      </c>
      <c r="D78" s="27" t="s">
        <v>282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4000</f>
        <v>4000.0</v>
      </c>
      <c r="L78" s="34" t="s">
        <v>48</v>
      </c>
      <c r="M78" s="33" t="n">
        <f>4000</f>
        <v>4000.0</v>
      </c>
      <c r="N78" s="34" t="s">
        <v>48</v>
      </c>
      <c r="O78" s="33" t="n">
        <f>3920</f>
        <v>3920.0</v>
      </c>
      <c r="P78" s="34" t="s">
        <v>69</v>
      </c>
      <c r="Q78" s="33" t="n">
        <f>3940</f>
        <v>3940.0</v>
      </c>
      <c r="R78" s="34" t="s">
        <v>50</v>
      </c>
      <c r="S78" s="35" t="n">
        <f>3958.95</f>
        <v>3958.95</v>
      </c>
      <c r="T78" s="32" t="n">
        <f>502808</f>
        <v>502808.0</v>
      </c>
      <c r="U78" s="32" t="n">
        <f>285</f>
        <v>285.0</v>
      </c>
      <c r="V78" s="32" t="n">
        <f>1989340860</f>
        <v>1.98934086E9</v>
      </c>
      <c r="W78" s="32" t="n">
        <f>1128870</f>
        <v>1128870.0</v>
      </c>
      <c r="X78" s="36" t="n">
        <f>19</f>
        <v>19.0</v>
      </c>
    </row>
    <row r="79">
      <c r="A79" s="27" t="s">
        <v>42</v>
      </c>
      <c r="B79" s="27" t="s">
        <v>283</v>
      </c>
      <c r="C79" s="27" t="s">
        <v>284</v>
      </c>
      <c r="D79" s="27" t="s">
        <v>285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9890</f>
        <v>9890.0</v>
      </c>
      <c r="L79" s="34" t="s">
        <v>48</v>
      </c>
      <c r="M79" s="33" t="n">
        <f>10125</f>
        <v>10125.0</v>
      </c>
      <c r="N79" s="34" t="s">
        <v>105</v>
      </c>
      <c r="O79" s="33" t="n">
        <f>9717</f>
        <v>9717.0</v>
      </c>
      <c r="P79" s="34" t="s">
        <v>69</v>
      </c>
      <c r="Q79" s="33" t="n">
        <f>9858</f>
        <v>9858.0</v>
      </c>
      <c r="R79" s="34" t="s">
        <v>50</v>
      </c>
      <c r="S79" s="35" t="n">
        <f>9866</f>
        <v>9866.0</v>
      </c>
      <c r="T79" s="32" t="n">
        <f>112521</f>
        <v>112521.0</v>
      </c>
      <c r="U79" s="32" t="n">
        <f>276</f>
        <v>276.0</v>
      </c>
      <c r="V79" s="32" t="n">
        <f>1111059512</f>
        <v>1.111059512E9</v>
      </c>
      <c r="W79" s="32" t="n">
        <f>2723490</f>
        <v>2723490.0</v>
      </c>
      <c r="X79" s="36" t="n">
        <f>19</f>
        <v>19.0</v>
      </c>
    </row>
    <row r="80">
      <c r="A80" s="27" t="s">
        <v>42</v>
      </c>
      <c r="B80" s="27" t="s">
        <v>286</v>
      </c>
      <c r="C80" s="27" t="s">
        <v>287</v>
      </c>
      <c r="D80" s="27" t="s">
        <v>288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1.0</v>
      </c>
      <c r="K80" s="33" t="n">
        <f>42760</f>
        <v>42760.0</v>
      </c>
      <c r="L80" s="34" t="s">
        <v>48</v>
      </c>
      <c r="M80" s="33" t="n">
        <f>43500</f>
        <v>43500.0</v>
      </c>
      <c r="N80" s="34" t="s">
        <v>68</v>
      </c>
      <c r="O80" s="33" t="n">
        <f>39050</f>
        <v>39050.0</v>
      </c>
      <c r="P80" s="34" t="s">
        <v>88</v>
      </c>
      <c r="Q80" s="33" t="n">
        <f>41700</f>
        <v>41700.0</v>
      </c>
      <c r="R80" s="34" t="s">
        <v>50</v>
      </c>
      <c r="S80" s="35" t="n">
        <f>42010.53</f>
        <v>42010.53</v>
      </c>
      <c r="T80" s="32" t="n">
        <f>12738</f>
        <v>12738.0</v>
      </c>
      <c r="U80" s="32" t="n">
        <f>31</f>
        <v>31.0</v>
      </c>
      <c r="V80" s="32" t="n">
        <f>528442730</f>
        <v>5.2844273E8</v>
      </c>
      <c r="W80" s="32" t="n">
        <f>1219210</f>
        <v>1219210.0</v>
      </c>
      <c r="X80" s="36" t="n">
        <f>19</f>
        <v>19.0</v>
      </c>
    </row>
    <row r="81">
      <c r="A81" s="27" t="s">
        <v>42</v>
      </c>
      <c r="B81" s="27" t="s">
        <v>289</v>
      </c>
      <c r="C81" s="27" t="s">
        <v>290</v>
      </c>
      <c r="D81" s="27" t="s">
        <v>291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25595</f>
        <v>25595.0</v>
      </c>
      <c r="L81" s="34" t="s">
        <v>48</v>
      </c>
      <c r="M81" s="33" t="n">
        <f>27415</f>
        <v>27415.0</v>
      </c>
      <c r="N81" s="34" t="s">
        <v>70</v>
      </c>
      <c r="O81" s="33" t="n">
        <f>25545</f>
        <v>25545.0</v>
      </c>
      <c r="P81" s="34" t="s">
        <v>48</v>
      </c>
      <c r="Q81" s="33" t="n">
        <f>27175</f>
        <v>27175.0</v>
      </c>
      <c r="R81" s="34" t="s">
        <v>50</v>
      </c>
      <c r="S81" s="35" t="n">
        <f>26835</f>
        <v>26835.0</v>
      </c>
      <c r="T81" s="32" t="n">
        <f>1512150</f>
        <v>1512150.0</v>
      </c>
      <c r="U81" s="32" t="n">
        <f>13925</f>
        <v>13925.0</v>
      </c>
      <c r="V81" s="32" t="n">
        <f>40642159457</f>
        <v>4.0642159457E10</v>
      </c>
      <c r="W81" s="32" t="n">
        <f>377659452</f>
        <v>3.77659452E8</v>
      </c>
      <c r="X81" s="36" t="n">
        <f>19</f>
        <v>19.0</v>
      </c>
    </row>
    <row r="82">
      <c r="A82" s="27" t="s">
        <v>42</v>
      </c>
      <c r="B82" s="27" t="s">
        <v>292</v>
      </c>
      <c r="C82" s="27" t="s">
        <v>293</v>
      </c>
      <c r="D82" s="27" t="s">
        <v>294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54760</f>
        <v>54760.0</v>
      </c>
      <c r="L82" s="34" t="s">
        <v>48</v>
      </c>
      <c r="M82" s="33" t="n">
        <f>58820</f>
        <v>58820.0</v>
      </c>
      <c r="N82" s="34" t="s">
        <v>295</v>
      </c>
      <c r="O82" s="33" t="n">
        <f>54630</f>
        <v>54630.0</v>
      </c>
      <c r="P82" s="34" t="s">
        <v>48</v>
      </c>
      <c r="Q82" s="33" t="n">
        <f>57080</f>
        <v>57080.0</v>
      </c>
      <c r="R82" s="34" t="s">
        <v>50</v>
      </c>
      <c r="S82" s="35" t="n">
        <f>56437.89</f>
        <v>56437.89</v>
      </c>
      <c r="T82" s="32" t="n">
        <f>51920</f>
        <v>51920.0</v>
      </c>
      <c r="U82" s="32" t="n">
        <f>6346</f>
        <v>6346.0</v>
      </c>
      <c r="V82" s="32" t="n">
        <f>2931563240</f>
        <v>2.93156324E9</v>
      </c>
      <c r="W82" s="32" t="n">
        <f>360248730</f>
        <v>3.6024873E8</v>
      </c>
      <c r="X82" s="36" t="n">
        <f>19</f>
        <v>19.0</v>
      </c>
    </row>
    <row r="83">
      <c r="A83" s="27" t="s">
        <v>42</v>
      </c>
      <c r="B83" s="27" t="s">
        <v>296</v>
      </c>
      <c r="C83" s="27" t="s">
        <v>297</v>
      </c>
      <c r="D83" s="27" t="s">
        <v>298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10.0</v>
      </c>
      <c r="K83" s="33" t="n">
        <f>7742</f>
        <v>7742.0</v>
      </c>
      <c r="L83" s="34" t="s">
        <v>48</v>
      </c>
      <c r="M83" s="33" t="n">
        <f>8375</f>
        <v>8375.0</v>
      </c>
      <c r="N83" s="34" t="s">
        <v>105</v>
      </c>
      <c r="O83" s="33" t="n">
        <f>7725</f>
        <v>7725.0</v>
      </c>
      <c r="P83" s="34" t="s">
        <v>48</v>
      </c>
      <c r="Q83" s="33" t="n">
        <f>8266</f>
        <v>8266.0</v>
      </c>
      <c r="R83" s="34" t="s">
        <v>50</v>
      </c>
      <c r="S83" s="35" t="n">
        <f>8104.05</f>
        <v>8104.05</v>
      </c>
      <c r="T83" s="32" t="n">
        <f>1142750</f>
        <v>1142750.0</v>
      </c>
      <c r="U83" s="32" t="n">
        <f>70850</f>
        <v>70850.0</v>
      </c>
      <c r="V83" s="32" t="n">
        <f>9243379843</f>
        <v>9.243379843E9</v>
      </c>
      <c r="W83" s="32" t="n">
        <f>550113433</f>
        <v>5.50113433E8</v>
      </c>
      <c r="X83" s="36" t="n">
        <f>19</f>
        <v>19.0</v>
      </c>
    </row>
    <row r="84">
      <c r="A84" s="27" t="s">
        <v>42</v>
      </c>
      <c r="B84" s="27" t="s">
        <v>299</v>
      </c>
      <c r="C84" s="27" t="s">
        <v>300</v>
      </c>
      <c r="D84" s="27" t="s">
        <v>301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4856</f>
        <v>4856.0</v>
      </c>
      <c r="L84" s="34" t="s">
        <v>48</v>
      </c>
      <c r="M84" s="33" t="n">
        <f>5182</f>
        <v>5182.0</v>
      </c>
      <c r="N84" s="34" t="s">
        <v>68</v>
      </c>
      <c r="O84" s="33" t="n">
        <f>4841</f>
        <v>4841.0</v>
      </c>
      <c r="P84" s="34" t="s">
        <v>48</v>
      </c>
      <c r="Q84" s="33" t="n">
        <f>5153</f>
        <v>5153.0</v>
      </c>
      <c r="R84" s="34" t="s">
        <v>50</v>
      </c>
      <c r="S84" s="35" t="n">
        <f>5050</f>
        <v>5050.0</v>
      </c>
      <c r="T84" s="32" t="n">
        <f>87350</f>
        <v>87350.0</v>
      </c>
      <c r="U84" s="32" t="n">
        <f>170</f>
        <v>170.0</v>
      </c>
      <c r="V84" s="32" t="n">
        <f>441317360</f>
        <v>4.4131736E8</v>
      </c>
      <c r="W84" s="32" t="n">
        <f>858670</f>
        <v>858670.0</v>
      </c>
      <c r="X84" s="36" t="n">
        <f>19</f>
        <v>19.0</v>
      </c>
    </row>
    <row r="85">
      <c r="A85" s="27" t="s">
        <v>42</v>
      </c>
      <c r="B85" s="27" t="s">
        <v>302</v>
      </c>
      <c r="C85" s="27" t="s">
        <v>303</v>
      </c>
      <c r="D85" s="27" t="s">
        <v>304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10.0</v>
      </c>
      <c r="K85" s="33" t="n">
        <f>4978</f>
        <v>4978.0</v>
      </c>
      <c r="L85" s="34" t="s">
        <v>48</v>
      </c>
      <c r="M85" s="33" t="n">
        <f>5127</f>
        <v>5127.0</v>
      </c>
      <c r="N85" s="34" t="s">
        <v>236</v>
      </c>
      <c r="O85" s="33" t="n">
        <f>4922</f>
        <v>4922.0</v>
      </c>
      <c r="P85" s="34" t="s">
        <v>92</v>
      </c>
      <c r="Q85" s="33" t="n">
        <f>5084</f>
        <v>5084.0</v>
      </c>
      <c r="R85" s="34" t="s">
        <v>50</v>
      </c>
      <c r="S85" s="35" t="n">
        <f>5026.74</f>
        <v>5026.74</v>
      </c>
      <c r="T85" s="32" t="n">
        <f>12660</f>
        <v>12660.0</v>
      </c>
      <c r="U85" s="32" t="str">
        <f>"－"</f>
        <v>－</v>
      </c>
      <c r="V85" s="32" t="n">
        <f>63682300</f>
        <v>6.36823E7</v>
      </c>
      <c r="W85" s="32" t="str">
        <f>"－"</f>
        <v>－</v>
      </c>
      <c r="X85" s="36" t="n">
        <f>19</f>
        <v>19.0</v>
      </c>
    </row>
    <row r="86">
      <c r="A86" s="27" t="s">
        <v>42</v>
      </c>
      <c r="B86" s="27" t="s">
        <v>305</v>
      </c>
      <c r="C86" s="27" t="s">
        <v>306</v>
      </c>
      <c r="D86" s="27" t="s">
        <v>307</v>
      </c>
      <c r="E86" s="28" t="s">
        <v>308</v>
      </c>
      <c r="F86" s="29" t="s">
        <v>309</v>
      </c>
      <c r="G86" s="30" t="s">
        <v>310</v>
      </c>
      <c r="H86" s="31" t="s">
        <v>311</v>
      </c>
      <c r="I86" s="31"/>
      <c r="J86" s="32" t="n">
        <v>1.0</v>
      </c>
      <c r="K86" s="33" t="n">
        <f>389</f>
        <v>389.0</v>
      </c>
      <c r="L86" s="34" t="s">
        <v>48</v>
      </c>
      <c r="M86" s="33" t="n">
        <f>390</f>
        <v>390.0</v>
      </c>
      <c r="N86" s="34" t="s">
        <v>74</v>
      </c>
      <c r="O86" s="33" t="n">
        <f>388</f>
        <v>388.0</v>
      </c>
      <c r="P86" s="34" t="s">
        <v>48</v>
      </c>
      <c r="Q86" s="33" t="n">
        <f>389</f>
        <v>389.0</v>
      </c>
      <c r="R86" s="34" t="s">
        <v>214</v>
      </c>
      <c r="S86" s="35" t="n">
        <f>388.43</f>
        <v>388.43</v>
      </c>
      <c r="T86" s="32" t="n">
        <f>9231444</f>
        <v>9231444.0</v>
      </c>
      <c r="U86" s="32" t="n">
        <f>7148</f>
        <v>7148.0</v>
      </c>
      <c r="V86" s="32" t="n">
        <f>3587252650</f>
        <v>3.58725265E9</v>
      </c>
      <c r="W86" s="32" t="n">
        <f>2778280</f>
        <v>2778280.0</v>
      </c>
      <c r="X86" s="36" t="n">
        <f>7</f>
        <v>7.0</v>
      </c>
    </row>
    <row r="87">
      <c r="A87" s="27" t="s">
        <v>42</v>
      </c>
      <c r="B87" s="27" t="s">
        <v>312</v>
      </c>
      <c r="C87" s="27" t="s">
        <v>313</v>
      </c>
      <c r="D87" s="27" t="s">
        <v>314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10.0</v>
      </c>
      <c r="K87" s="33" t="n">
        <f>3991</f>
        <v>3991.0</v>
      </c>
      <c r="L87" s="34" t="s">
        <v>48</v>
      </c>
      <c r="M87" s="33" t="n">
        <f>4263</f>
        <v>4263.0</v>
      </c>
      <c r="N87" s="34" t="s">
        <v>70</v>
      </c>
      <c r="O87" s="33" t="n">
        <f>3980</f>
        <v>3980.0</v>
      </c>
      <c r="P87" s="34" t="s">
        <v>48</v>
      </c>
      <c r="Q87" s="33" t="n">
        <f>4234</f>
        <v>4234.0</v>
      </c>
      <c r="R87" s="34" t="s">
        <v>50</v>
      </c>
      <c r="S87" s="35" t="n">
        <f>4152.74</f>
        <v>4152.74</v>
      </c>
      <c r="T87" s="32" t="n">
        <f>89290</f>
        <v>89290.0</v>
      </c>
      <c r="U87" s="32" t="str">
        <f>"－"</f>
        <v>－</v>
      </c>
      <c r="V87" s="32" t="n">
        <f>366701960</f>
        <v>3.6670196E8</v>
      </c>
      <c r="W87" s="32" t="str">
        <f>"－"</f>
        <v>－</v>
      </c>
      <c r="X87" s="36" t="n">
        <f>19</f>
        <v>19.0</v>
      </c>
    </row>
    <row r="88">
      <c r="A88" s="27" t="s">
        <v>42</v>
      </c>
      <c r="B88" s="27" t="s">
        <v>315</v>
      </c>
      <c r="C88" s="27" t="s">
        <v>316</v>
      </c>
      <c r="D88" s="27" t="s">
        <v>317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10.0</v>
      </c>
      <c r="K88" s="33" t="n">
        <f>1938.5</f>
        <v>1938.5</v>
      </c>
      <c r="L88" s="34" t="s">
        <v>48</v>
      </c>
      <c r="M88" s="33" t="n">
        <f>2080</f>
        <v>2080.0</v>
      </c>
      <c r="N88" s="34" t="s">
        <v>295</v>
      </c>
      <c r="O88" s="33" t="n">
        <f>1907</f>
        <v>1907.0</v>
      </c>
      <c r="P88" s="34" t="s">
        <v>48</v>
      </c>
      <c r="Q88" s="33" t="n">
        <f>2049</f>
        <v>2049.0</v>
      </c>
      <c r="R88" s="34" t="s">
        <v>50</v>
      </c>
      <c r="S88" s="35" t="n">
        <f>2006.82</f>
        <v>2006.82</v>
      </c>
      <c r="T88" s="32" t="n">
        <f>140210</f>
        <v>140210.0</v>
      </c>
      <c r="U88" s="32" t="n">
        <f>240</f>
        <v>240.0</v>
      </c>
      <c r="V88" s="32" t="n">
        <f>280964280</f>
        <v>2.8096428E8</v>
      </c>
      <c r="W88" s="32" t="n">
        <f>476875</f>
        <v>476875.0</v>
      </c>
      <c r="X88" s="36" t="n">
        <f>19</f>
        <v>19.0</v>
      </c>
    </row>
    <row r="89">
      <c r="A89" s="27" t="s">
        <v>42</v>
      </c>
      <c r="B89" s="27" t="s">
        <v>318</v>
      </c>
      <c r="C89" s="27" t="s">
        <v>319</v>
      </c>
      <c r="D89" s="27" t="s">
        <v>320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71170</f>
        <v>71170.0</v>
      </c>
      <c r="L89" s="34" t="s">
        <v>48</v>
      </c>
      <c r="M89" s="33" t="n">
        <f>76440</f>
        <v>76440.0</v>
      </c>
      <c r="N89" s="34" t="s">
        <v>68</v>
      </c>
      <c r="O89" s="33" t="n">
        <f>71000</f>
        <v>71000.0</v>
      </c>
      <c r="P89" s="34" t="s">
        <v>48</v>
      </c>
      <c r="Q89" s="33" t="n">
        <f>75920</f>
        <v>75920.0</v>
      </c>
      <c r="R89" s="34" t="s">
        <v>50</v>
      </c>
      <c r="S89" s="35" t="n">
        <f>74468.95</f>
        <v>74468.95</v>
      </c>
      <c r="T89" s="32" t="n">
        <f>76980</f>
        <v>76980.0</v>
      </c>
      <c r="U89" s="32" t="n">
        <f>131</f>
        <v>131.0</v>
      </c>
      <c r="V89" s="32" t="n">
        <f>5726724545</f>
        <v>5.726724545E9</v>
      </c>
      <c r="W89" s="32" t="n">
        <f>9999845</f>
        <v>9999845.0</v>
      </c>
      <c r="X89" s="36" t="n">
        <f>19</f>
        <v>19.0</v>
      </c>
    </row>
    <row r="90">
      <c r="A90" s="27" t="s">
        <v>42</v>
      </c>
      <c r="B90" s="27" t="s">
        <v>321</v>
      </c>
      <c r="C90" s="27" t="s">
        <v>322</v>
      </c>
      <c r="D90" s="27" t="s">
        <v>323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1.0</v>
      </c>
      <c r="K90" s="33" t="n">
        <f>3275</f>
        <v>3275.0</v>
      </c>
      <c r="L90" s="34" t="s">
        <v>48</v>
      </c>
      <c r="M90" s="33" t="n">
        <f>3350</f>
        <v>3350.0</v>
      </c>
      <c r="N90" s="34" t="s">
        <v>295</v>
      </c>
      <c r="O90" s="33" t="n">
        <f>3220</f>
        <v>3220.0</v>
      </c>
      <c r="P90" s="34" t="s">
        <v>105</v>
      </c>
      <c r="Q90" s="33" t="n">
        <f>3240</f>
        <v>3240.0</v>
      </c>
      <c r="R90" s="34" t="s">
        <v>50</v>
      </c>
      <c r="S90" s="35" t="n">
        <f>3257.37</f>
        <v>3257.37</v>
      </c>
      <c r="T90" s="32" t="n">
        <f>10979</f>
        <v>10979.0</v>
      </c>
      <c r="U90" s="32" t="str">
        <f>"－"</f>
        <v>－</v>
      </c>
      <c r="V90" s="32" t="n">
        <f>35914425</f>
        <v>3.5914425E7</v>
      </c>
      <c r="W90" s="32" t="str">
        <f>"－"</f>
        <v>－</v>
      </c>
      <c r="X90" s="36" t="n">
        <f>19</f>
        <v>19.0</v>
      </c>
    </row>
    <row r="91">
      <c r="A91" s="27" t="s">
        <v>42</v>
      </c>
      <c r="B91" s="27" t="s">
        <v>324</v>
      </c>
      <c r="C91" s="27" t="s">
        <v>325</v>
      </c>
      <c r="D91" s="27" t="s">
        <v>326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4555</f>
        <v>4555.0</v>
      </c>
      <c r="L91" s="34" t="s">
        <v>48</v>
      </c>
      <c r="M91" s="33" t="n">
        <f>4870</f>
        <v>4870.0</v>
      </c>
      <c r="N91" s="34" t="s">
        <v>295</v>
      </c>
      <c r="O91" s="33" t="n">
        <f>4460</f>
        <v>4460.0</v>
      </c>
      <c r="P91" s="34" t="s">
        <v>236</v>
      </c>
      <c r="Q91" s="33" t="n">
        <f>4690</f>
        <v>4690.0</v>
      </c>
      <c r="R91" s="34" t="s">
        <v>50</v>
      </c>
      <c r="S91" s="35" t="n">
        <f>4639.47</f>
        <v>4639.47</v>
      </c>
      <c r="T91" s="32" t="n">
        <f>14260</f>
        <v>14260.0</v>
      </c>
      <c r="U91" s="32" t="str">
        <f>"－"</f>
        <v>－</v>
      </c>
      <c r="V91" s="32" t="n">
        <f>66362875</f>
        <v>6.6362875E7</v>
      </c>
      <c r="W91" s="32" t="str">
        <f>"－"</f>
        <v>－</v>
      </c>
      <c r="X91" s="36" t="n">
        <f>19</f>
        <v>19.0</v>
      </c>
    </row>
    <row r="92">
      <c r="A92" s="27" t="s">
        <v>42</v>
      </c>
      <c r="B92" s="27" t="s">
        <v>327</v>
      </c>
      <c r="C92" s="27" t="s">
        <v>328</v>
      </c>
      <c r="D92" s="27" t="s">
        <v>329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2548</f>
        <v>2548.0</v>
      </c>
      <c r="L92" s="34" t="s">
        <v>48</v>
      </c>
      <c r="M92" s="33" t="n">
        <f>2923</f>
        <v>2923.0</v>
      </c>
      <c r="N92" s="34" t="s">
        <v>105</v>
      </c>
      <c r="O92" s="33" t="n">
        <f>2526</f>
        <v>2526.0</v>
      </c>
      <c r="P92" s="34" t="s">
        <v>74</v>
      </c>
      <c r="Q92" s="33" t="n">
        <f>2830</f>
        <v>2830.0</v>
      </c>
      <c r="R92" s="34" t="s">
        <v>50</v>
      </c>
      <c r="S92" s="35" t="n">
        <f>2690.16</f>
        <v>2690.16</v>
      </c>
      <c r="T92" s="32" t="n">
        <f>2220916</f>
        <v>2220916.0</v>
      </c>
      <c r="U92" s="32" t="n">
        <f>72642</f>
        <v>72642.0</v>
      </c>
      <c r="V92" s="32" t="n">
        <f>6053983519</f>
        <v>6.053983519E9</v>
      </c>
      <c r="W92" s="32" t="n">
        <f>202073433</f>
        <v>2.02073433E8</v>
      </c>
      <c r="X92" s="36" t="n">
        <f>19</f>
        <v>19.0</v>
      </c>
    </row>
    <row r="93">
      <c r="A93" s="27" t="s">
        <v>42</v>
      </c>
      <c r="B93" s="27" t="s">
        <v>330</v>
      </c>
      <c r="C93" s="27" t="s">
        <v>331</v>
      </c>
      <c r="D93" s="27" t="s">
        <v>332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48680</f>
        <v>48680.0</v>
      </c>
      <c r="L93" s="34" t="s">
        <v>48</v>
      </c>
      <c r="M93" s="33" t="n">
        <f>49740</f>
        <v>49740.0</v>
      </c>
      <c r="N93" s="34" t="s">
        <v>109</v>
      </c>
      <c r="O93" s="33" t="n">
        <f>48530</f>
        <v>48530.0</v>
      </c>
      <c r="P93" s="34" t="s">
        <v>48</v>
      </c>
      <c r="Q93" s="33" t="n">
        <f>49560</f>
        <v>49560.0</v>
      </c>
      <c r="R93" s="34" t="s">
        <v>50</v>
      </c>
      <c r="S93" s="35" t="n">
        <f>49274.74</f>
        <v>49274.74</v>
      </c>
      <c r="T93" s="32" t="n">
        <f>11949</f>
        <v>11949.0</v>
      </c>
      <c r="U93" s="32" t="n">
        <f>2583</f>
        <v>2583.0</v>
      </c>
      <c r="V93" s="32" t="n">
        <f>587553049</f>
        <v>5.87553049E8</v>
      </c>
      <c r="W93" s="32" t="n">
        <f>126221879</f>
        <v>1.26221879E8</v>
      </c>
      <c r="X93" s="36" t="n">
        <f>19</f>
        <v>19.0</v>
      </c>
    </row>
    <row r="94">
      <c r="A94" s="27" t="s">
        <v>42</v>
      </c>
      <c r="B94" s="27" t="s">
        <v>333</v>
      </c>
      <c r="C94" s="27" t="s">
        <v>334</v>
      </c>
      <c r="D94" s="27" t="s">
        <v>335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10.0</v>
      </c>
      <c r="K94" s="33" t="n">
        <f>41630</f>
        <v>41630.0</v>
      </c>
      <c r="L94" s="34" t="s">
        <v>48</v>
      </c>
      <c r="M94" s="33" t="n">
        <f>47000</f>
        <v>47000.0</v>
      </c>
      <c r="N94" s="34" t="s">
        <v>49</v>
      </c>
      <c r="O94" s="33" t="n">
        <f>41450</f>
        <v>41450.0</v>
      </c>
      <c r="P94" s="34" t="s">
        <v>48</v>
      </c>
      <c r="Q94" s="33" t="n">
        <f>46420</f>
        <v>46420.0</v>
      </c>
      <c r="R94" s="34" t="s">
        <v>50</v>
      </c>
      <c r="S94" s="35" t="n">
        <f>44105.26</f>
        <v>44105.26</v>
      </c>
      <c r="T94" s="32" t="n">
        <f>1718570</f>
        <v>1718570.0</v>
      </c>
      <c r="U94" s="32" t="str">
        <f>"－"</f>
        <v>－</v>
      </c>
      <c r="V94" s="32" t="n">
        <f>76129700000</f>
        <v>7.61297E10</v>
      </c>
      <c r="W94" s="32" t="str">
        <f>"－"</f>
        <v>－</v>
      </c>
      <c r="X94" s="36" t="n">
        <f>19</f>
        <v>19.0</v>
      </c>
    </row>
    <row r="95">
      <c r="A95" s="27" t="s">
        <v>42</v>
      </c>
      <c r="B95" s="27" t="s">
        <v>336</v>
      </c>
      <c r="C95" s="27" t="s">
        <v>337</v>
      </c>
      <c r="D95" s="27" t="s">
        <v>338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10.0</v>
      </c>
      <c r="K95" s="33" t="n">
        <f>1461.5</f>
        <v>1461.5</v>
      </c>
      <c r="L95" s="34" t="s">
        <v>48</v>
      </c>
      <c r="M95" s="33" t="n">
        <f>1461.5</f>
        <v>1461.5</v>
      </c>
      <c r="N95" s="34" t="s">
        <v>48</v>
      </c>
      <c r="O95" s="33" t="n">
        <f>1370</f>
        <v>1370.0</v>
      </c>
      <c r="P95" s="34" t="s">
        <v>49</v>
      </c>
      <c r="Q95" s="33" t="n">
        <f>1379.5</f>
        <v>1379.5</v>
      </c>
      <c r="R95" s="34" t="s">
        <v>50</v>
      </c>
      <c r="S95" s="35" t="n">
        <f>1417.95</f>
        <v>1417.95</v>
      </c>
      <c r="T95" s="32" t="n">
        <f>517470</f>
        <v>517470.0</v>
      </c>
      <c r="U95" s="32" t="n">
        <f>500</f>
        <v>500.0</v>
      </c>
      <c r="V95" s="32" t="n">
        <f>733881925</f>
        <v>7.33881925E8</v>
      </c>
      <c r="W95" s="32" t="n">
        <f>729000</f>
        <v>729000.0</v>
      </c>
      <c r="X95" s="36" t="n">
        <f>19</f>
        <v>19.0</v>
      </c>
    </row>
    <row r="96">
      <c r="A96" s="27" t="s">
        <v>42</v>
      </c>
      <c r="B96" s="27" t="s">
        <v>339</v>
      </c>
      <c r="C96" s="27" t="s">
        <v>340</v>
      </c>
      <c r="D96" s="27" t="s">
        <v>341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24295</f>
        <v>24295.0</v>
      </c>
      <c r="L96" s="34" t="s">
        <v>48</v>
      </c>
      <c r="M96" s="33" t="n">
        <f>29125</f>
        <v>29125.0</v>
      </c>
      <c r="N96" s="34" t="s">
        <v>68</v>
      </c>
      <c r="O96" s="33" t="n">
        <f>24140</f>
        <v>24140.0</v>
      </c>
      <c r="P96" s="34" t="s">
        <v>74</v>
      </c>
      <c r="Q96" s="33" t="n">
        <f>28805</f>
        <v>28805.0</v>
      </c>
      <c r="R96" s="34" t="s">
        <v>50</v>
      </c>
      <c r="S96" s="35" t="n">
        <f>26829.74</f>
        <v>26829.74</v>
      </c>
      <c r="T96" s="32" t="n">
        <f>114817558</f>
        <v>1.14817558E8</v>
      </c>
      <c r="U96" s="32" t="n">
        <f>1307159</f>
        <v>1307159.0</v>
      </c>
      <c r="V96" s="32" t="n">
        <f>3067926257038</f>
        <v>3.067926257038E12</v>
      </c>
      <c r="W96" s="32" t="n">
        <f>34222025313</f>
        <v>3.4222025313E10</v>
      </c>
      <c r="X96" s="36" t="n">
        <f>19</f>
        <v>19.0</v>
      </c>
    </row>
    <row r="97">
      <c r="A97" s="27" t="s">
        <v>42</v>
      </c>
      <c r="B97" s="27" t="s">
        <v>342</v>
      </c>
      <c r="C97" s="27" t="s">
        <v>343</v>
      </c>
      <c r="D97" s="27" t="s">
        <v>344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688</f>
        <v>688.0</v>
      </c>
      <c r="L97" s="34" t="s">
        <v>48</v>
      </c>
      <c r="M97" s="33" t="n">
        <f>690</f>
        <v>690.0</v>
      </c>
      <c r="N97" s="34" t="s">
        <v>74</v>
      </c>
      <c r="O97" s="33" t="n">
        <f>626</f>
        <v>626.0</v>
      </c>
      <c r="P97" s="34" t="s">
        <v>68</v>
      </c>
      <c r="Q97" s="33" t="n">
        <f>630</f>
        <v>630.0</v>
      </c>
      <c r="R97" s="34" t="s">
        <v>50</v>
      </c>
      <c r="S97" s="35" t="n">
        <f>654.26</f>
        <v>654.26</v>
      </c>
      <c r="T97" s="32" t="n">
        <f>79857056</f>
        <v>7.9857056E7</v>
      </c>
      <c r="U97" s="32" t="n">
        <f>12030699</f>
        <v>1.2030699E7</v>
      </c>
      <c r="V97" s="32" t="n">
        <f>52136317752</f>
        <v>5.2136317752E10</v>
      </c>
      <c r="W97" s="32" t="n">
        <f>7756276086</f>
        <v>7.756276086E9</v>
      </c>
      <c r="X97" s="36" t="n">
        <f>19</f>
        <v>19.0</v>
      </c>
    </row>
    <row r="98">
      <c r="A98" s="27" t="s">
        <v>42</v>
      </c>
      <c r="B98" s="27" t="s">
        <v>345</v>
      </c>
      <c r="C98" s="27" t="s">
        <v>346</v>
      </c>
      <c r="D98" s="27" t="s">
        <v>347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10.0</v>
      </c>
      <c r="K98" s="33" t="n">
        <f>2875.5</f>
        <v>2875.5</v>
      </c>
      <c r="L98" s="34" t="s">
        <v>48</v>
      </c>
      <c r="M98" s="33" t="n">
        <f>3615</f>
        <v>3615.0</v>
      </c>
      <c r="N98" s="34" t="s">
        <v>70</v>
      </c>
      <c r="O98" s="33" t="n">
        <f>2800.5</f>
        <v>2800.5</v>
      </c>
      <c r="P98" s="34" t="s">
        <v>61</v>
      </c>
      <c r="Q98" s="33" t="n">
        <f>3406</f>
        <v>3406.0</v>
      </c>
      <c r="R98" s="34" t="s">
        <v>50</v>
      </c>
      <c r="S98" s="35" t="n">
        <f>3205.95</f>
        <v>3205.95</v>
      </c>
      <c r="T98" s="32" t="n">
        <f>967860</f>
        <v>967860.0</v>
      </c>
      <c r="U98" s="32" t="n">
        <f>20</f>
        <v>20.0</v>
      </c>
      <c r="V98" s="32" t="n">
        <f>3104900970</f>
        <v>3.10490097E9</v>
      </c>
      <c r="W98" s="32" t="n">
        <f>62300</f>
        <v>62300.0</v>
      </c>
      <c r="X98" s="36" t="n">
        <f>19</f>
        <v>19.0</v>
      </c>
    </row>
    <row r="99">
      <c r="A99" s="27" t="s">
        <v>42</v>
      </c>
      <c r="B99" s="27" t="s">
        <v>348</v>
      </c>
      <c r="C99" s="27" t="s">
        <v>349</v>
      </c>
      <c r="D99" s="27" t="s">
        <v>350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14315</f>
        <v>14315.0</v>
      </c>
      <c r="L99" s="34" t="s">
        <v>48</v>
      </c>
      <c r="M99" s="33" t="n">
        <f>14645</f>
        <v>14645.0</v>
      </c>
      <c r="N99" s="34" t="s">
        <v>61</v>
      </c>
      <c r="O99" s="33" t="n">
        <f>12890</f>
        <v>12890.0</v>
      </c>
      <c r="P99" s="34" t="s">
        <v>70</v>
      </c>
      <c r="Q99" s="33" t="n">
        <f>13265</f>
        <v>13265.0</v>
      </c>
      <c r="R99" s="34" t="s">
        <v>50</v>
      </c>
      <c r="S99" s="35" t="n">
        <f>13723.68</f>
        <v>13723.68</v>
      </c>
      <c r="T99" s="32" t="n">
        <f>102890</f>
        <v>102890.0</v>
      </c>
      <c r="U99" s="32" t="n">
        <f>140</f>
        <v>140.0</v>
      </c>
      <c r="V99" s="32" t="n">
        <f>1421420500</f>
        <v>1.4214205E9</v>
      </c>
      <c r="W99" s="32" t="n">
        <f>1977150</f>
        <v>1977150.0</v>
      </c>
      <c r="X99" s="36" t="n">
        <f>19</f>
        <v>19.0</v>
      </c>
    </row>
    <row r="100">
      <c r="A100" s="27" t="s">
        <v>42</v>
      </c>
      <c r="B100" s="27" t="s">
        <v>351</v>
      </c>
      <c r="C100" s="27" t="s">
        <v>352</v>
      </c>
      <c r="D100" s="27" t="s">
        <v>353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34530</f>
        <v>34530.0</v>
      </c>
      <c r="L100" s="34" t="s">
        <v>48</v>
      </c>
      <c r="M100" s="33" t="n">
        <f>35880</f>
        <v>35880.0</v>
      </c>
      <c r="N100" s="34" t="s">
        <v>49</v>
      </c>
      <c r="O100" s="33" t="n">
        <f>34070</f>
        <v>34070.0</v>
      </c>
      <c r="P100" s="34" t="s">
        <v>74</v>
      </c>
      <c r="Q100" s="33" t="n">
        <f>35630</f>
        <v>35630.0</v>
      </c>
      <c r="R100" s="34" t="s">
        <v>50</v>
      </c>
      <c r="S100" s="35" t="n">
        <f>34884.74</f>
        <v>34884.74</v>
      </c>
      <c r="T100" s="32" t="n">
        <f>127963</f>
        <v>127963.0</v>
      </c>
      <c r="U100" s="32" t="n">
        <f>61773</f>
        <v>61773.0</v>
      </c>
      <c r="V100" s="32" t="n">
        <f>4460256396</f>
        <v>4.460256396E9</v>
      </c>
      <c r="W100" s="32" t="n">
        <f>2157919526</f>
        <v>2.157919526E9</v>
      </c>
      <c r="X100" s="36" t="n">
        <f>19</f>
        <v>19.0</v>
      </c>
    </row>
    <row r="101">
      <c r="A101" s="27" t="s">
        <v>42</v>
      </c>
      <c r="B101" s="27" t="s">
        <v>354</v>
      </c>
      <c r="C101" s="27" t="s">
        <v>355</v>
      </c>
      <c r="D101" s="27" t="s">
        <v>356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1.0</v>
      </c>
      <c r="K101" s="33" t="n">
        <f>2865</f>
        <v>2865.0</v>
      </c>
      <c r="L101" s="34" t="s">
        <v>48</v>
      </c>
      <c r="M101" s="33" t="n">
        <f>3140</f>
        <v>3140.0</v>
      </c>
      <c r="N101" s="34" t="s">
        <v>68</v>
      </c>
      <c r="O101" s="33" t="n">
        <f>2855</f>
        <v>2855.0</v>
      </c>
      <c r="P101" s="34" t="s">
        <v>74</v>
      </c>
      <c r="Q101" s="33" t="n">
        <f>3125</f>
        <v>3125.0</v>
      </c>
      <c r="R101" s="34" t="s">
        <v>50</v>
      </c>
      <c r="S101" s="35" t="n">
        <f>3010.32</f>
        <v>3010.32</v>
      </c>
      <c r="T101" s="32" t="n">
        <f>120195</f>
        <v>120195.0</v>
      </c>
      <c r="U101" s="32" t="n">
        <f>4</f>
        <v>4.0</v>
      </c>
      <c r="V101" s="32" t="n">
        <f>363857543</f>
        <v>3.63857543E8</v>
      </c>
      <c r="W101" s="32" t="n">
        <f>12330</f>
        <v>12330.0</v>
      </c>
      <c r="X101" s="36" t="n">
        <f>19</f>
        <v>19.0</v>
      </c>
    </row>
    <row r="102">
      <c r="A102" s="27" t="s">
        <v>42</v>
      </c>
      <c r="B102" s="27" t="s">
        <v>357</v>
      </c>
      <c r="C102" s="27" t="s">
        <v>358</v>
      </c>
      <c r="D102" s="27" t="s">
        <v>359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25975</f>
        <v>25975.0</v>
      </c>
      <c r="L102" s="34" t="s">
        <v>48</v>
      </c>
      <c r="M102" s="33" t="n">
        <f>31140</f>
        <v>31140.0</v>
      </c>
      <c r="N102" s="34" t="s">
        <v>68</v>
      </c>
      <c r="O102" s="33" t="n">
        <f>25810</f>
        <v>25810.0</v>
      </c>
      <c r="P102" s="34" t="s">
        <v>74</v>
      </c>
      <c r="Q102" s="33" t="n">
        <f>30790</f>
        <v>30790.0</v>
      </c>
      <c r="R102" s="34" t="s">
        <v>50</v>
      </c>
      <c r="S102" s="35" t="n">
        <f>28689.74</f>
        <v>28689.74</v>
      </c>
      <c r="T102" s="32" t="n">
        <f>8883140</f>
        <v>8883140.0</v>
      </c>
      <c r="U102" s="32" t="n">
        <f>11060</f>
        <v>11060.0</v>
      </c>
      <c r="V102" s="32" t="n">
        <f>252681764730</f>
        <v>2.5268176473E11</v>
      </c>
      <c r="W102" s="32" t="n">
        <f>290976030</f>
        <v>2.9097603E8</v>
      </c>
      <c r="X102" s="36" t="n">
        <f>19</f>
        <v>19.0</v>
      </c>
    </row>
    <row r="103">
      <c r="A103" s="27" t="s">
        <v>42</v>
      </c>
      <c r="B103" s="27" t="s">
        <v>360</v>
      </c>
      <c r="C103" s="27" t="s">
        <v>361</v>
      </c>
      <c r="D103" s="27" t="s">
        <v>362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1827.5</f>
        <v>1827.5</v>
      </c>
      <c r="L103" s="34" t="s">
        <v>48</v>
      </c>
      <c r="M103" s="33" t="n">
        <f>1832</f>
        <v>1832.0</v>
      </c>
      <c r="N103" s="34" t="s">
        <v>74</v>
      </c>
      <c r="O103" s="33" t="n">
        <f>1661</f>
        <v>1661.0</v>
      </c>
      <c r="P103" s="34" t="s">
        <v>68</v>
      </c>
      <c r="Q103" s="33" t="n">
        <f>1669.5</f>
        <v>1669.5</v>
      </c>
      <c r="R103" s="34" t="s">
        <v>50</v>
      </c>
      <c r="S103" s="35" t="n">
        <f>1736.34</f>
        <v>1736.34</v>
      </c>
      <c r="T103" s="32" t="n">
        <f>2607140</f>
        <v>2607140.0</v>
      </c>
      <c r="U103" s="32" t="n">
        <f>240230</f>
        <v>240230.0</v>
      </c>
      <c r="V103" s="32" t="n">
        <f>4509588795</f>
        <v>4.509588795E9</v>
      </c>
      <c r="W103" s="32" t="n">
        <f>413374745</f>
        <v>4.13374745E8</v>
      </c>
      <c r="X103" s="36" t="n">
        <f>19</f>
        <v>19.0</v>
      </c>
    </row>
    <row r="104">
      <c r="A104" s="27" t="s">
        <v>42</v>
      </c>
      <c r="B104" s="27" t="s">
        <v>363</v>
      </c>
      <c r="C104" s="27" t="s">
        <v>364</v>
      </c>
      <c r="D104" s="27" t="s">
        <v>365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10.0</v>
      </c>
      <c r="K104" s="33" t="n">
        <f>1765.5</f>
        <v>1765.5</v>
      </c>
      <c r="L104" s="34" t="s">
        <v>48</v>
      </c>
      <c r="M104" s="33" t="n">
        <f>1921</f>
        <v>1921.0</v>
      </c>
      <c r="N104" s="34" t="s">
        <v>92</v>
      </c>
      <c r="O104" s="33" t="n">
        <f>1765.5</f>
        <v>1765.5</v>
      </c>
      <c r="P104" s="34" t="s">
        <v>48</v>
      </c>
      <c r="Q104" s="33" t="n">
        <f>1855.5</f>
        <v>1855.5</v>
      </c>
      <c r="R104" s="34" t="s">
        <v>50</v>
      </c>
      <c r="S104" s="35" t="n">
        <f>1816.58</f>
        <v>1816.58</v>
      </c>
      <c r="T104" s="32" t="n">
        <f>36290</f>
        <v>36290.0</v>
      </c>
      <c r="U104" s="32" t="n">
        <f>360</f>
        <v>360.0</v>
      </c>
      <c r="V104" s="32" t="n">
        <f>66238805</f>
        <v>6.6238805E7</v>
      </c>
      <c r="W104" s="32" t="n">
        <f>651380</f>
        <v>651380.0</v>
      </c>
      <c r="X104" s="36" t="n">
        <f>19</f>
        <v>19.0</v>
      </c>
    </row>
    <row r="105">
      <c r="A105" s="27" t="s">
        <v>42</v>
      </c>
      <c r="B105" s="27" t="s">
        <v>366</v>
      </c>
      <c r="C105" s="27" t="s">
        <v>367</v>
      </c>
      <c r="D105" s="27" t="s">
        <v>368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1.0</v>
      </c>
      <c r="K105" s="33" t="n">
        <f>2049</f>
        <v>2049.0</v>
      </c>
      <c r="L105" s="34" t="s">
        <v>48</v>
      </c>
      <c r="M105" s="33" t="n">
        <f>2423</f>
        <v>2423.0</v>
      </c>
      <c r="N105" s="34" t="s">
        <v>81</v>
      </c>
      <c r="O105" s="33" t="n">
        <f>2001</f>
        <v>2001.0</v>
      </c>
      <c r="P105" s="34" t="s">
        <v>81</v>
      </c>
      <c r="Q105" s="33" t="n">
        <f>2180</f>
        <v>2180.0</v>
      </c>
      <c r="R105" s="34" t="s">
        <v>50</v>
      </c>
      <c r="S105" s="35" t="n">
        <f>2140.11</f>
        <v>2140.11</v>
      </c>
      <c r="T105" s="32" t="n">
        <f>12505</f>
        <v>12505.0</v>
      </c>
      <c r="U105" s="32" t="n">
        <f>12</f>
        <v>12.0</v>
      </c>
      <c r="V105" s="32" t="n">
        <f>27154310</f>
        <v>2.715431E7</v>
      </c>
      <c r="W105" s="32" t="n">
        <f>24739</f>
        <v>24739.0</v>
      </c>
      <c r="X105" s="36" t="n">
        <f>19</f>
        <v>19.0</v>
      </c>
    </row>
    <row r="106">
      <c r="A106" s="27" t="s">
        <v>42</v>
      </c>
      <c r="B106" s="27" t="s">
        <v>369</v>
      </c>
      <c r="C106" s="27" t="s">
        <v>370</v>
      </c>
      <c r="D106" s="27" t="s">
        <v>371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1.0</v>
      </c>
      <c r="K106" s="33" t="n">
        <f>22995</f>
        <v>22995.0</v>
      </c>
      <c r="L106" s="34" t="s">
        <v>48</v>
      </c>
      <c r="M106" s="33" t="n">
        <f>24450</f>
        <v>24450.0</v>
      </c>
      <c r="N106" s="34" t="s">
        <v>49</v>
      </c>
      <c r="O106" s="33" t="n">
        <f>22920</f>
        <v>22920.0</v>
      </c>
      <c r="P106" s="34" t="s">
        <v>74</v>
      </c>
      <c r="Q106" s="33" t="n">
        <f>24255</f>
        <v>24255.0</v>
      </c>
      <c r="R106" s="34" t="s">
        <v>50</v>
      </c>
      <c r="S106" s="35" t="n">
        <f>23650.26</f>
        <v>23650.26</v>
      </c>
      <c r="T106" s="32" t="n">
        <f>107887</f>
        <v>107887.0</v>
      </c>
      <c r="U106" s="32" t="n">
        <f>60800</f>
        <v>60800.0</v>
      </c>
      <c r="V106" s="32" t="n">
        <f>2560715520</f>
        <v>2.56071552E9</v>
      </c>
      <c r="W106" s="32" t="n">
        <f>1454092580</f>
        <v>1.45409258E9</v>
      </c>
      <c r="X106" s="36" t="n">
        <f>19</f>
        <v>19.0</v>
      </c>
    </row>
    <row r="107">
      <c r="A107" s="27" t="s">
        <v>42</v>
      </c>
      <c r="B107" s="27" t="s">
        <v>372</v>
      </c>
      <c r="C107" s="27" t="s">
        <v>373</v>
      </c>
      <c r="D107" s="27" t="s">
        <v>374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2101</f>
        <v>2101.0</v>
      </c>
      <c r="L107" s="34" t="s">
        <v>48</v>
      </c>
      <c r="M107" s="33" t="n">
        <f>2233</f>
        <v>2233.0</v>
      </c>
      <c r="N107" s="34" t="s">
        <v>49</v>
      </c>
      <c r="O107" s="33" t="n">
        <f>2096</f>
        <v>2096.0</v>
      </c>
      <c r="P107" s="34" t="s">
        <v>48</v>
      </c>
      <c r="Q107" s="33" t="n">
        <f>2223</f>
        <v>2223.0</v>
      </c>
      <c r="R107" s="34" t="s">
        <v>50</v>
      </c>
      <c r="S107" s="35" t="n">
        <f>2161.37</f>
        <v>2161.37</v>
      </c>
      <c r="T107" s="32" t="n">
        <f>64938</f>
        <v>64938.0</v>
      </c>
      <c r="U107" s="32" t="str">
        <f>"－"</f>
        <v>－</v>
      </c>
      <c r="V107" s="32" t="n">
        <f>140618251</f>
        <v>1.40618251E8</v>
      </c>
      <c r="W107" s="32" t="str">
        <f>"－"</f>
        <v>－</v>
      </c>
      <c r="X107" s="36" t="n">
        <f>19</f>
        <v>19.0</v>
      </c>
    </row>
    <row r="108">
      <c r="A108" s="27" t="s">
        <v>42</v>
      </c>
      <c r="B108" s="27" t="s">
        <v>375</v>
      </c>
      <c r="C108" s="27" t="s">
        <v>376</v>
      </c>
      <c r="D108" s="27" t="s">
        <v>377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23500</f>
        <v>23500.0</v>
      </c>
      <c r="L108" s="34" t="s">
        <v>48</v>
      </c>
      <c r="M108" s="33" t="n">
        <f>24950</f>
        <v>24950.0</v>
      </c>
      <c r="N108" s="34" t="s">
        <v>49</v>
      </c>
      <c r="O108" s="33" t="n">
        <f>23430</f>
        <v>23430.0</v>
      </c>
      <c r="P108" s="34" t="s">
        <v>74</v>
      </c>
      <c r="Q108" s="33" t="n">
        <f>24825</f>
        <v>24825.0</v>
      </c>
      <c r="R108" s="34" t="s">
        <v>50</v>
      </c>
      <c r="S108" s="35" t="n">
        <f>24154.47</f>
        <v>24154.47</v>
      </c>
      <c r="T108" s="32" t="n">
        <f>34783</f>
        <v>34783.0</v>
      </c>
      <c r="U108" s="32" t="n">
        <f>5820</f>
        <v>5820.0</v>
      </c>
      <c r="V108" s="32" t="n">
        <f>837326367</f>
        <v>8.37326367E8</v>
      </c>
      <c r="W108" s="32" t="n">
        <f>137283402</f>
        <v>1.37283402E8</v>
      </c>
      <c r="X108" s="36" t="n">
        <f>19</f>
        <v>19.0</v>
      </c>
    </row>
    <row r="109">
      <c r="A109" s="27" t="s">
        <v>42</v>
      </c>
      <c r="B109" s="27" t="s">
        <v>378</v>
      </c>
      <c r="C109" s="27" t="s">
        <v>379</v>
      </c>
      <c r="D109" s="27" t="s">
        <v>380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10.0</v>
      </c>
      <c r="K109" s="33" t="n">
        <f>1847</f>
        <v>1847.0</v>
      </c>
      <c r="L109" s="34" t="s">
        <v>48</v>
      </c>
      <c r="M109" s="33" t="n">
        <f>1847.5</f>
        <v>1847.5</v>
      </c>
      <c r="N109" s="34" t="s">
        <v>61</v>
      </c>
      <c r="O109" s="33" t="n">
        <f>1718.5</f>
        <v>1718.5</v>
      </c>
      <c r="P109" s="34" t="s">
        <v>109</v>
      </c>
      <c r="Q109" s="33" t="n">
        <f>1748.5</f>
        <v>1748.5</v>
      </c>
      <c r="R109" s="34" t="s">
        <v>50</v>
      </c>
      <c r="S109" s="35" t="n">
        <f>1777.87</f>
        <v>1777.87</v>
      </c>
      <c r="T109" s="32" t="n">
        <f>3055920</f>
        <v>3055920.0</v>
      </c>
      <c r="U109" s="32" t="n">
        <f>673340</f>
        <v>673340.0</v>
      </c>
      <c r="V109" s="32" t="n">
        <f>5396233087</f>
        <v>5.396233087E9</v>
      </c>
      <c r="W109" s="32" t="n">
        <f>1181733047</f>
        <v>1.181733047E9</v>
      </c>
      <c r="X109" s="36" t="n">
        <f>19</f>
        <v>19.0</v>
      </c>
    </row>
    <row r="110">
      <c r="A110" s="27" t="s">
        <v>42</v>
      </c>
      <c r="B110" s="27" t="s">
        <v>381</v>
      </c>
      <c r="C110" s="27" t="s">
        <v>382</v>
      </c>
      <c r="D110" s="27" t="s">
        <v>383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10.0</v>
      </c>
      <c r="K110" s="33" t="n">
        <f>2128</f>
        <v>2128.0</v>
      </c>
      <c r="L110" s="34" t="s">
        <v>214</v>
      </c>
      <c r="M110" s="33" t="n">
        <f>2263</f>
        <v>2263.0</v>
      </c>
      <c r="N110" s="34" t="s">
        <v>68</v>
      </c>
      <c r="O110" s="33" t="n">
        <f>2128</f>
        <v>2128.0</v>
      </c>
      <c r="P110" s="34" t="s">
        <v>214</v>
      </c>
      <c r="Q110" s="33" t="n">
        <f>2238</f>
        <v>2238.0</v>
      </c>
      <c r="R110" s="34" t="s">
        <v>49</v>
      </c>
      <c r="S110" s="35" t="n">
        <f>2187.4</f>
        <v>2187.4</v>
      </c>
      <c r="T110" s="32" t="n">
        <f>200</f>
        <v>200.0</v>
      </c>
      <c r="U110" s="32" t="str">
        <f>"－"</f>
        <v>－</v>
      </c>
      <c r="V110" s="32" t="n">
        <f>441170</f>
        <v>441170.0</v>
      </c>
      <c r="W110" s="32" t="str">
        <f>"－"</f>
        <v>－</v>
      </c>
      <c r="X110" s="36" t="n">
        <f>5</f>
        <v>5.0</v>
      </c>
    </row>
    <row r="111">
      <c r="A111" s="27" t="s">
        <v>42</v>
      </c>
      <c r="B111" s="27" t="s">
        <v>384</v>
      </c>
      <c r="C111" s="27" t="s">
        <v>385</v>
      </c>
      <c r="D111" s="27" t="s">
        <v>386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10.0</v>
      </c>
      <c r="K111" s="33" t="n">
        <f>1864.5</f>
        <v>1864.5</v>
      </c>
      <c r="L111" s="34" t="s">
        <v>48</v>
      </c>
      <c r="M111" s="33" t="n">
        <f>1920</f>
        <v>1920.0</v>
      </c>
      <c r="N111" s="34" t="s">
        <v>61</v>
      </c>
      <c r="O111" s="33" t="n">
        <f>1737</f>
        <v>1737.0</v>
      </c>
      <c r="P111" s="34" t="s">
        <v>109</v>
      </c>
      <c r="Q111" s="33" t="n">
        <f>1770.5</f>
        <v>1770.5</v>
      </c>
      <c r="R111" s="34" t="s">
        <v>50</v>
      </c>
      <c r="S111" s="35" t="n">
        <f>1803.18</f>
        <v>1803.18</v>
      </c>
      <c r="T111" s="32" t="n">
        <f>2937240</f>
        <v>2937240.0</v>
      </c>
      <c r="U111" s="32" t="n">
        <f>937720</f>
        <v>937720.0</v>
      </c>
      <c r="V111" s="32" t="n">
        <f>5303072952</f>
        <v>5.303072952E9</v>
      </c>
      <c r="W111" s="32" t="n">
        <f>1696091847</f>
        <v>1.696091847E9</v>
      </c>
      <c r="X111" s="36" t="n">
        <f>19</f>
        <v>19.0</v>
      </c>
    </row>
    <row r="112">
      <c r="A112" s="27" t="s">
        <v>42</v>
      </c>
      <c r="B112" s="27" t="s">
        <v>387</v>
      </c>
      <c r="C112" s="27" t="s">
        <v>388</v>
      </c>
      <c r="D112" s="27" t="s">
        <v>389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1.0</v>
      </c>
      <c r="K112" s="33" t="n">
        <f>23240</f>
        <v>23240.0</v>
      </c>
      <c r="L112" s="34" t="s">
        <v>48</v>
      </c>
      <c r="M112" s="33" t="n">
        <f>24630</f>
        <v>24630.0</v>
      </c>
      <c r="N112" s="34" t="s">
        <v>68</v>
      </c>
      <c r="O112" s="33" t="n">
        <f>23215</f>
        <v>23215.0</v>
      </c>
      <c r="P112" s="34" t="s">
        <v>74</v>
      </c>
      <c r="Q112" s="33" t="n">
        <f>24400</f>
        <v>24400.0</v>
      </c>
      <c r="R112" s="34" t="s">
        <v>50</v>
      </c>
      <c r="S112" s="35" t="n">
        <f>23865.79</f>
        <v>23865.79</v>
      </c>
      <c r="T112" s="32" t="n">
        <f>64073</f>
        <v>64073.0</v>
      </c>
      <c r="U112" s="32" t="n">
        <f>2100</f>
        <v>2100.0</v>
      </c>
      <c r="V112" s="32" t="n">
        <f>1546840295</f>
        <v>1.546840295E9</v>
      </c>
      <c r="W112" s="32" t="n">
        <f>49770210</f>
        <v>4.977021E7</v>
      </c>
      <c r="X112" s="36" t="n">
        <f>19</f>
        <v>19.0</v>
      </c>
    </row>
    <row r="113">
      <c r="A113" s="27" t="s">
        <v>42</v>
      </c>
      <c r="B113" s="27" t="s">
        <v>390</v>
      </c>
      <c r="C113" s="27" t="s">
        <v>391</v>
      </c>
      <c r="D113" s="27" t="s">
        <v>392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100.0</v>
      </c>
      <c r="K113" s="33" t="n">
        <f>288.6</f>
        <v>288.6</v>
      </c>
      <c r="L113" s="34" t="s">
        <v>48</v>
      </c>
      <c r="M113" s="33" t="n">
        <f>315.8</f>
        <v>315.8</v>
      </c>
      <c r="N113" s="34" t="s">
        <v>70</v>
      </c>
      <c r="O113" s="33" t="n">
        <f>283.6</f>
        <v>283.6</v>
      </c>
      <c r="P113" s="34" t="s">
        <v>214</v>
      </c>
      <c r="Q113" s="33" t="n">
        <f>312.8</f>
        <v>312.8</v>
      </c>
      <c r="R113" s="34" t="s">
        <v>50</v>
      </c>
      <c r="S113" s="35" t="n">
        <f>297.45</f>
        <v>297.45</v>
      </c>
      <c r="T113" s="32" t="n">
        <f>83328800</f>
        <v>8.33288E7</v>
      </c>
      <c r="U113" s="32" t="n">
        <f>11992200</f>
        <v>1.19922E7</v>
      </c>
      <c r="V113" s="32" t="n">
        <f>25002218142</f>
        <v>2.5002218142E10</v>
      </c>
      <c r="W113" s="32" t="n">
        <f>3689629062</f>
        <v>3.689629062E9</v>
      </c>
      <c r="X113" s="36" t="n">
        <f>19</f>
        <v>19.0</v>
      </c>
    </row>
    <row r="114">
      <c r="A114" s="27" t="s">
        <v>42</v>
      </c>
      <c r="B114" s="27" t="s">
        <v>393</v>
      </c>
      <c r="C114" s="27" t="s">
        <v>394</v>
      </c>
      <c r="D114" s="27" t="s">
        <v>395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1.0</v>
      </c>
      <c r="K114" s="33" t="n">
        <f>37250</f>
        <v>37250.0</v>
      </c>
      <c r="L114" s="34" t="s">
        <v>48</v>
      </c>
      <c r="M114" s="33" t="n">
        <f>38310</f>
        <v>38310.0</v>
      </c>
      <c r="N114" s="34" t="s">
        <v>49</v>
      </c>
      <c r="O114" s="33" t="n">
        <f>36750</f>
        <v>36750.0</v>
      </c>
      <c r="P114" s="34" t="s">
        <v>92</v>
      </c>
      <c r="Q114" s="33" t="n">
        <f>36980</f>
        <v>36980.0</v>
      </c>
      <c r="R114" s="34" t="s">
        <v>50</v>
      </c>
      <c r="S114" s="35" t="n">
        <f>37355.26</f>
        <v>37355.26</v>
      </c>
      <c r="T114" s="32" t="n">
        <f>5038</f>
        <v>5038.0</v>
      </c>
      <c r="U114" s="32" t="n">
        <f>3000</f>
        <v>3000.0</v>
      </c>
      <c r="V114" s="32" t="n">
        <f>186718160</f>
        <v>1.8671816E8</v>
      </c>
      <c r="W114" s="32" t="n">
        <f>110636100</f>
        <v>1.106361E8</v>
      </c>
      <c r="X114" s="36" t="n">
        <f>19</f>
        <v>19.0</v>
      </c>
    </row>
    <row r="115">
      <c r="A115" s="27" t="s">
        <v>42</v>
      </c>
      <c r="B115" s="27" t="s">
        <v>396</v>
      </c>
      <c r="C115" s="27" t="s">
        <v>397</v>
      </c>
      <c r="D115" s="27" t="s">
        <v>398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18450</f>
        <v>18450.0</v>
      </c>
      <c r="L115" s="34" t="s">
        <v>48</v>
      </c>
      <c r="M115" s="33" t="n">
        <f>19795</f>
        <v>19795.0</v>
      </c>
      <c r="N115" s="34" t="s">
        <v>50</v>
      </c>
      <c r="O115" s="33" t="n">
        <f>18180</f>
        <v>18180.0</v>
      </c>
      <c r="P115" s="34" t="s">
        <v>236</v>
      </c>
      <c r="Q115" s="33" t="n">
        <f>19575</f>
        <v>19575.0</v>
      </c>
      <c r="R115" s="34" t="s">
        <v>50</v>
      </c>
      <c r="S115" s="35" t="n">
        <f>18953.42</f>
        <v>18953.42</v>
      </c>
      <c r="T115" s="32" t="n">
        <f>6442</f>
        <v>6442.0</v>
      </c>
      <c r="U115" s="32" t="n">
        <f>2</f>
        <v>2.0</v>
      </c>
      <c r="V115" s="32" t="n">
        <f>122733465</f>
        <v>1.22733465E8</v>
      </c>
      <c r="W115" s="32" t="n">
        <f>37160</f>
        <v>37160.0</v>
      </c>
      <c r="X115" s="36" t="n">
        <f>19</f>
        <v>19.0</v>
      </c>
    </row>
    <row r="116">
      <c r="A116" s="27" t="s">
        <v>42</v>
      </c>
      <c r="B116" s="27" t="s">
        <v>399</v>
      </c>
      <c r="C116" s="27" t="s">
        <v>400</v>
      </c>
      <c r="D116" s="27" t="s">
        <v>401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28270</f>
        <v>28270.0</v>
      </c>
      <c r="L116" s="34" t="s">
        <v>48</v>
      </c>
      <c r="M116" s="33" t="n">
        <f>29165</f>
        <v>29165.0</v>
      </c>
      <c r="N116" s="34" t="s">
        <v>68</v>
      </c>
      <c r="O116" s="33" t="n">
        <f>27945</f>
        <v>27945.0</v>
      </c>
      <c r="P116" s="34" t="s">
        <v>92</v>
      </c>
      <c r="Q116" s="33" t="n">
        <f>28985</f>
        <v>28985.0</v>
      </c>
      <c r="R116" s="34" t="s">
        <v>50</v>
      </c>
      <c r="S116" s="35" t="n">
        <f>28580</f>
        <v>28580.0</v>
      </c>
      <c r="T116" s="32" t="n">
        <f>4315</f>
        <v>4315.0</v>
      </c>
      <c r="U116" s="32" t="str">
        <f>"－"</f>
        <v>－</v>
      </c>
      <c r="V116" s="32" t="n">
        <f>123343920</f>
        <v>1.2334392E8</v>
      </c>
      <c r="W116" s="32" t="str">
        <f>"－"</f>
        <v>－</v>
      </c>
      <c r="X116" s="36" t="n">
        <f>19</f>
        <v>19.0</v>
      </c>
    </row>
    <row r="117">
      <c r="A117" s="27" t="s">
        <v>42</v>
      </c>
      <c r="B117" s="27" t="s">
        <v>402</v>
      </c>
      <c r="C117" s="27" t="s">
        <v>403</v>
      </c>
      <c r="D117" s="27" t="s">
        <v>404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1.0</v>
      </c>
      <c r="K117" s="33" t="n">
        <f>29530</f>
        <v>29530.0</v>
      </c>
      <c r="L117" s="34" t="s">
        <v>48</v>
      </c>
      <c r="M117" s="33" t="n">
        <f>30790</f>
        <v>30790.0</v>
      </c>
      <c r="N117" s="34" t="s">
        <v>49</v>
      </c>
      <c r="O117" s="33" t="n">
        <f>29330</f>
        <v>29330.0</v>
      </c>
      <c r="P117" s="34" t="s">
        <v>214</v>
      </c>
      <c r="Q117" s="33" t="n">
        <f>30370</f>
        <v>30370.0</v>
      </c>
      <c r="R117" s="34" t="s">
        <v>50</v>
      </c>
      <c r="S117" s="35" t="n">
        <f>29946.32</f>
        <v>29946.32</v>
      </c>
      <c r="T117" s="32" t="n">
        <f>2956</f>
        <v>2956.0</v>
      </c>
      <c r="U117" s="32" t="str">
        <f>"－"</f>
        <v>－</v>
      </c>
      <c r="V117" s="32" t="n">
        <f>88502970</f>
        <v>8.850297E7</v>
      </c>
      <c r="W117" s="32" t="str">
        <f>"－"</f>
        <v>－</v>
      </c>
      <c r="X117" s="36" t="n">
        <f>19</f>
        <v>19.0</v>
      </c>
    </row>
    <row r="118">
      <c r="A118" s="27" t="s">
        <v>42</v>
      </c>
      <c r="B118" s="27" t="s">
        <v>405</v>
      </c>
      <c r="C118" s="27" t="s">
        <v>406</v>
      </c>
      <c r="D118" s="27" t="s">
        <v>407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1.0</v>
      </c>
      <c r="K118" s="33" t="n">
        <f>27065</f>
        <v>27065.0</v>
      </c>
      <c r="L118" s="34" t="s">
        <v>48</v>
      </c>
      <c r="M118" s="33" t="n">
        <f>28720</f>
        <v>28720.0</v>
      </c>
      <c r="N118" s="34" t="s">
        <v>70</v>
      </c>
      <c r="O118" s="33" t="n">
        <f>26410</f>
        <v>26410.0</v>
      </c>
      <c r="P118" s="34" t="s">
        <v>74</v>
      </c>
      <c r="Q118" s="33" t="n">
        <f>28280</f>
        <v>28280.0</v>
      </c>
      <c r="R118" s="34" t="s">
        <v>50</v>
      </c>
      <c r="S118" s="35" t="n">
        <f>27558.68</f>
        <v>27558.68</v>
      </c>
      <c r="T118" s="32" t="n">
        <f>9508</f>
        <v>9508.0</v>
      </c>
      <c r="U118" s="32" t="n">
        <f>3</f>
        <v>3.0</v>
      </c>
      <c r="V118" s="32" t="n">
        <f>262242630</f>
        <v>2.6224263E8</v>
      </c>
      <c r="W118" s="32" t="n">
        <f>82140</f>
        <v>82140.0</v>
      </c>
      <c r="X118" s="36" t="n">
        <f>19</f>
        <v>19.0</v>
      </c>
    </row>
    <row r="119">
      <c r="A119" s="27" t="s">
        <v>42</v>
      </c>
      <c r="B119" s="27" t="s">
        <v>408</v>
      </c>
      <c r="C119" s="27" t="s">
        <v>409</v>
      </c>
      <c r="D119" s="27" t="s">
        <v>410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1.0</v>
      </c>
      <c r="K119" s="33" t="n">
        <f>31750</f>
        <v>31750.0</v>
      </c>
      <c r="L119" s="34" t="s">
        <v>48</v>
      </c>
      <c r="M119" s="33" t="n">
        <f>36650</f>
        <v>36650.0</v>
      </c>
      <c r="N119" s="34" t="s">
        <v>49</v>
      </c>
      <c r="O119" s="33" t="n">
        <f>31670</f>
        <v>31670.0</v>
      </c>
      <c r="P119" s="34" t="s">
        <v>48</v>
      </c>
      <c r="Q119" s="33" t="n">
        <f>36560</f>
        <v>36560.0</v>
      </c>
      <c r="R119" s="34" t="s">
        <v>50</v>
      </c>
      <c r="S119" s="35" t="n">
        <f>34725.26</f>
        <v>34725.26</v>
      </c>
      <c r="T119" s="32" t="n">
        <f>28969</f>
        <v>28969.0</v>
      </c>
      <c r="U119" s="32" t="n">
        <f>14000</f>
        <v>14000.0</v>
      </c>
      <c r="V119" s="32" t="n">
        <f>1009845600</f>
        <v>1.0098456E9</v>
      </c>
      <c r="W119" s="32" t="n">
        <f>491646400</f>
        <v>4.916464E8</v>
      </c>
      <c r="X119" s="36" t="n">
        <f>19</f>
        <v>19.0</v>
      </c>
    </row>
    <row r="120">
      <c r="A120" s="27" t="s">
        <v>42</v>
      </c>
      <c r="B120" s="27" t="s">
        <v>411</v>
      </c>
      <c r="C120" s="27" t="s">
        <v>412</v>
      </c>
      <c r="D120" s="27" t="s">
        <v>413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1.0</v>
      </c>
      <c r="K120" s="33" t="n">
        <f>24680</f>
        <v>24680.0</v>
      </c>
      <c r="L120" s="34" t="s">
        <v>48</v>
      </c>
      <c r="M120" s="33" t="n">
        <f>26610</f>
        <v>26610.0</v>
      </c>
      <c r="N120" s="34" t="s">
        <v>70</v>
      </c>
      <c r="O120" s="33" t="n">
        <f>24405</f>
        <v>24405.0</v>
      </c>
      <c r="P120" s="34" t="s">
        <v>92</v>
      </c>
      <c r="Q120" s="33" t="n">
        <f>25920</f>
        <v>25920.0</v>
      </c>
      <c r="R120" s="34" t="s">
        <v>50</v>
      </c>
      <c r="S120" s="35" t="n">
        <f>25247.11</f>
        <v>25247.11</v>
      </c>
      <c r="T120" s="32" t="n">
        <f>7730</f>
        <v>7730.0</v>
      </c>
      <c r="U120" s="32" t="str">
        <f>"－"</f>
        <v>－</v>
      </c>
      <c r="V120" s="32" t="n">
        <f>196115595</f>
        <v>1.96115595E8</v>
      </c>
      <c r="W120" s="32" t="str">
        <f>"－"</f>
        <v>－</v>
      </c>
      <c r="X120" s="36" t="n">
        <f>19</f>
        <v>19.0</v>
      </c>
    </row>
    <row r="121">
      <c r="A121" s="27" t="s">
        <v>42</v>
      </c>
      <c r="B121" s="27" t="s">
        <v>414</v>
      </c>
      <c r="C121" s="27" t="s">
        <v>415</v>
      </c>
      <c r="D121" s="27" t="s">
        <v>416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1.0</v>
      </c>
      <c r="K121" s="33" t="n">
        <f>52100</f>
        <v>52100.0</v>
      </c>
      <c r="L121" s="34" t="s">
        <v>48</v>
      </c>
      <c r="M121" s="33" t="n">
        <f>56080</f>
        <v>56080.0</v>
      </c>
      <c r="N121" s="34" t="s">
        <v>70</v>
      </c>
      <c r="O121" s="33" t="n">
        <f>51430</f>
        <v>51430.0</v>
      </c>
      <c r="P121" s="34" t="s">
        <v>74</v>
      </c>
      <c r="Q121" s="33" t="n">
        <f>56020</f>
        <v>56020.0</v>
      </c>
      <c r="R121" s="34" t="s">
        <v>50</v>
      </c>
      <c r="S121" s="35" t="n">
        <f>53608.95</f>
        <v>53608.95</v>
      </c>
      <c r="T121" s="32" t="n">
        <f>3417</f>
        <v>3417.0</v>
      </c>
      <c r="U121" s="32" t="n">
        <f>1900</f>
        <v>1900.0</v>
      </c>
      <c r="V121" s="32" t="n">
        <f>179483420</f>
        <v>1.7948342E8</v>
      </c>
      <c r="W121" s="32" t="n">
        <f>98477950</f>
        <v>9.847795E7</v>
      </c>
      <c r="X121" s="36" t="n">
        <f>19</f>
        <v>19.0</v>
      </c>
    </row>
    <row r="122">
      <c r="A122" s="27" t="s">
        <v>42</v>
      </c>
      <c r="B122" s="27" t="s">
        <v>417</v>
      </c>
      <c r="C122" s="27" t="s">
        <v>418</v>
      </c>
      <c r="D122" s="27" t="s">
        <v>419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35560</f>
        <v>35560.0</v>
      </c>
      <c r="L122" s="34" t="s">
        <v>48</v>
      </c>
      <c r="M122" s="33" t="n">
        <f>39280</f>
        <v>39280.0</v>
      </c>
      <c r="N122" s="34" t="s">
        <v>295</v>
      </c>
      <c r="O122" s="33" t="n">
        <f>35070</f>
        <v>35070.0</v>
      </c>
      <c r="P122" s="34" t="s">
        <v>74</v>
      </c>
      <c r="Q122" s="33" t="n">
        <f>37390</f>
        <v>37390.0</v>
      </c>
      <c r="R122" s="34" t="s">
        <v>50</v>
      </c>
      <c r="S122" s="35" t="n">
        <f>36471.05</f>
        <v>36471.05</v>
      </c>
      <c r="T122" s="32" t="n">
        <f>15556</f>
        <v>15556.0</v>
      </c>
      <c r="U122" s="32" t="str">
        <f>"－"</f>
        <v>－</v>
      </c>
      <c r="V122" s="32" t="n">
        <f>567057940</f>
        <v>5.6705794E8</v>
      </c>
      <c r="W122" s="32" t="str">
        <f>"－"</f>
        <v>－</v>
      </c>
      <c r="X122" s="36" t="n">
        <f>19</f>
        <v>19.0</v>
      </c>
    </row>
    <row r="123">
      <c r="A123" s="27" t="s">
        <v>42</v>
      </c>
      <c r="B123" s="27" t="s">
        <v>420</v>
      </c>
      <c r="C123" s="27" t="s">
        <v>421</v>
      </c>
      <c r="D123" s="27" t="s">
        <v>422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33050</f>
        <v>33050.0</v>
      </c>
      <c r="L123" s="34" t="s">
        <v>48</v>
      </c>
      <c r="M123" s="33" t="n">
        <f>36350</f>
        <v>36350.0</v>
      </c>
      <c r="N123" s="34" t="s">
        <v>295</v>
      </c>
      <c r="O123" s="33" t="n">
        <f>32730</f>
        <v>32730.0</v>
      </c>
      <c r="P123" s="34" t="s">
        <v>74</v>
      </c>
      <c r="Q123" s="33" t="n">
        <f>34160</f>
        <v>34160.0</v>
      </c>
      <c r="R123" s="34" t="s">
        <v>50</v>
      </c>
      <c r="S123" s="35" t="n">
        <f>33684.74</f>
        <v>33684.74</v>
      </c>
      <c r="T123" s="32" t="n">
        <f>3162</f>
        <v>3162.0</v>
      </c>
      <c r="U123" s="32" t="str">
        <f>"－"</f>
        <v>－</v>
      </c>
      <c r="V123" s="32" t="n">
        <f>106931430</f>
        <v>1.0693143E8</v>
      </c>
      <c r="W123" s="32" t="str">
        <f>"－"</f>
        <v>－</v>
      </c>
      <c r="X123" s="36" t="n">
        <f>19</f>
        <v>19.0</v>
      </c>
    </row>
    <row r="124">
      <c r="A124" s="27" t="s">
        <v>42</v>
      </c>
      <c r="B124" s="27" t="s">
        <v>423</v>
      </c>
      <c r="C124" s="27" t="s">
        <v>424</v>
      </c>
      <c r="D124" s="27" t="s">
        <v>425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1.0</v>
      </c>
      <c r="K124" s="33" t="n">
        <f>8403</f>
        <v>8403.0</v>
      </c>
      <c r="L124" s="34" t="s">
        <v>48</v>
      </c>
      <c r="M124" s="33" t="n">
        <f>8574</f>
        <v>8574.0</v>
      </c>
      <c r="N124" s="34" t="s">
        <v>70</v>
      </c>
      <c r="O124" s="33" t="n">
        <f>7999</f>
        <v>7999.0</v>
      </c>
      <c r="P124" s="34" t="s">
        <v>92</v>
      </c>
      <c r="Q124" s="33" t="n">
        <f>8317</f>
        <v>8317.0</v>
      </c>
      <c r="R124" s="34" t="s">
        <v>50</v>
      </c>
      <c r="S124" s="35" t="n">
        <f>8274.74</f>
        <v>8274.74</v>
      </c>
      <c r="T124" s="32" t="n">
        <f>57417</f>
        <v>57417.0</v>
      </c>
      <c r="U124" s="32" t="n">
        <f>15000</f>
        <v>15000.0</v>
      </c>
      <c r="V124" s="32" t="n">
        <f>475073502</f>
        <v>4.75073502E8</v>
      </c>
      <c r="W124" s="32" t="n">
        <f>124800000</f>
        <v>1.248E8</v>
      </c>
      <c r="X124" s="36" t="n">
        <f>19</f>
        <v>19.0</v>
      </c>
    </row>
    <row r="125">
      <c r="A125" s="27" t="s">
        <v>42</v>
      </c>
      <c r="B125" s="27" t="s">
        <v>426</v>
      </c>
      <c r="C125" s="27" t="s">
        <v>427</v>
      </c>
      <c r="D125" s="27" t="s">
        <v>428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1.0</v>
      </c>
      <c r="K125" s="33" t="n">
        <f>19595</f>
        <v>19595.0</v>
      </c>
      <c r="L125" s="34" t="s">
        <v>48</v>
      </c>
      <c r="M125" s="33" t="n">
        <f>19920</f>
        <v>19920.0</v>
      </c>
      <c r="N125" s="34" t="s">
        <v>48</v>
      </c>
      <c r="O125" s="33" t="n">
        <f>19035</f>
        <v>19035.0</v>
      </c>
      <c r="P125" s="34" t="s">
        <v>92</v>
      </c>
      <c r="Q125" s="33" t="n">
        <f>19380</f>
        <v>19380.0</v>
      </c>
      <c r="R125" s="34" t="s">
        <v>50</v>
      </c>
      <c r="S125" s="35" t="n">
        <f>19445.26</f>
        <v>19445.26</v>
      </c>
      <c r="T125" s="32" t="n">
        <f>21855</f>
        <v>21855.0</v>
      </c>
      <c r="U125" s="32" t="n">
        <f>12000</f>
        <v>12000.0</v>
      </c>
      <c r="V125" s="32" t="n">
        <f>427872645</f>
        <v>4.27872645E8</v>
      </c>
      <c r="W125" s="32" t="n">
        <f>236434800</f>
        <v>2.364348E8</v>
      </c>
      <c r="X125" s="36" t="n">
        <f>19</f>
        <v>19.0</v>
      </c>
    </row>
    <row r="126">
      <c r="A126" s="27" t="s">
        <v>42</v>
      </c>
      <c r="B126" s="27" t="s">
        <v>429</v>
      </c>
      <c r="C126" s="27" t="s">
        <v>430</v>
      </c>
      <c r="D126" s="27" t="s">
        <v>431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1.0</v>
      </c>
      <c r="K126" s="33" t="n">
        <f>77910</f>
        <v>77910.0</v>
      </c>
      <c r="L126" s="34" t="s">
        <v>48</v>
      </c>
      <c r="M126" s="33" t="n">
        <f>85850</f>
        <v>85850.0</v>
      </c>
      <c r="N126" s="34" t="s">
        <v>68</v>
      </c>
      <c r="O126" s="33" t="n">
        <f>75970</f>
        <v>75970.0</v>
      </c>
      <c r="P126" s="34" t="s">
        <v>236</v>
      </c>
      <c r="Q126" s="33" t="n">
        <f>83750</f>
        <v>83750.0</v>
      </c>
      <c r="R126" s="34" t="s">
        <v>50</v>
      </c>
      <c r="S126" s="35" t="n">
        <f>80877.89</f>
        <v>80877.89</v>
      </c>
      <c r="T126" s="32" t="n">
        <f>19967</f>
        <v>19967.0</v>
      </c>
      <c r="U126" s="32" t="n">
        <f>10</f>
        <v>10.0</v>
      </c>
      <c r="V126" s="32" t="n">
        <f>1626946985</f>
        <v>1.626946985E9</v>
      </c>
      <c r="W126" s="32" t="n">
        <f>820015</f>
        <v>820015.0</v>
      </c>
      <c r="X126" s="36" t="n">
        <f>19</f>
        <v>19.0</v>
      </c>
    </row>
    <row r="127">
      <c r="A127" s="27" t="s">
        <v>42</v>
      </c>
      <c r="B127" s="27" t="s">
        <v>432</v>
      </c>
      <c r="C127" s="27" t="s">
        <v>433</v>
      </c>
      <c r="D127" s="27" t="s">
        <v>434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1.0</v>
      </c>
      <c r="K127" s="33" t="n">
        <f>27860</f>
        <v>27860.0</v>
      </c>
      <c r="L127" s="34" t="s">
        <v>48</v>
      </c>
      <c r="M127" s="33" t="n">
        <f>29315</f>
        <v>29315.0</v>
      </c>
      <c r="N127" s="34" t="s">
        <v>50</v>
      </c>
      <c r="O127" s="33" t="n">
        <f>27800</f>
        <v>27800.0</v>
      </c>
      <c r="P127" s="34" t="s">
        <v>48</v>
      </c>
      <c r="Q127" s="33" t="n">
        <f>29315</f>
        <v>29315.0</v>
      </c>
      <c r="R127" s="34" t="s">
        <v>50</v>
      </c>
      <c r="S127" s="35" t="n">
        <f>28591.32</f>
        <v>28591.32</v>
      </c>
      <c r="T127" s="32" t="n">
        <f>1470</f>
        <v>1470.0</v>
      </c>
      <c r="U127" s="32" t="str">
        <f>"－"</f>
        <v>－</v>
      </c>
      <c r="V127" s="32" t="n">
        <f>41988225</f>
        <v>4.1988225E7</v>
      </c>
      <c r="W127" s="32" t="str">
        <f>"－"</f>
        <v>－</v>
      </c>
      <c r="X127" s="36" t="n">
        <f>19</f>
        <v>19.0</v>
      </c>
    </row>
    <row r="128">
      <c r="A128" s="27" t="s">
        <v>42</v>
      </c>
      <c r="B128" s="27" t="s">
        <v>435</v>
      </c>
      <c r="C128" s="27" t="s">
        <v>436</v>
      </c>
      <c r="D128" s="27" t="s">
        <v>437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15195</f>
        <v>15195.0</v>
      </c>
      <c r="L128" s="34" t="s">
        <v>48</v>
      </c>
      <c r="M128" s="33" t="n">
        <f>16670</f>
        <v>16670.0</v>
      </c>
      <c r="N128" s="34" t="s">
        <v>70</v>
      </c>
      <c r="O128" s="33" t="n">
        <f>14930</f>
        <v>14930.0</v>
      </c>
      <c r="P128" s="34" t="s">
        <v>214</v>
      </c>
      <c r="Q128" s="33" t="n">
        <f>16460</f>
        <v>16460.0</v>
      </c>
      <c r="R128" s="34" t="s">
        <v>50</v>
      </c>
      <c r="S128" s="35" t="n">
        <f>15635.53</f>
        <v>15635.53</v>
      </c>
      <c r="T128" s="32" t="n">
        <f>77287</f>
        <v>77287.0</v>
      </c>
      <c r="U128" s="32" t="n">
        <f>18709</f>
        <v>18709.0</v>
      </c>
      <c r="V128" s="32" t="n">
        <f>1201379943</f>
        <v>1.201379943E9</v>
      </c>
      <c r="W128" s="32" t="n">
        <f>286678393</f>
        <v>2.86678393E8</v>
      </c>
      <c r="X128" s="36" t="n">
        <f>19</f>
        <v>19.0</v>
      </c>
    </row>
    <row r="129">
      <c r="A129" s="27" t="s">
        <v>42</v>
      </c>
      <c r="B129" s="27" t="s">
        <v>438</v>
      </c>
      <c r="C129" s="27" t="s">
        <v>439</v>
      </c>
      <c r="D129" s="27" t="s">
        <v>440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21670</f>
        <v>21670.0</v>
      </c>
      <c r="L129" s="34" t="s">
        <v>48</v>
      </c>
      <c r="M129" s="33" t="n">
        <f>24200</f>
        <v>24200.0</v>
      </c>
      <c r="N129" s="34" t="s">
        <v>161</v>
      </c>
      <c r="O129" s="33" t="n">
        <f>21295</f>
        <v>21295.0</v>
      </c>
      <c r="P129" s="34" t="s">
        <v>81</v>
      </c>
      <c r="Q129" s="33" t="n">
        <f>23970</f>
        <v>23970.0</v>
      </c>
      <c r="R129" s="34" t="s">
        <v>50</v>
      </c>
      <c r="S129" s="35" t="n">
        <f>22854.74</f>
        <v>22854.74</v>
      </c>
      <c r="T129" s="32" t="n">
        <f>14740</f>
        <v>14740.0</v>
      </c>
      <c r="U129" s="32" t="n">
        <f>2</f>
        <v>2.0</v>
      </c>
      <c r="V129" s="32" t="n">
        <f>338517845</f>
        <v>3.38517845E8</v>
      </c>
      <c r="W129" s="32" t="n">
        <f>45300</f>
        <v>45300.0</v>
      </c>
      <c r="X129" s="36" t="n">
        <f>19</f>
        <v>19.0</v>
      </c>
    </row>
    <row r="130">
      <c r="A130" s="27" t="s">
        <v>42</v>
      </c>
      <c r="B130" s="27" t="s">
        <v>441</v>
      </c>
      <c r="C130" s="27" t="s">
        <v>442</v>
      </c>
      <c r="D130" s="27" t="s">
        <v>443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36090</f>
        <v>36090.0</v>
      </c>
      <c r="L130" s="34" t="s">
        <v>48</v>
      </c>
      <c r="M130" s="33" t="n">
        <f>37860</f>
        <v>37860.0</v>
      </c>
      <c r="N130" s="34" t="s">
        <v>68</v>
      </c>
      <c r="O130" s="33" t="n">
        <f>35570</f>
        <v>35570.0</v>
      </c>
      <c r="P130" s="34" t="s">
        <v>88</v>
      </c>
      <c r="Q130" s="33" t="n">
        <f>37420</f>
        <v>37420.0</v>
      </c>
      <c r="R130" s="34" t="s">
        <v>50</v>
      </c>
      <c r="S130" s="35" t="n">
        <f>36788.42</f>
        <v>36788.42</v>
      </c>
      <c r="T130" s="32" t="n">
        <f>5054</f>
        <v>5054.0</v>
      </c>
      <c r="U130" s="32" t="str">
        <f>"－"</f>
        <v>－</v>
      </c>
      <c r="V130" s="32" t="n">
        <f>186088630</f>
        <v>1.8608863E8</v>
      </c>
      <c r="W130" s="32" t="str">
        <f>"－"</f>
        <v>－</v>
      </c>
      <c r="X130" s="36" t="n">
        <f>19</f>
        <v>19.0</v>
      </c>
    </row>
    <row r="131">
      <c r="A131" s="27" t="s">
        <v>42</v>
      </c>
      <c r="B131" s="27" t="s">
        <v>444</v>
      </c>
      <c r="C131" s="27" t="s">
        <v>445</v>
      </c>
      <c r="D131" s="27" t="s">
        <v>446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10.0</v>
      </c>
      <c r="K131" s="33" t="n">
        <f>1836</f>
        <v>1836.0</v>
      </c>
      <c r="L131" s="34" t="s">
        <v>48</v>
      </c>
      <c r="M131" s="33" t="n">
        <f>1961</f>
        <v>1961.0</v>
      </c>
      <c r="N131" s="34" t="s">
        <v>49</v>
      </c>
      <c r="O131" s="33" t="n">
        <f>1806</f>
        <v>1806.0</v>
      </c>
      <c r="P131" s="34" t="s">
        <v>236</v>
      </c>
      <c r="Q131" s="33" t="n">
        <f>1943</f>
        <v>1943.0</v>
      </c>
      <c r="R131" s="34" t="s">
        <v>50</v>
      </c>
      <c r="S131" s="35" t="n">
        <f>1883.55</f>
        <v>1883.55</v>
      </c>
      <c r="T131" s="32" t="n">
        <f>2892920</f>
        <v>2892920.0</v>
      </c>
      <c r="U131" s="32" t="n">
        <f>2255870</f>
        <v>2255870.0</v>
      </c>
      <c r="V131" s="32" t="n">
        <f>5505394046</f>
        <v>5.505394046E9</v>
      </c>
      <c r="W131" s="32" t="n">
        <f>4300670611</f>
        <v>4.300670611E9</v>
      </c>
      <c r="X131" s="36" t="n">
        <f>19</f>
        <v>19.0</v>
      </c>
    </row>
    <row r="132">
      <c r="A132" s="27" t="s">
        <v>42</v>
      </c>
      <c r="B132" s="27" t="s">
        <v>447</v>
      </c>
      <c r="C132" s="27" t="s">
        <v>448</v>
      </c>
      <c r="D132" s="27" t="s">
        <v>449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2929</f>
        <v>2929.0</v>
      </c>
      <c r="L132" s="34" t="s">
        <v>48</v>
      </c>
      <c r="M132" s="33" t="n">
        <f>3099</f>
        <v>3099.0</v>
      </c>
      <c r="N132" s="34" t="s">
        <v>49</v>
      </c>
      <c r="O132" s="33" t="n">
        <f>2879.5</f>
        <v>2879.5</v>
      </c>
      <c r="P132" s="34" t="s">
        <v>61</v>
      </c>
      <c r="Q132" s="33" t="n">
        <f>3066</f>
        <v>3066.0</v>
      </c>
      <c r="R132" s="34" t="s">
        <v>50</v>
      </c>
      <c r="S132" s="35" t="n">
        <f>2973.79</f>
        <v>2973.79</v>
      </c>
      <c r="T132" s="32" t="n">
        <f>9710</f>
        <v>9710.0</v>
      </c>
      <c r="U132" s="32" t="str">
        <f>"－"</f>
        <v>－</v>
      </c>
      <c r="V132" s="32" t="n">
        <f>29548335</f>
        <v>2.9548335E7</v>
      </c>
      <c r="W132" s="32" t="str">
        <f>"－"</f>
        <v>－</v>
      </c>
      <c r="X132" s="36" t="n">
        <f>19</f>
        <v>19.0</v>
      </c>
    </row>
    <row r="133">
      <c r="A133" s="27" t="s">
        <v>42</v>
      </c>
      <c r="B133" s="27" t="s">
        <v>450</v>
      </c>
      <c r="C133" s="27" t="s">
        <v>451</v>
      </c>
      <c r="D133" s="27" t="s">
        <v>452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3184</f>
        <v>3184.0</v>
      </c>
      <c r="L133" s="34" t="s">
        <v>48</v>
      </c>
      <c r="M133" s="33" t="n">
        <f>3369</f>
        <v>3369.0</v>
      </c>
      <c r="N133" s="34" t="s">
        <v>68</v>
      </c>
      <c r="O133" s="33" t="n">
        <f>3184</f>
        <v>3184.0</v>
      </c>
      <c r="P133" s="34" t="s">
        <v>48</v>
      </c>
      <c r="Q133" s="33" t="n">
        <f>3353</f>
        <v>3353.0</v>
      </c>
      <c r="R133" s="34" t="s">
        <v>50</v>
      </c>
      <c r="S133" s="35" t="n">
        <f>3278.73</f>
        <v>3278.73</v>
      </c>
      <c r="T133" s="32" t="n">
        <f>88000</f>
        <v>88000.0</v>
      </c>
      <c r="U133" s="32" t="n">
        <f>69500</f>
        <v>69500.0</v>
      </c>
      <c r="V133" s="32" t="n">
        <f>293505670</f>
        <v>2.9350567E8</v>
      </c>
      <c r="W133" s="32" t="n">
        <f>233269800</f>
        <v>2.332698E8</v>
      </c>
      <c r="X133" s="36" t="n">
        <f>15</f>
        <v>15.0</v>
      </c>
    </row>
    <row r="134">
      <c r="A134" s="27" t="s">
        <v>42</v>
      </c>
      <c r="B134" s="27" t="s">
        <v>453</v>
      </c>
      <c r="C134" s="27" t="s">
        <v>454</v>
      </c>
      <c r="D134" s="27" t="s">
        <v>455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1994</f>
        <v>1994.0</v>
      </c>
      <c r="L134" s="34" t="s">
        <v>48</v>
      </c>
      <c r="M134" s="33" t="n">
        <f>2138.5</f>
        <v>2138.5</v>
      </c>
      <c r="N134" s="34" t="s">
        <v>68</v>
      </c>
      <c r="O134" s="33" t="n">
        <f>1994</f>
        <v>1994.0</v>
      </c>
      <c r="P134" s="34" t="s">
        <v>48</v>
      </c>
      <c r="Q134" s="33" t="n">
        <f>2132</f>
        <v>2132.0</v>
      </c>
      <c r="R134" s="34" t="s">
        <v>70</v>
      </c>
      <c r="S134" s="35" t="n">
        <f>2074.65</f>
        <v>2074.65</v>
      </c>
      <c r="T134" s="32" t="n">
        <f>4470</f>
        <v>4470.0</v>
      </c>
      <c r="U134" s="32" t="str">
        <f>"－"</f>
        <v>－</v>
      </c>
      <c r="V134" s="32" t="n">
        <f>9283225</f>
        <v>9283225.0</v>
      </c>
      <c r="W134" s="32" t="str">
        <f>"－"</f>
        <v>－</v>
      </c>
      <c r="X134" s="36" t="n">
        <f>13</f>
        <v>13.0</v>
      </c>
    </row>
    <row r="135">
      <c r="A135" s="27" t="s">
        <v>42</v>
      </c>
      <c r="B135" s="27" t="s">
        <v>456</v>
      </c>
      <c r="C135" s="27" t="s">
        <v>457</v>
      </c>
      <c r="D135" s="27" t="s">
        <v>458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10.0</v>
      </c>
      <c r="K135" s="33" t="n">
        <f>516</f>
        <v>516.0</v>
      </c>
      <c r="L135" s="34" t="s">
        <v>48</v>
      </c>
      <c r="M135" s="33" t="n">
        <f>550.5</f>
        <v>550.5</v>
      </c>
      <c r="N135" s="34" t="s">
        <v>68</v>
      </c>
      <c r="O135" s="33" t="n">
        <f>514.9</f>
        <v>514.9</v>
      </c>
      <c r="P135" s="34" t="s">
        <v>48</v>
      </c>
      <c r="Q135" s="33" t="n">
        <f>547.3</f>
        <v>547.3</v>
      </c>
      <c r="R135" s="34" t="s">
        <v>50</v>
      </c>
      <c r="S135" s="35" t="n">
        <f>537.49</f>
        <v>537.49</v>
      </c>
      <c r="T135" s="32" t="n">
        <f>48080440</f>
        <v>4.808044E7</v>
      </c>
      <c r="U135" s="32" t="n">
        <f>5654360</f>
        <v>5654360.0</v>
      </c>
      <c r="V135" s="32" t="n">
        <f>25797334753</f>
        <v>2.5797334753E10</v>
      </c>
      <c r="W135" s="32" t="n">
        <f>3045086457</f>
        <v>3.045086457E9</v>
      </c>
      <c r="X135" s="36" t="n">
        <f>19</f>
        <v>19.0</v>
      </c>
    </row>
    <row r="136">
      <c r="A136" s="27" t="s">
        <v>42</v>
      </c>
      <c r="B136" s="27" t="s">
        <v>459</v>
      </c>
      <c r="C136" s="27" t="s">
        <v>460</v>
      </c>
      <c r="D136" s="27" t="s">
        <v>461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10.0</v>
      </c>
      <c r="K136" s="33" t="n">
        <f>294.8</f>
        <v>294.8</v>
      </c>
      <c r="L136" s="34" t="s">
        <v>48</v>
      </c>
      <c r="M136" s="33" t="n">
        <f>295.7</f>
        <v>295.7</v>
      </c>
      <c r="N136" s="34" t="s">
        <v>61</v>
      </c>
      <c r="O136" s="33" t="n">
        <f>292.8</f>
        <v>292.8</v>
      </c>
      <c r="P136" s="34" t="s">
        <v>74</v>
      </c>
      <c r="Q136" s="33" t="n">
        <f>293.8</f>
        <v>293.8</v>
      </c>
      <c r="R136" s="34" t="s">
        <v>50</v>
      </c>
      <c r="S136" s="35" t="n">
        <f>294.33</f>
        <v>294.33</v>
      </c>
      <c r="T136" s="32" t="n">
        <f>18386110</f>
        <v>1.838611E7</v>
      </c>
      <c r="U136" s="32" t="n">
        <f>16418630</f>
        <v>1.641863E7</v>
      </c>
      <c r="V136" s="32" t="n">
        <f>5409482950</f>
        <v>5.40948295E9</v>
      </c>
      <c r="W136" s="32" t="n">
        <f>4830750254</f>
        <v>4.830750254E9</v>
      </c>
      <c r="X136" s="36" t="n">
        <f>19</f>
        <v>19.0</v>
      </c>
    </row>
    <row r="137">
      <c r="A137" s="27" t="s">
        <v>42</v>
      </c>
      <c r="B137" s="27" t="s">
        <v>462</v>
      </c>
      <c r="C137" s="27" t="s">
        <v>463</v>
      </c>
      <c r="D137" s="27" t="s">
        <v>464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1.0</v>
      </c>
      <c r="K137" s="33" t="n">
        <f>4380</f>
        <v>4380.0</v>
      </c>
      <c r="L137" s="34" t="s">
        <v>48</v>
      </c>
      <c r="M137" s="33" t="n">
        <f>4650</f>
        <v>4650.0</v>
      </c>
      <c r="N137" s="34" t="s">
        <v>68</v>
      </c>
      <c r="O137" s="33" t="n">
        <f>4370</f>
        <v>4370.0</v>
      </c>
      <c r="P137" s="34" t="s">
        <v>48</v>
      </c>
      <c r="Q137" s="33" t="n">
        <f>4610</f>
        <v>4610.0</v>
      </c>
      <c r="R137" s="34" t="s">
        <v>50</v>
      </c>
      <c r="S137" s="35" t="n">
        <f>4530.53</f>
        <v>4530.53</v>
      </c>
      <c r="T137" s="32" t="n">
        <f>58317</f>
        <v>58317.0</v>
      </c>
      <c r="U137" s="32" t="n">
        <f>1445</f>
        <v>1445.0</v>
      </c>
      <c r="V137" s="32" t="n">
        <f>263925465</f>
        <v>2.63925465E8</v>
      </c>
      <c r="W137" s="32" t="n">
        <f>6482905</f>
        <v>6482905.0</v>
      </c>
      <c r="X137" s="36" t="n">
        <f>19</f>
        <v>19.0</v>
      </c>
    </row>
    <row r="138">
      <c r="A138" s="27" t="s">
        <v>42</v>
      </c>
      <c r="B138" s="27" t="s">
        <v>465</v>
      </c>
      <c r="C138" s="27" t="s">
        <v>466</v>
      </c>
      <c r="D138" s="27" t="s">
        <v>467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2448</f>
        <v>2448.0</v>
      </c>
      <c r="L138" s="34" t="s">
        <v>48</v>
      </c>
      <c r="M138" s="33" t="n">
        <f>2576</f>
        <v>2576.0</v>
      </c>
      <c r="N138" s="34" t="s">
        <v>68</v>
      </c>
      <c r="O138" s="33" t="n">
        <f>2400</f>
        <v>2400.0</v>
      </c>
      <c r="P138" s="34" t="s">
        <v>88</v>
      </c>
      <c r="Q138" s="33" t="n">
        <f>2547</f>
        <v>2547.0</v>
      </c>
      <c r="R138" s="34" t="s">
        <v>50</v>
      </c>
      <c r="S138" s="35" t="n">
        <f>2518.37</f>
        <v>2518.37</v>
      </c>
      <c r="T138" s="32" t="n">
        <f>100518</f>
        <v>100518.0</v>
      </c>
      <c r="U138" s="32" t="n">
        <f>30460</f>
        <v>30460.0</v>
      </c>
      <c r="V138" s="32" t="n">
        <f>252283745</f>
        <v>2.52283745E8</v>
      </c>
      <c r="W138" s="32" t="n">
        <f>76373195</f>
        <v>7.6373195E7</v>
      </c>
      <c r="X138" s="36" t="n">
        <f>19</f>
        <v>19.0</v>
      </c>
    </row>
    <row r="139">
      <c r="A139" s="27" t="s">
        <v>42</v>
      </c>
      <c r="B139" s="27" t="s">
        <v>468</v>
      </c>
      <c r="C139" s="27" t="s">
        <v>469</v>
      </c>
      <c r="D139" s="27" t="s">
        <v>470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2884</f>
        <v>2884.0</v>
      </c>
      <c r="L139" s="34" t="s">
        <v>48</v>
      </c>
      <c r="M139" s="33" t="n">
        <f>2946</f>
        <v>2946.0</v>
      </c>
      <c r="N139" s="34" t="s">
        <v>109</v>
      </c>
      <c r="O139" s="33" t="n">
        <f>2830</f>
        <v>2830.0</v>
      </c>
      <c r="P139" s="34" t="s">
        <v>69</v>
      </c>
      <c r="Q139" s="33" t="n">
        <f>2930</f>
        <v>2930.0</v>
      </c>
      <c r="R139" s="34" t="s">
        <v>50</v>
      </c>
      <c r="S139" s="35" t="n">
        <f>2896.89</f>
        <v>2896.89</v>
      </c>
      <c r="T139" s="32" t="n">
        <f>275843</f>
        <v>275843.0</v>
      </c>
      <c r="U139" s="32" t="n">
        <f>82833</f>
        <v>82833.0</v>
      </c>
      <c r="V139" s="32" t="n">
        <f>795623415</f>
        <v>7.95623415E8</v>
      </c>
      <c r="W139" s="32" t="n">
        <f>236816699</f>
        <v>2.36816699E8</v>
      </c>
      <c r="X139" s="36" t="n">
        <f>19</f>
        <v>19.0</v>
      </c>
    </row>
    <row r="140">
      <c r="A140" s="27" t="s">
        <v>42</v>
      </c>
      <c r="B140" s="27" t="s">
        <v>471</v>
      </c>
      <c r="C140" s="27" t="s">
        <v>472</v>
      </c>
      <c r="D140" s="27" t="s">
        <v>473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10315</f>
        <v>10315.0</v>
      </c>
      <c r="L140" s="34" t="s">
        <v>48</v>
      </c>
      <c r="M140" s="33" t="n">
        <f>10390</f>
        <v>10390.0</v>
      </c>
      <c r="N140" s="34" t="s">
        <v>61</v>
      </c>
      <c r="O140" s="33" t="n">
        <f>9728</f>
        <v>9728.0</v>
      </c>
      <c r="P140" s="34" t="s">
        <v>109</v>
      </c>
      <c r="Q140" s="33" t="n">
        <f>9886</f>
        <v>9886.0</v>
      </c>
      <c r="R140" s="34" t="s">
        <v>50</v>
      </c>
      <c r="S140" s="35" t="n">
        <f>10045.63</f>
        <v>10045.63</v>
      </c>
      <c r="T140" s="32" t="n">
        <f>292571</f>
        <v>292571.0</v>
      </c>
      <c r="U140" s="32" t="n">
        <f>145125</f>
        <v>145125.0</v>
      </c>
      <c r="V140" s="32" t="n">
        <f>2948132045</f>
        <v>2.948132045E9</v>
      </c>
      <c r="W140" s="32" t="n">
        <f>1471292398</f>
        <v>1.471292398E9</v>
      </c>
      <c r="X140" s="36" t="n">
        <f>19</f>
        <v>19.0</v>
      </c>
    </row>
    <row r="141">
      <c r="A141" s="27" t="s">
        <v>42</v>
      </c>
      <c r="B141" s="27" t="s">
        <v>474</v>
      </c>
      <c r="C141" s="27" t="s">
        <v>475</v>
      </c>
      <c r="D141" s="27" t="s">
        <v>476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2875</f>
        <v>2875.0</v>
      </c>
      <c r="L141" s="34" t="s">
        <v>48</v>
      </c>
      <c r="M141" s="33" t="n">
        <f>3060</f>
        <v>3060.0</v>
      </c>
      <c r="N141" s="34" t="s">
        <v>70</v>
      </c>
      <c r="O141" s="33" t="n">
        <f>2774</f>
        <v>2774.0</v>
      </c>
      <c r="P141" s="34" t="s">
        <v>61</v>
      </c>
      <c r="Q141" s="33" t="n">
        <f>3035</f>
        <v>3035.0</v>
      </c>
      <c r="R141" s="34" t="s">
        <v>50</v>
      </c>
      <c r="S141" s="35" t="n">
        <f>2946.79</f>
        <v>2946.79</v>
      </c>
      <c r="T141" s="32" t="n">
        <f>4430368</f>
        <v>4430368.0</v>
      </c>
      <c r="U141" s="32" t="n">
        <f>12</f>
        <v>12.0</v>
      </c>
      <c r="V141" s="32" t="n">
        <f>12987441401</f>
        <v>1.2987441401E10</v>
      </c>
      <c r="W141" s="32" t="n">
        <f>34700</f>
        <v>34700.0</v>
      </c>
      <c r="X141" s="36" t="n">
        <f>19</f>
        <v>19.0</v>
      </c>
    </row>
    <row r="142">
      <c r="A142" s="27" t="s">
        <v>42</v>
      </c>
      <c r="B142" s="27" t="s">
        <v>477</v>
      </c>
      <c r="C142" s="27" t="s">
        <v>478</v>
      </c>
      <c r="D142" s="27" t="s">
        <v>479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28160</f>
        <v>28160.0</v>
      </c>
      <c r="L142" s="34" t="s">
        <v>48</v>
      </c>
      <c r="M142" s="33" t="n">
        <f>29575</f>
        <v>29575.0</v>
      </c>
      <c r="N142" s="34" t="s">
        <v>88</v>
      </c>
      <c r="O142" s="33" t="n">
        <f>27995</f>
        <v>27995.0</v>
      </c>
      <c r="P142" s="34" t="s">
        <v>92</v>
      </c>
      <c r="Q142" s="33" t="n">
        <f>28610</f>
        <v>28610.0</v>
      </c>
      <c r="R142" s="34" t="s">
        <v>50</v>
      </c>
      <c r="S142" s="35" t="n">
        <f>28339.21</f>
        <v>28339.21</v>
      </c>
      <c r="T142" s="32" t="n">
        <f>8669</f>
        <v>8669.0</v>
      </c>
      <c r="U142" s="32" t="str">
        <f>"－"</f>
        <v>－</v>
      </c>
      <c r="V142" s="32" t="n">
        <f>245853205</f>
        <v>2.45853205E8</v>
      </c>
      <c r="W142" s="32" t="str">
        <f>"－"</f>
        <v>－</v>
      </c>
      <c r="X142" s="36" t="n">
        <f>19</f>
        <v>19.0</v>
      </c>
    </row>
    <row r="143">
      <c r="A143" s="27" t="s">
        <v>42</v>
      </c>
      <c r="B143" s="27" t="s">
        <v>480</v>
      </c>
      <c r="C143" s="27" t="s">
        <v>481</v>
      </c>
      <c r="D143" s="27" t="s">
        <v>482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10.0</v>
      </c>
      <c r="K143" s="33" t="n">
        <f>3123</f>
        <v>3123.0</v>
      </c>
      <c r="L143" s="34" t="s">
        <v>48</v>
      </c>
      <c r="M143" s="33" t="n">
        <f>3237</f>
        <v>3237.0</v>
      </c>
      <c r="N143" s="34" t="s">
        <v>105</v>
      </c>
      <c r="O143" s="33" t="n">
        <f>3026</f>
        <v>3026.0</v>
      </c>
      <c r="P143" s="34" t="s">
        <v>69</v>
      </c>
      <c r="Q143" s="33" t="n">
        <f>3101</f>
        <v>3101.0</v>
      </c>
      <c r="R143" s="34" t="s">
        <v>50</v>
      </c>
      <c r="S143" s="35" t="n">
        <f>3120.26</f>
        <v>3120.26</v>
      </c>
      <c r="T143" s="32" t="n">
        <f>27640</f>
        <v>27640.0</v>
      </c>
      <c r="U143" s="32" t="str">
        <f>"－"</f>
        <v>－</v>
      </c>
      <c r="V143" s="32" t="n">
        <f>86334000</f>
        <v>8.6334E7</v>
      </c>
      <c r="W143" s="32" t="str">
        <f>"－"</f>
        <v>－</v>
      </c>
      <c r="X143" s="36" t="n">
        <f>19</f>
        <v>19.0</v>
      </c>
    </row>
    <row r="144">
      <c r="A144" s="27" t="s">
        <v>42</v>
      </c>
      <c r="B144" s="27" t="s">
        <v>483</v>
      </c>
      <c r="C144" s="27" t="s">
        <v>484</v>
      </c>
      <c r="D144" s="27" t="s">
        <v>485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12475</f>
        <v>12475.0</v>
      </c>
      <c r="L144" s="34" t="s">
        <v>48</v>
      </c>
      <c r="M144" s="33" t="n">
        <f>12555</f>
        <v>12555.0</v>
      </c>
      <c r="N144" s="34" t="s">
        <v>105</v>
      </c>
      <c r="O144" s="33" t="n">
        <f>12055</f>
        <v>12055.0</v>
      </c>
      <c r="P144" s="34" t="s">
        <v>69</v>
      </c>
      <c r="Q144" s="33" t="n">
        <f>12270</f>
        <v>12270.0</v>
      </c>
      <c r="R144" s="34" t="s">
        <v>50</v>
      </c>
      <c r="S144" s="35" t="n">
        <f>12331.58</f>
        <v>12331.58</v>
      </c>
      <c r="T144" s="32" t="n">
        <f>10210</f>
        <v>10210.0</v>
      </c>
      <c r="U144" s="32" t="str">
        <f>"－"</f>
        <v>－</v>
      </c>
      <c r="V144" s="32" t="n">
        <f>125642275</f>
        <v>1.25642275E8</v>
      </c>
      <c r="W144" s="32" t="str">
        <f>"－"</f>
        <v>－</v>
      </c>
      <c r="X144" s="36" t="n">
        <f>19</f>
        <v>19.0</v>
      </c>
    </row>
    <row r="145">
      <c r="A145" s="27" t="s">
        <v>42</v>
      </c>
      <c r="B145" s="27" t="s">
        <v>486</v>
      </c>
      <c r="C145" s="27" t="s">
        <v>487</v>
      </c>
      <c r="D145" s="27" t="s">
        <v>488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13425</f>
        <v>13425.0</v>
      </c>
      <c r="L145" s="34" t="s">
        <v>48</v>
      </c>
      <c r="M145" s="33" t="n">
        <f>13650</f>
        <v>13650.0</v>
      </c>
      <c r="N145" s="34" t="s">
        <v>60</v>
      </c>
      <c r="O145" s="33" t="n">
        <f>11920</f>
        <v>11920.0</v>
      </c>
      <c r="P145" s="34" t="s">
        <v>88</v>
      </c>
      <c r="Q145" s="33" t="n">
        <f>13070</f>
        <v>13070.0</v>
      </c>
      <c r="R145" s="34" t="s">
        <v>50</v>
      </c>
      <c r="S145" s="35" t="n">
        <f>13012.89</f>
        <v>13012.89</v>
      </c>
      <c r="T145" s="32" t="n">
        <f>10796</f>
        <v>10796.0</v>
      </c>
      <c r="U145" s="32" t="str">
        <f>"－"</f>
        <v>－</v>
      </c>
      <c r="V145" s="32" t="n">
        <f>138704900</f>
        <v>1.387049E8</v>
      </c>
      <c r="W145" s="32" t="str">
        <f>"－"</f>
        <v>－</v>
      </c>
      <c r="X145" s="36" t="n">
        <f>19</f>
        <v>19.0</v>
      </c>
    </row>
    <row r="146">
      <c r="A146" s="27" t="s">
        <v>42</v>
      </c>
      <c r="B146" s="27" t="s">
        <v>489</v>
      </c>
      <c r="C146" s="27" t="s">
        <v>490</v>
      </c>
      <c r="D146" s="27" t="s">
        <v>491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18770</f>
        <v>18770.0</v>
      </c>
      <c r="L146" s="34" t="s">
        <v>81</v>
      </c>
      <c r="M146" s="33" t="n">
        <f>19355</f>
        <v>19355.0</v>
      </c>
      <c r="N146" s="34" t="s">
        <v>61</v>
      </c>
      <c r="O146" s="33" t="n">
        <f>18500</f>
        <v>18500.0</v>
      </c>
      <c r="P146" s="34" t="s">
        <v>88</v>
      </c>
      <c r="Q146" s="33" t="n">
        <f>19090</f>
        <v>19090.0</v>
      </c>
      <c r="R146" s="34" t="s">
        <v>68</v>
      </c>
      <c r="S146" s="35" t="n">
        <f>18830</f>
        <v>18830.0</v>
      </c>
      <c r="T146" s="32" t="n">
        <f>573</f>
        <v>573.0</v>
      </c>
      <c r="U146" s="32" t="str">
        <f>"－"</f>
        <v>－</v>
      </c>
      <c r="V146" s="32" t="n">
        <f>10703545</f>
        <v>1.0703545E7</v>
      </c>
      <c r="W146" s="32" t="str">
        <f>"－"</f>
        <v>－</v>
      </c>
      <c r="X146" s="36" t="n">
        <f>12</f>
        <v>12.0</v>
      </c>
    </row>
    <row r="147">
      <c r="A147" s="27" t="s">
        <v>42</v>
      </c>
      <c r="B147" s="27" t="s">
        <v>492</v>
      </c>
      <c r="C147" s="27" t="s">
        <v>493</v>
      </c>
      <c r="D147" s="27" t="s">
        <v>494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10.0</v>
      </c>
      <c r="K147" s="33" t="n">
        <f>54620</f>
        <v>54620.0</v>
      </c>
      <c r="L147" s="34" t="s">
        <v>48</v>
      </c>
      <c r="M147" s="33" t="n">
        <f>55300</f>
        <v>55300.0</v>
      </c>
      <c r="N147" s="34" t="s">
        <v>70</v>
      </c>
      <c r="O147" s="33" t="n">
        <f>54530</f>
        <v>54530.0</v>
      </c>
      <c r="P147" s="34" t="s">
        <v>48</v>
      </c>
      <c r="Q147" s="33" t="n">
        <f>54900</f>
        <v>54900.0</v>
      </c>
      <c r="R147" s="34" t="s">
        <v>50</v>
      </c>
      <c r="S147" s="35" t="n">
        <f>54806.84</f>
        <v>54806.84</v>
      </c>
      <c r="T147" s="32" t="n">
        <f>6680</f>
        <v>6680.0</v>
      </c>
      <c r="U147" s="32" t="n">
        <f>3060</f>
        <v>3060.0</v>
      </c>
      <c r="V147" s="32" t="n">
        <f>366826300</f>
        <v>3.668263E8</v>
      </c>
      <c r="W147" s="32" t="n">
        <f>168468200</f>
        <v>1.684682E8</v>
      </c>
      <c r="X147" s="36" t="n">
        <f>19</f>
        <v>19.0</v>
      </c>
    </row>
    <row r="148">
      <c r="A148" s="27" t="s">
        <v>42</v>
      </c>
      <c r="B148" s="27" t="s">
        <v>495</v>
      </c>
      <c r="C148" s="27" t="s">
        <v>496</v>
      </c>
      <c r="D148" s="27" t="s">
        <v>497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10.0</v>
      </c>
      <c r="K148" s="33" t="n">
        <f>338.4</f>
        <v>338.4</v>
      </c>
      <c r="L148" s="34" t="s">
        <v>48</v>
      </c>
      <c r="M148" s="33" t="n">
        <f>354.2</f>
        <v>354.2</v>
      </c>
      <c r="N148" s="34" t="s">
        <v>70</v>
      </c>
      <c r="O148" s="33" t="n">
        <f>336.1</f>
        <v>336.1</v>
      </c>
      <c r="P148" s="34" t="s">
        <v>48</v>
      </c>
      <c r="Q148" s="33" t="n">
        <f>348.4</f>
        <v>348.4</v>
      </c>
      <c r="R148" s="34" t="s">
        <v>50</v>
      </c>
      <c r="S148" s="35" t="n">
        <f>346.73</f>
        <v>346.73</v>
      </c>
      <c r="T148" s="32" t="n">
        <f>50581480</f>
        <v>5.058148E7</v>
      </c>
      <c r="U148" s="32" t="n">
        <f>44580</f>
        <v>44580.0</v>
      </c>
      <c r="V148" s="32" t="n">
        <f>17553799392</f>
        <v>1.7553799392E10</v>
      </c>
      <c r="W148" s="32" t="n">
        <f>15320367</f>
        <v>1.5320367E7</v>
      </c>
      <c r="X148" s="36" t="n">
        <f>19</f>
        <v>19.0</v>
      </c>
    </row>
    <row r="149">
      <c r="A149" s="27" t="s">
        <v>42</v>
      </c>
      <c r="B149" s="27" t="s">
        <v>498</v>
      </c>
      <c r="C149" s="27" t="s">
        <v>499</v>
      </c>
      <c r="D149" s="27" t="s">
        <v>500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10.0</v>
      </c>
      <c r="K149" s="33" t="n">
        <f>46950</f>
        <v>46950.0</v>
      </c>
      <c r="L149" s="34" t="s">
        <v>48</v>
      </c>
      <c r="M149" s="33" t="n">
        <f>52600</f>
        <v>52600.0</v>
      </c>
      <c r="N149" s="34" t="s">
        <v>214</v>
      </c>
      <c r="O149" s="33" t="n">
        <f>46840</f>
        <v>46840.0</v>
      </c>
      <c r="P149" s="34" t="s">
        <v>48</v>
      </c>
      <c r="Q149" s="33" t="n">
        <f>48880</f>
        <v>48880.0</v>
      </c>
      <c r="R149" s="34" t="s">
        <v>50</v>
      </c>
      <c r="S149" s="35" t="n">
        <f>48188.82</f>
        <v>48188.82</v>
      </c>
      <c r="T149" s="32" t="n">
        <f>10340</f>
        <v>10340.0</v>
      </c>
      <c r="U149" s="32" t="str">
        <f>"－"</f>
        <v>－</v>
      </c>
      <c r="V149" s="32" t="n">
        <f>504586700</f>
        <v>5.045867E8</v>
      </c>
      <c r="W149" s="32" t="str">
        <f>"－"</f>
        <v>－</v>
      </c>
      <c r="X149" s="36" t="n">
        <f>17</f>
        <v>17.0</v>
      </c>
    </row>
    <row r="150">
      <c r="A150" s="27" t="s">
        <v>42</v>
      </c>
      <c r="B150" s="27" t="s">
        <v>501</v>
      </c>
      <c r="C150" s="27" t="s">
        <v>502</v>
      </c>
      <c r="D150" s="27" t="s">
        <v>503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10.0</v>
      </c>
      <c r="K150" s="33" t="n">
        <f>4964</f>
        <v>4964.0</v>
      </c>
      <c r="L150" s="34" t="s">
        <v>48</v>
      </c>
      <c r="M150" s="33" t="n">
        <f>5290</f>
        <v>5290.0</v>
      </c>
      <c r="N150" s="34" t="s">
        <v>68</v>
      </c>
      <c r="O150" s="33" t="n">
        <f>4951</f>
        <v>4951.0</v>
      </c>
      <c r="P150" s="34" t="s">
        <v>48</v>
      </c>
      <c r="Q150" s="33" t="n">
        <f>5255</f>
        <v>5255.0</v>
      </c>
      <c r="R150" s="34" t="s">
        <v>50</v>
      </c>
      <c r="S150" s="35" t="n">
        <f>5161.37</f>
        <v>5161.37</v>
      </c>
      <c r="T150" s="32" t="n">
        <f>70380</f>
        <v>70380.0</v>
      </c>
      <c r="U150" s="32" t="str">
        <f>"－"</f>
        <v>－</v>
      </c>
      <c r="V150" s="32" t="n">
        <f>364024040</f>
        <v>3.6402404E8</v>
      </c>
      <c r="W150" s="32" t="str">
        <f>"－"</f>
        <v>－</v>
      </c>
      <c r="X150" s="36" t="n">
        <f>19</f>
        <v>19.0</v>
      </c>
    </row>
    <row r="151">
      <c r="A151" s="27" t="s">
        <v>42</v>
      </c>
      <c r="B151" s="27" t="s">
        <v>504</v>
      </c>
      <c r="C151" s="27" t="s">
        <v>505</v>
      </c>
      <c r="D151" s="27" t="s">
        <v>506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10.0</v>
      </c>
      <c r="K151" s="33" t="n">
        <f>1786.5</f>
        <v>1786.5</v>
      </c>
      <c r="L151" s="34" t="s">
        <v>48</v>
      </c>
      <c r="M151" s="33" t="n">
        <f>1919</f>
        <v>1919.0</v>
      </c>
      <c r="N151" s="34" t="s">
        <v>109</v>
      </c>
      <c r="O151" s="33" t="n">
        <f>1770.5</f>
        <v>1770.5</v>
      </c>
      <c r="P151" s="34" t="s">
        <v>48</v>
      </c>
      <c r="Q151" s="33" t="n">
        <f>1902.5</f>
        <v>1902.5</v>
      </c>
      <c r="R151" s="34" t="s">
        <v>50</v>
      </c>
      <c r="S151" s="35" t="n">
        <f>1864.42</f>
        <v>1864.42</v>
      </c>
      <c r="T151" s="32" t="n">
        <f>191100</f>
        <v>191100.0</v>
      </c>
      <c r="U151" s="32" t="str">
        <f>"－"</f>
        <v>－</v>
      </c>
      <c r="V151" s="32" t="n">
        <f>357186310</f>
        <v>3.5718631E8</v>
      </c>
      <c r="W151" s="32" t="str">
        <f>"－"</f>
        <v>－</v>
      </c>
      <c r="X151" s="36" t="n">
        <f>19</f>
        <v>19.0</v>
      </c>
    </row>
    <row r="152">
      <c r="A152" s="27" t="s">
        <v>42</v>
      </c>
      <c r="B152" s="27" t="s">
        <v>507</v>
      </c>
      <c r="C152" s="27" t="s">
        <v>508</v>
      </c>
      <c r="D152" s="27" t="s">
        <v>509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100.0</v>
      </c>
      <c r="K152" s="33" t="n">
        <f>234.4</f>
        <v>234.4</v>
      </c>
      <c r="L152" s="34" t="s">
        <v>48</v>
      </c>
      <c r="M152" s="33" t="n">
        <f>237.9</f>
        <v>237.9</v>
      </c>
      <c r="N152" s="34" t="s">
        <v>48</v>
      </c>
      <c r="O152" s="33" t="n">
        <f>229.1</f>
        <v>229.1</v>
      </c>
      <c r="P152" s="34" t="s">
        <v>69</v>
      </c>
      <c r="Q152" s="33" t="n">
        <f>231</f>
        <v>231.0</v>
      </c>
      <c r="R152" s="34" t="s">
        <v>50</v>
      </c>
      <c r="S152" s="35" t="n">
        <f>232.38</f>
        <v>232.38</v>
      </c>
      <c r="T152" s="32" t="n">
        <f>82700</f>
        <v>82700.0</v>
      </c>
      <c r="U152" s="32" t="str">
        <f>"－"</f>
        <v>－</v>
      </c>
      <c r="V152" s="32" t="n">
        <f>19226230</f>
        <v>1.922623E7</v>
      </c>
      <c r="W152" s="32" t="str">
        <f>"－"</f>
        <v>－</v>
      </c>
      <c r="X152" s="36" t="n">
        <f>19</f>
        <v>19.0</v>
      </c>
    </row>
    <row r="153">
      <c r="A153" s="27" t="s">
        <v>42</v>
      </c>
      <c r="B153" s="27" t="s">
        <v>510</v>
      </c>
      <c r="C153" s="27" t="s">
        <v>511</v>
      </c>
      <c r="D153" s="27" t="s">
        <v>512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10.0</v>
      </c>
      <c r="K153" s="33" t="n">
        <f>1604.5</f>
        <v>1604.5</v>
      </c>
      <c r="L153" s="34" t="s">
        <v>48</v>
      </c>
      <c r="M153" s="33" t="n">
        <f>1992</f>
        <v>1992.0</v>
      </c>
      <c r="N153" s="34" t="s">
        <v>236</v>
      </c>
      <c r="O153" s="33" t="n">
        <f>1547</f>
        <v>1547.0</v>
      </c>
      <c r="P153" s="34" t="s">
        <v>74</v>
      </c>
      <c r="Q153" s="33" t="n">
        <f>1569</f>
        <v>1569.0</v>
      </c>
      <c r="R153" s="34" t="s">
        <v>50</v>
      </c>
      <c r="S153" s="35" t="n">
        <f>1576.32</f>
        <v>1576.32</v>
      </c>
      <c r="T153" s="32" t="n">
        <f>10370</f>
        <v>10370.0</v>
      </c>
      <c r="U153" s="32" t="str">
        <f>"－"</f>
        <v>－</v>
      </c>
      <c r="V153" s="32" t="n">
        <f>18029845</f>
        <v>1.8029845E7</v>
      </c>
      <c r="W153" s="32" t="str">
        <f>"－"</f>
        <v>－</v>
      </c>
      <c r="X153" s="36" t="n">
        <f>14</f>
        <v>14.0</v>
      </c>
    </row>
    <row r="154">
      <c r="A154" s="27" t="s">
        <v>42</v>
      </c>
      <c r="B154" s="27" t="s">
        <v>513</v>
      </c>
      <c r="C154" s="27" t="s">
        <v>514</v>
      </c>
      <c r="D154" s="27" t="s">
        <v>515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10.0</v>
      </c>
      <c r="K154" s="33" t="n">
        <f>544</f>
        <v>544.0</v>
      </c>
      <c r="L154" s="34" t="s">
        <v>48</v>
      </c>
      <c r="M154" s="33" t="n">
        <f>552.3</f>
        <v>552.3</v>
      </c>
      <c r="N154" s="34" t="s">
        <v>70</v>
      </c>
      <c r="O154" s="33" t="n">
        <f>526.4</f>
        <v>526.4</v>
      </c>
      <c r="P154" s="34" t="s">
        <v>81</v>
      </c>
      <c r="Q154" s="33" t="n">
        <f>550.3</f>
        <v>550.3</v>
      </c>
      <c r="R154" s="34" t="s">
        <v>50</v>
      </c>
      <c r="S154" s="35" t="n">
        <f>538.84</f>
        <v>538.84</v>
      </c>
      <c r="T154" s="32" t="n">
        <f>89550</f>
        <v>89550.0</v>
      </c>
      <c r="U154" s="32" t="str">
        <f>"－"</f>
        <v>－</v>
      </c>
      <c r="V154" s="32" t="n">
        <f>48643500</f>
        <v>4.86435E7</v>
      </c>
      <c r="W154" s="32" t="str">
        <f>"－"</f>
        <v>－</v>
      </c>
      <c r="X154" s="36" t="n">
        <f>19</f>
        <v>19.0</v>
      </c>
    </row>
    <row r="155">
      <c r="A155" s="27" t="s">
        <v>42</v>
      </c>
      <c r="B155" s="27" t="s">
        <v>516</v>
      </c>
      <c r="C155" s="27" t="s">
        <v>517</v>
      </c>
      <c r="D155" s="27" t="s">
        <v>518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2048</f>
        <v>2048.0</v>
      </c>
      <c r="L155" s="34" t="s">
        <v>81</v>
      </c>
      <c r="M155" s="33" t="n">
        <f>2100</f>
        <v>2100.0</v>
      </c>
      <c r="N155" s="34" t="s">
        <v>68</v>
      </c>
      <c r="O155" s="33" t="n">
        <f>2008</f>
        <v>2008.0</v>
      </c>
      <c r="P155" s="34" t="s">
        <v>69</v>
      </c>
      <c r="Q155" s="33" t="n">
        <f>2097.5</f>
        <v>2097.5</v>
      </c>
      <c r="R155" s="34" t="s">
        <v>50</v>
      </c>
      <c r="S155" s="35" t="n">
        <f>2062.8</f>
        <v>2062.8</v>
      </c>
      <c r="T155" s="32" t="n">
        <f>1660</f>
        <v>1660.0</v>
      </c>
      <c r="U155" s="32" t="str">
        <f>"－"</f>
        <v>－</v>
      </c>
      <c r="V155" s="32" t="n">
        <f>3400950</f>
        <v>3400950.0</v>
      </c>
      <c r="W155" s="32" t="str">
        <f>"－"</f>
        <v>－</v>
      </c>
      <c r="X155" s="36" t="n">
        <f>15</f>
        <v>15.0</v>
      </c>
    </row>
    <row r="156">
      <c r="A156" s="27" t="s">
        <v>42</v>
      </c>
      <c r="B156" s="27" t="s">
        <v>519</v>
      </c>
      <c r="C156" s="27" t="s">
        <v>520</v>
      </c>
      <c r="D156" s="27" t="s">
        <v>521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919</f>
        <v>919.0</v>
      </c>
      <c r="L156" s="34" t="s">
        <v>48</v>
      </c>
      <c r="M156" s="33" t="n">
        <f>925.5</f>
        <v>925.5</v>
      </c>
      <c r="N156" s="34" t="s">
        <v>88</v>
      </c>
      <c r="O156" s="33" t="n">
        <f>880.9</f>
        <v>880.9</v>
      </c>
      <c r="P156" s="34" t="s">
        <v>68</v>
      </c>
      <c r="Q156" s="33" t="n">
        <f>899.7</f>
        <v>899.7</v>
      </c>
      <c r="R156" s="34" t="s">
        <v>50</v>
      </c>
      <c r="S156" s="35" t="n">
        <f>910.75</f>
        <v>910.75</v>
      </c>
      <c r="T156" s="32" t="n">
        <f>53380</f>
        <v>53380.0</v>
      </c>
      <c r="U156" s="32" t="str">
        <f>"－"</f>
        <v>－</v>
      </c>
      <c r="V156" s="32" t="n">
        <f>48264205</f>
        <v>4.8264205E7</v>
      </c>
      <c r="W156" s="32" t="str">
        <f>"－"</f>
        <v>－</v>
      </c>
      <c r="X156" s="36" t="n">
        <f>19</f>
        <v>19.0</v>
      </c>
    </row>
    <row r="157">
      <c r="A157" s="27" t="s">
        <v>42</v>
      </c>
      <c r="B157" s="27" t="s">
        <v>522</v>
      </c>
      <c r="C157" s="27" t="s">
        <v>523</v>
      </c>
      <c r="D157" s="27" t="s">
        <v>524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594</f>
        <v>594.0</v>
      </c>
      <c r="L157" s="34" t="s">
        <v>48</v>
      </c>
      <c r="M157" s="33" t="n">
        <f>594</f>
        <v>594.0</v>
      </c>
      <c r="N157" s="34" t="s">
        <v>48</v>
      </c>
      <c r="O157" s="33" t="n">
        <f>556.6</f>
        <v>556.6</v>
      </c>
      <c r="P157" s="34" t="s">
        <v>68</v>
      </c>
      <c r="Q157" s="33" t="n">
        <f>567</f>
        <v>567.0</v>
      </c>
      <c r="R157" s="34" t="s">
        <v>50</v>
      </c>
      <c r="S157" s="35" t="n">
        <f>576.94</f>
        <v>576.94</v>
      </c>
      <c r="T157" s="32" t="n">
        <f>116880</f>
        <v>116880.0</v>
      </c>
      <c r="U157" s="32" t="str">
        <f>"－"</f>
        <v>－</v>
      </c>
      <c r="V157" s="32" t="n">
        <f>66950737</f>
        <v>6.6950737E7</v>
      </c>
      <c r="W157" s="32" t="str">
        <f>"－"</f>
        <v>－</v>
      </c>
      <c r="X157" s="36" t="n">
        <f>19</f>
        <v>19.0</v>
      </c>
    </row>
    <row r="158">
      <c r="A158" s="27" t="s">
        <v>42</v>
      </c>
      <c r="B158" s="27" t="s">
        <v>525</v>
      </c>
      <c r="C158" s="27" t="s">
        <v>526</v>
      </c>
      <c r="D158" s="27" t="s">
        <v>527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1.0</v>
      </c>
      <c r="K158" s="33" t="n">
        <f>1451</f>
        <v>1451.0</v>
      </c>
      <c r="L158" s="34" t="s">
        <v>48</v>
      </c>
      <c r="M158" s="33" t="n">
        <f>1479</f>
        <v>1479.0</v>
      </c>
      <c r="N158" s="34" t="s">
        <v>48</v>
      </c>
      <c r="O158" s="33" t="n">
        <f>1162</f>
        <v>1162.0</v>
      </c>
      <c r="P158" s="34" t="s">
        <v>105</v>
      </c>
      <c r="Q158" s="33" t="n">
        <f>1310</f>
        <v>1310.0</v>
      </c>
      <c r="R158" s="34" t="s">
        <v>50</v>
      </c>
      <c r="S158" s="35" t="n">
        <f>1299.53</f>
        <v>1299.53</v>
      </c>
      <c r="T158" s="32" t="n">
        <f>1540774</f>
        <v>1540774.0</v>
      </c>
      <c r="U158" s="32" t="str">
        <f>"－"</f>
        <v>－</v>
      </c>
      <c r="V158" s="32" t="n">
        <f>2004495267</f>
        <v>2.004495267E9</v>
      </c>
      <c r="W158" s="32" t="str">
        <f>"－"</f>
        <v>－</v>
      </c>
      <c r="X158" s="36" t="n">
        <f>19</f>
        <v>19.0</v>
      </c>
    </row>
    <row r="159">
      <c r="A159" s="27" t="s">
        <v>42</v>
      </c>
      <c r="B159" s="27" t="s">
        <v>528</v>
      </c>
      <c r="C159" s="27" t="s">
        <v>529</v>
      </c>
      <c r="D159" s="27" t="s">
        <v>530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1398.5</f>
        <v>1398.5</v>
      </c>
      <c r="L159" s="34" t="s">
        <v>48</v>
      </c>
      <c r="M159" s="33" t="n">
        <f>1471</f>
        <v>1471.0</v>
      </c>
      <c r="N159" s="34" t="s">
        <v>70</v>
      </c>
      <c r="O159" s="33" t="n">
        <f>1348</f>
        <v>1348.0</v>
      </c>
      <c r="P159" s="34" t="s">
        <v>61</v>
      </c>
      <c r="Q159" s="33" t="n">
        <f>1462.5</f>
        <v>1462.5</v>
      </c>
      <c r="R159" s="34" t="s">
        <v>50</v>
      </c>
      <c r="S159" s="35" t="n">
        <f>1424.21</f>
        <v>1424.21</v>
      </c>
      <c r="T159" s="32" t="n">
        <f>58660</f>
        <v>58660.0</v>
      </c>
      <c r="U159" s="32" t="str">
        <f>"－"</f>
        <v>－</v>
      </c>
      <c r="V159" s="32" t="n">
        <f>83693440</f>
        <v>8.369344E7</v>
      </c>
      <c r="W159" s="32" t="str">
        <f>"－"</f>
        <v>－</v>
      </c>
      <c r="X159" s="36" t="n">
        <f>19</f>
        <v>19.0</v>
      </c>
    </row>
    <row r="160">
      <c r="A160" s="27" t="s">
        <v>42</v>
      </c>
      <c r="B160" s="27" t="s">
        <v>531</v>
      </c>
      <c r="C160" s="27" t="s">
        <v>532</v>
      </c>
      <c r="D160" s="27" t="s">
        <v>533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7569</f>
        <v>7569.0</v>
      </c>
      <c r="L160" s="34" t="s">
        <v>48</v>
      </c>
      <c r="M160" s="33" t="n">
        <f>8370</f>
        <v>8370.0</v>
      </c>
      <c r="N160" s="34" t="s">
        <v>88</v>
      </c>
      <c r="O160" s="33" t="n">
        <f>7400</f>
        <v>7400.0</v>
      </c>
      <c r="P160" s="34" t="s">
        <v>61</v>
      </c>
      <c r="Q160" s="33" t="n">
        <f>8100</f>
        <v>8100.0</v>
      </c>
      <c r="R160" s="34" t="s">
        <v>50</v>
      </c>
      <c r="S160" s="35" t="n">
        <f>7969.76</f>
        <v>7969.76</v>
      </c>
      <c r="T160" s="32" t="n">
        <f>455</f>
        <v>455.0</v>
      </c>
      <c r="U160" s="32" t="str">
        <f>"－"</f>
        <v>－</v>
      </c>
      <c r="V160" s="32" t="n">
        <f>3671017</f>
        <v>3671017.0</v>
      </c>
      <c r="W160" s="32" t="str">
        <f>"－"</f>
        <v>－</v>
      </c>
      <c r="X160" s="36" t="n">
        <f>17</f>
        <v>17.0</v>
      </c>
    </row>
    <row r="161">
      <c r="A161" s="27" t="s">
        <v>42</v>
      </c>
      <c r="B161" s="27" t="s">
        <v>534</v>
      </c>
      <c r="C161" s="27" t="s">
        <v>535</v>
      </c>
      <c r="D161" s="27" t="s">
        <v>536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100.0</v>
      </c>
      <c r="K161" s="33" t="n">
        <f>442.4</f>
        <v>442.4</v>
      </c>
      <c r="L161" s="34" t="s">
        <v>48</v>
      </c>
      <c r="M161" s="33" t="n">
        <f>450.2</f>
        <v>450.2</v>
      </c>
      <c r="N161" s="34" t="s">
        <v>60</v>
      </c>
      <c r="O161" s="33" t="n">
        <f>431.8</f>
        <v>431.8</v>
      </c>
      <c r="P161" s="34" t="s">
        <v>236</v>
      </c>
      <c r="Q161" s="33" t="n">
        <f>436.9</f>
        <v>436.9</v>
      </c>
      <c r="R161" s="34" t="s">
        <v>50</v>
      </c>
      <c r="S161" s="35" t="n">
        <f>439.74</f>
        <v>439.74</v>
      </c>
      <c r="T161" s="32" t="n">
        <f>159300</f>
        <v>159300.0</v>
      </c>
      <c r="U161" s="32" t="str">
        <f>"－"</f>
        <v>－</v>
      </c>
      <c r="V161" s="32" t="n">
        <f>70012100</f>
        <v>7.00121E7</v>
      </c>
      <c r="W161" s="32" t="str">
        <f>"－"</f>
        <v>－</v>
      </c>
      <c r="X161" s="36" t="n">
        <f>19</f>
        <v>19.0</v>
      </c>
    </row>
    <row r="162">
      <c r="A162" s="27" t="s">
        <v>42</v>
      </c>
      <c r="B162" s="27" t="s">
        <v>537</v>
      </c>
      <c r="C162" s="27" t="s">
        <v>538</v>
      </c>
      <c r="D162" s="27" t="s">
        <v>539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10.0</v>
      </c>
      <c r="K162" s="33" t="n">
        <f>5082</f>
        <v>5082.0</v>
      </c>
      <c r="L162" s="34" t="s">
        <v>48</v>
      </c>
      <c r="M162" s="33" t="n">
        <f>5230</f>
        <v>5230.0</v>
      </c>
      <c r="N162" s="34" t="s">
        <v>109</v>
      </c>
      <c r="O162" s="33" t="n">
        <f>4947</f>
        <v>4947.0</v>
      </c>
      <c r="P162" s="34" t="s">
        <v>214</v>
      </c>
      <c r="Q162" s="33" t="n">
        <f>5136</f>
        <v>5136.0</v>
      </c>
      <c r="R162" s="34" t="s">
        <v>50</v>
      </c>
      <c r="S162" s="35" t="n">
        <f>5077.32</f>
        <v>5077.32</v>
      </c>
      <c r="T162" s="32" t="n">
        <f>22280</f>
        <v>22280.0</v>
      </c>
      <c r="U162" s="32" t="str">
        <f>"－"</f>
        <v>－</v>
      </c>
      <c r="V162" s="32" t="n">
        <f>113086500</f>
        <v>1.130865E8</v>
      </c>
      <c r="W162" s="32" t="str">
        <f>"－"</f>
        <v>－</v>
      </c>
      <c r="X162" s="36" t="n">
        <f>19</f>
        <v>19.0</v>
      </c>
    </row>
    <row r="163">
      <c r="A163" s="27" t="s">
        <v>42</v>
      </c>
      <c r="B163" s="27" t="s">
        <v>540</v>
      </c>
      <c r="C163" s="27" t="s">
        <v>541</v>
      </c>
      <c r="D163" s="27" t="s">
        <v>542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10.0</v>
      </c>
      <c r="K163" s="33" t="n">
        <f>2190</f>
        <v>2190.0</v>
      </c>
      <c r="L163" s="34" t="s">
        <v>48</v>
      </c>
      <c r="M163" s="33" t="n">
        <f>2491</f>
        <v>2491.0</v>
      </c>
      <c r="N163" s="34" t="s">
        <v>49</v>
      </c>
      <c r="O163" s="33" t="n">
        <f>2150</f>
        <v>2150.0</v>
      </c>
      <c r="P163" s="34" t="s">
        <v>61</v>
      </c>
      <c r="Q163" s="33" t="n">
        <f>2419.5</f>
        <v>2419.5</v>
      </c>
      <c r="R163" s="34" t="s">
        <v>50</v>
      </c>
      <c r="S163" s="35" t="n">
        <f>2255.03</f>
        <v>2255.03</v>
      </c>
      <c r="T163" s="32" t="n">
        <f>25190</f>
        <v>25190.0</v>
      </c>
      <c r="U163" s="32" t="str">
        <f>"－"</f>
        <v>－</v>
      </c>
      <c r="V163" s="32" t="n">
        <f>58267470</f>
        <v>5.826747E7</v>
      </c>
      <c r="W163" s="32" t="str">
        <f>"－"</f>
        <v>－</v>
      </c>
      <c r="X163" s="36" t="n">
        <f>19</f>
        <v>19.0</v>
      </c>
    </row>
    <row r="164">
      <c r="A164" s="27" t="s">
        <v>42</v>
      </c>
      <c r="B164" s="27" t="s">
        <v>543</v>
      </c>
      <c r="C164" s="27" t="s">
        <v>544</v>
      </c>
      <c r="D164" s="27" t="s">
        <v>545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3655</f>
        <v>3655.0</v>
      </c>
      <c r="L164" s="34" t="s">
        <v>48</v>
      </c>
      <c r="M164" s="33" t="n">
        <f>3710</f>
        <v>3710.0</v>
      </c>
      <c r="N164" s="34" t="s">
        <v>88</v>
      </c>
      <c r="O164" s="33" t="n">
        <f>3450</f>
        <v>3450.0</v>
      </c>
      <c r="P164" s="34" t="s">
        <v>161</v>
      </c>
      <c r="Q164" s="33" t="n">
        <f>3590</f>
        <v>3590.0</v>
      </c>
      <c r="R164" s="34" t="s">
        <v>50</v>
      </c>
      <c r="S164" s="35" t="n">
        <f>3599.21</f>
        <v>3599.21</v>
      </c>
      <c r="T164" s="32" t="n">
        <f>195924</f>
        <v>195924.0</v>
      </c>
      <c r="U164" s="32" t="n">
        <f>77</f>
        <v>77.0</v>
      </c>
      <c r="V164" s="32" t="n">
        <f>702883705</f>
        <v>7.02883705E8</v>
      </c>
      <c r="W164" s="32" t="n">
        <f>280790</f>
        <v>280790.0</v>
      </c>
      <c r="X164" s="36" t="n">
        <f>19</f>
        <v>19.0</v>
      </c>
    </row>
    <row r="165">
      <c r="A165" s="27" t="s">
        <v>42</v>
      </c>
      <c r="B165" s="27" t="s">
        <v>546</v>
      </c>
      <c r="C165" s="27" t="s">
        <v>547</v>
      </c>
      <c r="D165" s="27" t="s">
        <v>548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3350</f>
        <v>3350.0</v>
      </c>
      <c r="L165" s="34" t="s">
        <v>48</v>
      </c>
      <c r="M165" s="33" t="n">
        <f>3385</f>
        <v>3385.0</v>
      </c>
      <c r="N165" s="34" t="s">
        <v>48</v>
      </c>
      <c r="O165" s="33" t="n">
        <f>3095</f>
        <v>3095.0</v>
      </c>
      <c r="P165" s="34" t="s">
        <v>68</v>
      </c>
      <c r="Q165" s="33" t="n">
        <f>3215</f>
        <v>3215.0</v>
      </c>
      <c r="R165" s="34" t="s">
        <v>50</v>
      </c>
      <c r="S165" s="35" t="n">
        <f>3254.47</f>
        <v>3254.47</v>
      </c>
      <c r="T165" s="32" t="n">
        <f>31721</f>
        <v>31721.0</v>
      </c>
      <c r="U165" s="32" t="str">
        <f>"－"</f>
        <v>－</v>
      </c>
      <c r="V165" s="32" t="n">
        <f>102588330</f>
        <v>1.0258833E8</v>
      </c>
      <c r="W165" s="32" t="str">
        <f>"－"</f>
        <v>－</v>
      </c>
      <c r="X165" s="36" t="n">
        <f>19</f>
        <v>19.0</v>
      </c>
    </row>
    <row r="166">
      <c r="A166" s="27" t="s">
        <v>42</v>
      </c>
      <c r="B166" s="27" t="s">
        <v>549</v>
      </c>
      <c r="C166" s="27" t="s">
        <v>550</v>
      </c>
      <c r="D166" s="27" t="s">
        <v>551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10.0</v>
      </c>
      <c r="K166" s="33" t="n">
        <f>4298</f>
        <v>4298.0</v>
      </c>
      <c r="L166" s="34" t="s">
        <v>48</v>
      </c>
      <c r="M166" s="33" t="n">
        <f>4298</f>
        <v>4298.0</v>
      </c>
      <c r="N166" s="34" t="s">
        <v>48</v>
      </c>
      <c r="O166" s="33" t="n">
        <f>4077</f>
        <v>4077.0</v>
      </c>
      <c r="P166" s="34" t="s">
        <v>50</v>
      </c>
      <c r="Q166" s="33" t="n">
        <f>4077</f>
        <v>4077.0</v>
      </c>
      <c r="R166" s="34" t="s">
        <v>50</v>
      </c>
      <c r="S166" s="35" t="n">
        <f>4216.68</f>
        <v>4216.68</v>
      </c>
      <c r="T166" s="32" t="n">
        <f>9120</f>
        <v>9120.0</v>
      </c>
      <c r="U166" s="32" t="str">
        <f>"－"</f>
        <v>－</v>
      </c>
      <c r="V166" s="32" t="n">
        <f>38414540</f>
        <v>3.841454E7</v>
      </c>
      <c r="W166" s="32" t="str">
        <f>"－"</f>
        <v>－</v>
      </c>
      <c r="X166" s="36" t="n">
        <f>19</f>
        <v>19.0</v>
      </c>
    </row>
    <row r="167">
      <c r="A167" s="27" t="s">
        <v>42</v>
      </c>
      <c r="B167" s="27" t="s">
        <v>552</v>
      </c>
      <c r="C167" s="27" t="s">
        <v>553</v>
      </c>
      <c r="D167" s="27" t="s">
        <v>554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10.0</v>
      </c>
      <c r="K167" s="33" t="n">
        <f>2783</f>
        <v>2783.0</v>
      </c>
      <c r="L167" s="34" t="s">
        <v>48</v>
      </c>
      <c r="M167" s="33" t="n">
        <f>2899</f>
        <v>2899.0</v>
      </c>
      <c r="N167" s="34" t="s">
        <v>49</v>
      </c>
      <c r="O167" s="33" t="n">
        <f>2767</f>
        <v>2767.0</v>
      </c>
      <c r="P167" s="34" t="s">
        <v>48</v>
      </c>
      <c r="Q167" s="33" t="n">
        <f>2882</f>
        <v>2882.0</v>
      </c>
      <c r="R167" s="34" t="s">
        <v>50</v>
      </c>
      <c r="S167" s="35" t="n">
        <f>2830.13</f>
        <v>2830.13</v>
      </c>
      <c r="T167" s="32" t="n">
        <f>257230</f>
        <v>257230.0</v>
      </c>
      <c r="U167" s="32" t="n">
        <f>20150</f>
        <v>20150.0</v>
      </c>
      <c r="V167" s="32" t="n">
        <f>726580395</f>
        <v>7.26580395E8</v>
      </c>
      <c r="W167" s="32" t="n">
        <f>56287240</f>
        <v>5.628724E7</v>
      </c>
      <c r="X167" s="36" t="n">
        <f>19</f>
        <v>19.0</v>
      </c>
    </row>
    <row r="168">
      <c r="A168" s="27" t="s">
        <v>42</v>
      </c>
      <c r="B168" s="27" t="s">
        <v>555</v>
      </c>
      <c r="C168" s="27" t="s">
        <v>556</v>
      </c>
      <c r="D168" s="27" t="s">
        <v>557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384.9</f>
        <v>384.9</v>
      </c>
      <c r="L168" s="34" t="s">
        <v>48</v>
      </c>
      <c r="M168" s="33" t="n">
        <f>405.9</f>
        <v>405.9</v>
      </c>
      <c r="N168" s="34" t="s">
        <v>161</v>
      </c>
      <c r="O168" s="33" t="n">
        <f>372.6</f>
        <v>372.6</v>
      </c>
      <c r="P168" s="34" t="s">
        <v>61</v>
      </c>
      <c r="Q168" s="33" t="n">
        <f>402.3</f>
        <v>402.3</v>
      </c>
      <c r="R168" s="34" t="s">
        <v>50</v>
      </c>
      <c r="S168" s="35" t="n">
        <f>393.35</f>
        <v>393.35</v>
      </c>
      <c r="T168" s="32" t="n">
        <f>26152460</f>
        <v>2.615246E7</v>
      </c>
      <c r="U168" s="32" t="n">
        <f>14005860</f>
        <v>1.400586E7</v>
      </c>
      <c r="V168" s="32" t="n">
        <f>10003559799</f>
        <v>1.0003559799E10</v>
      </c>
      <c r="W168" s="32" t="n">
        <f>5234236429</f>
        <v>5.234236429E9</v>
      </c>
      <c r="X168" s="36" t="n">
        <f>19</f>
        <v>19.0</v>
      </c>
    </row>
    <row r="169">
      <c r="A169" s="27" t="s">
        <v>42</v>
      </c>
      <c r="B169" s="27" t="s">
        <v>558</v>
      </c>
      <c r="C169" s="27" t="s">
        <v>559</v>
      </c>
      <c r="D169" s="27" t="s">
        <v>560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535</f>
        <v>535.0</v>
      </c>
      <c r="L169" s="34" t="s">
        <v>48</v>
      </c>
      <c r="M169" s="33" t="n">
        <f>554.8</f>
        <v>554.8</v>
      </c>
      <c r="N169" s="34" t="s">
        <v>68</v>
      </c>
      <c r="O169" s="33" t="n">
        <f>527</f>
        <v>527.0</v>
      </c>
      <c r="P169" s="34" t="s">
        <v>214</v>
      </c>
      <c r="Q169" s="33" t="n">
        <f>549.9</f>
        <v>549.9</v>
      </c>
      <c r="R169" s="34" t="s">
        <v>50</v>
      </c>
      <c r="S169" s="35" t="n">
        <f>539.61</f>
        <v>539.61</v>
      </c>
      <c r="T169" s="32" t="n">
        <f>754470</f>
        <v>754470.0</v>
      </c>
      <c r="U169" s="32" t="str">
        <f>"－"</f>
        <v>－</v>
      </c>
      <c r="V169" s="32" t="n">
        <f>406319254</f>
        <v>4.06319254E8</v>
      </c>
      <c r="W169" s="32" t="str">
        <f>"－"</f>
        <v>－</v>
      </c>
      <c r="X169" s="36" t="n">
        <f>19</f>
        <v>19.0</v>
      </c>
    </row>
    <row r="170">
      <c r="A170" s="27" t="s">
        <v>42</v>
      </c>
      <c r="B170" s="27" t="s">
        <v>561</v>
      </c>
      <c r="C170" s="27" t="s">
        <v>562</v>
      </c>
      <c r="D170" s="27" t="s">
        <v>563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10.0</v>
      </c>
      <c r="K170" s="33" t="n">
        <f>200.1</f>
        <v>200.1</v>
      </c>
      <c r="L170" s="34" t="s">
        <v>48</v>
      </c>
      <c r="M170" s="33" t="n">
        <f>206.9</f>
        <v>206.9</v>
      </c>
      <c r="N170" s="34" t="s">
        <v>105</v>
      </c>
      <c r="O170" s="33" t="n">
        <f>198.9</f>
        <v>198.9</v>
      </c>
      <c r="P170" s="34" t="s">
        <v>81</v>
      </c>
      <c r="Q170" s="33" t="n">
        <f>204.8</f>
        <v>204.8</v>
      </c>
      <c r="R170" s="34" t="s">
        <v>50</v>
      </c>
      <c r="S170" s="35" t="n">
        <f>203.54</f>
        <v>203.54</v>
      </c>
      <c r="T170" s="32" t="n">
        <f>2654660</f>
        <v>2654660.0</v>
      </c>
      <c r="U170" s="32" t="str">
        <f>"－"</f>
        <v>－</v>
      </c>
      <c r="V170" s="32" t="n">
        <f>540666412</f>
        <v>5.40666412E8</v>
      </c>
      <c r="W170" s="32" t="str">
        <f>"－"</f>
        <v>－</v>
      </c>
      <c r="X170" s="36" t="n">
        <f>19</f>
        <v>19.0</v>
      </c>
    </row>
    <row r="171">
      <c r="A171" s="27" t="s">
        <v>42</v>
      </c>
      <c r="B171" s="27" t="s">
        <v>564</v>
      </c>
      <c r="C171" s="27" t="s">
        <v>565</v>
      </c>
      <c r="D171" s="27" t="s">
        <v>566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10.0</v>
      </c>
      <c r="K171" s="33" t="n">
        <f>203.1</f>
        <v>203.1</v>
      </c>
      <c r="L171" s="34" t="s">
        <v>48</v>
      </c>
      <c r="M171" s="33" t="n">
        <f>212.2</f>
        <v>212.2</v>
      </c>
      <c r="N171" s="34" t="s">
        <v>68</v>
      </c>
      <c r="O171" s="33" t="n">
        <f>202.1</f>
        <v>202.1</v>
      </c>
      <c r="P171" s="34" t="s">
        <v>48</v>
      </c>
      <c r="Q171" s="33" t="n">
        <f>210.4</f>
        <v>210.4</v>
      </c>
      <c r="R171" s="34" t="s">
        <v>50</v>
      </c>
      <c r="S171" s="35" t="n">
        <f>207.44</f>
        <v>207.44</v>
      </c>
      <c r="T171" s="32" t="n">
        <f>7338460</f>
        <v>7338460.0</v>
      </c>
      <c r="U171" s="32" t="n">
        <f>4070</f>
        <v>4070.0</v>
      </c>
      <c r="V171" s="32" t="n">
        <f>1523740812</f>
        <v>1.523740812E9</v>
      </c>
      <c r="W171" s="32" t="n">
        <f>822646</f>
        <v>822646.0</v>
      </c>
      <c r="X171" s="36" t="n">
        <f>19</f>
        <v>19.0</v>
      </c>
    </row>
    <row r="172">
      <c r="A172" s="27" t="s">
        <v>42</v>
      </c>
      <c r="B172" s="27" t="s">
        <v>567</v>
      </c>
      <c r="C172" s="27" t="s">
        <v>568</v>
      </c>
      <c r="D172" s="27" t="s">
        <v>569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204.4</f>
        <v>204.4</v>
      </c>
      <c r="L172" s="34" t="s">
        <v>48</v>
      </c>
      <c r="M172" s="33" t="n">
        <f>216.1</f>
        <v>216.1</v>
      </c>
      <c r="N172" s="34" t="s">
        <v>68</v>
      </c>
      <c r="O172" s="33" t="n">
        <f>203.7</f>
        <v>203.7</v>
      </c>
      <c r="P172" s="34" t="s">
        <v>48</v>
      </c>
      <c r="Q172" s="33" t="n">
        <f>214.4</f>
        <v>214.4</v>
      </c>
      <c r="R172" s="34" t="s">
        <v>50</v>
      </c>
      <c r="S172" s="35" t="n">
        <f>210.51</f>
        <v>210.51</v>
      </c>
      <c r="T172" s="32" t="n">
        <f>13653320</f>
        <v>1.365332E7</v>
      </c>
      <c r="U172" s="32" t="n">
        <f>720</f>
        <v>720.0</v>
      </c>
      <c r="V172" s="32" t="n">
        <f>2887153872</f>
        <v>2.887153872E9</v>
      </c>
      <c r="W172" s="32" t="n">
        <f>140304</f>
        <v>140304.0</v>
      </c>
      <c r="X172" s="36" t="n">
        <f>19</f>
        <v>19.0</v>
      </c>
    </row>
    <row r="173">
      <c r="A173" s="27" t="s">
        <v>42</v>
      </c>
      <c r="B173" s="27" t="s">
        <v>570</v>
      </c>
      <c r="C173" s="27" t="s">
        <v>571</v>
      </c>
      <c r="D173" s="27" t="s">
        <v>572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1.0</v>
      </c>
      <c r="K173" s="33" t="n">
        <f>2016</f>
        <v>2016.0</v>
      </c>
      <c r="L173" s="34" t="s">
        <v>48</v>
      </c>
      <c r="M173" s="33" t="n">
        <f>2020</f>
        <v>2020.0</v>
      </c>
      <c r="N173" s="34" t="s">
        <v>61</v>
      </c>
      <c r="O173" s="33" t="n">
        <f>2003</f>
        <v>2003.0</v>
      </c>
      <c r="P173" s="34" t="s">
        <v>69</v>
      </c>
      <c r="Q173" s="33" t="n">
        <f>2005</f>
        <v>2005.0</v>
      </c>
      <c r="R173" s="34" t="s">
        <v>50</v>
      </c>
      <c r="S173" s="35" t="n">
        <f>2010.21</f>
        <v>2010.21</v>
      </c>
      <c r="T173" s="32" t="n">
        <f>783994</f>
        <v>783994.0</v>
      </c>
      <c r="U173" s="32" t="n">
        <f>560074</f>
        <v>560074.0</v>
      </c>
      <c r="V173" s="32" t="n">
        <f>1577684963</f>
        <v>1.577684963E9</v>
      </c>
      <c r="W173" s="32" t="n">
        <f>1126700481</f>
        <v>1.126700481E9</v>
      </c>
      <c r="X173" s="36" t="n">
        <f>19</f>
        <v>19.0</v>
      </c>
    </row>
    <row r="174">
      <c r="A174" s="27" t="s">
        <v>42</v>
      </c>
      <c r="B174" s="27" t="s">
        <v>573</v>
      </c>
      <c r="C174" s="27" t="s">
        <v>574</v>
      </c>
      <c r="D174" s="27" t="s">
        <v>575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1.0</v>
      </c>
      <c r="K174" s="33" t="n">
        <f>2016</f>
        <v>2016.0</v>
      </c>
      <c r="L174" s="34" t="s">
        <v>48</v>
      </c>
      <c r="M174" s="33" t="n">
        <f>2027</f>
        <v>2027.0</v>
      </c>
      <c r="N174" s="34" t="s">
        <v>81</v>
      </c>
      <c r="O174" s="33" t="n">
        <f>1952</f>
        <v>1952.0</v>
      </c>
      <c r="P174" s="34" t="s">
        <v>88</v>
      </c>
      <c r="Q174" s="33" t="n">
        <f>1962</f>
        <v>1962.0</v>
      </c>
      <c r="R174" s="34" t="s">
        <v>50</v>
      </c>
      <c r="S174" s="35" t="n">
        <f>1974.84</f>
        <v>1974.84</v>
      </c>
      <c r="T174" s="32" t="n">
        <f>710786</f>
        <v>710786.0</v>
      </c>
      <c r="U174" s="32" t="n">
        <f>250000</f>
        <v>250000.0</v>
      </c>
      <c r="V174" s="32" t="n">
        <f>1403621739</f>
        <v>1.403621739E9</v>
      </c>
      <c r="W174" s="32" t="n">
        <f>489341425</f>
        <v>4.89341425E8</v>
      </c>
      <c r="X174" s="36" t="n">
        <f>19</f>
        <v>19.0</v>
      </c>
    </row>
    <row r="175">
      <c r="A175" s="27" t="s">
        <v>42</v>
      </c>
      <c r="B175" s="27" t="s">
        <v>576</v>
      </c>
      <c r="C175" s="27" t="s">
        <v>577</v>
      </c>
      <c r="D175" s="27" t="s">
        <v>578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1.0</v>
      </c>
      <c r="K175" s="33" t="n">
        <f>1004</f>
        <v>1004.0</v>
      </c>
      <c r="L175" s="34" t="s">
        <v>48</v>
      </c>
      <c r="M175" s="33" t="n">
        <f>1052</f>
        <v>1052.0</v>
      </c>
      <c r="N175" s="34" t="s">
        <v>68</v>
      </c>
      <c r="O175" s="33" t="n">
        <f>995</f>
        <v>995.0</v>
      </c>
      <c r="P175" s="34" t="s">
        <v>74</v>
      </c>
      <c r="Q175" s="33" t="n">
        <f>1047</f>
        <v>1047.0</v>
      </c>
      <c r="R175" s="34" t="s">
        <v>50</v>
      </c>
      <c r="S175" s="35" t="n">
        <f>1025.89</f>
        <v>1025.89</v>
      </c>
      <c r="T175" s="32" t="n">
        <f>7243242</f>
        <v>7243242.0</v>
      </c>
      <c r="U175" s="32" t="n">
        <f>177587</f>
        <v>177587.0</v>
      </c>
      <c r="V175" s="32" t="n">
        <f>7402762134</f>
        <v>7.402762134E9</v>
      </c>
      <c r="W175" s="32" t="n">
        <f>181161009</f>
        <v>1.81161009E8</v>
      </c>
      <c r="X175" s="36" t="n">
        <f>19</f>
        <v>19.0</v>
      </c>
    </row>
    <row r="176">
      <c r="A176" s="27" t="s">
        <v>42</v>
      </c>
      <c r="B176" s="27" t="s">
        <v>579</v>
      </c>
      <c r="C176" s="27" t="s">
        <v>580</v>
      </c>
      <c r="D176" s="27" t="s">
        <v>581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1.0</v>
      </c>
      <c r="K176" s="33" t="n">
        <f>995</f>
        <v>995.0</v>
      </c>
      <c r="L176" s="34" t="s">
        <v>48</v>
      </c>
      <c r="M176" s="33" t="n">
        <f>1032</f>
        <v>1032.0</v>
      </c>
      <c r="N176" s="34" t="s">
        <v>295</v>
      </c>
      <c r="O176" s="33" t="n">
        <f>980</f>
        <v>980.0</v>
      </c>
      <c r="P176" s="34" t="s">
        <v>236</v>
      </c>
      <c r="Q176" s="33" t="n">
        <f>1028</f>
        <v>1028.0</v>
      </c>
      <c r="R176" s="34" t="s">
        <v>50</v>
      </c>
      <c r="S176" s="35" t="n">
        <f>1006.37</f>
        <v>1006.37</v>
      </c>
      <c r="T176" s="32" t="n">
        <f>210801</f>
        <v>210801.0</v>
      </c>
      <c r="U176" s="32" t="n">
        <f>1</f>
        <v>1.0</v>
      </c>
      <c r="V176" s="32" t="n">
        <f>210451943</f>
        <v>2.10451943E8</v>
      </c>
      <c r="W176" s="32" t="n">
        <f>996</f>
        <v>996.0</v>
      </c>
      <c r="X176" s="36" t="n">
        <f>19</f>
        <v>19.0</v>
      </c>
    </row>
    <row r="177">
      <c r="A177" s="27" t="s">
        <v>42</v>
      </c>
      <c r="B177" s="27" t="s">
        <v>582</v>
      </c>
      <c r="C177" s="27" t="s">
        <v>583</v>
      </c>
      <c r="D177" s="27" t="s">
        <v>584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1.0</v>
      </c>
      <c r="K177" s="33" t="n">
        <f>1007</f>
        <v>1007.0</v>
      </c>
      <c r="L177" s="34" t="s">
        <v>48</v>
      </c>
      <c r="M177" s="33" t="n">
        <f>1038</f>
        <v>1038.0</v>
      </c>
      <c r="N177" s="34" t="s">
        <v>68</v>
      </c>
      <c r="O177" s="33" t="n">
        <f>995</f>
        <v>995.0</v>
      </c>
      <c r="P177" s="34" t="s">
        <v>74</v>
      </c>
      <c r="Q177" s="33" t="n">
        <f>1032</f>
        <v>1032.0</v>
      </c>
      <c r="R177" s="34" t="s">
        <v>50</v>
      </c>
      <c r="S177" s="35" t="n">
        <f>1018.05</f>
        <v>1018.05</v>
      </c>
      <c r="T177" s="32" t="n">
        <f>470729</f>
        <v>470729.0</v>
      </c>
      <c r="U177" s="32" t="n">
        <f>352</f>
        <v>352.0</v>
      </c>
      <c r="V177" s="32" t="n">
        <f>476062557</f>
        <v>4.76062557E8</v>
      </c>
      <c r="W177" s="32" t="n">
        <f>340593</f>
        <v>340593.0</v>
      </c>
      <c r="X177" s="36" t="n">
        <f>19</f>
        <v>19.0</v>
      </c>
    </row>
    <row r="178">
      <c r="A178" s="27" t="s">
        <v>42</v>
      </c>
      <c r="B178" s="27" t="s">
        <v>585</v>
      </c>
      <c r="C178" s="27" t="s">
        <v>586</v>
      </c>
      <c r="D178" s="27" t="s">
        <v>587</v>
      </c>
      <c r="E178" s="28" t="s">
        <v>46</v>
      </c>
      <c r="F178" s="29" t="s">
        <v>46</v>
      </c>
      <c r="G178" s="30" t="s">
        <v>46</v>
      </c>
      <c r="H178" s="31"/>
      <c r="I178" s="31" t="s">
        <v>588</v>
      </c>
      <c r="J178" s="32" t="n">
        <v>1.0</v>
      </c>
      <c r="K178" s="33" t="n">
        <f>3525</f>
        <v>3525.0</v>
      </c>
      <c r="L178" s="34" t="s">
        <v>48</v>
      </c>
      <c r="M178" s="33" t="n">
        <f>4215</f>
        <v>4215.0</v>
      </c>
      <c r="N178" s="34" t="s">
        <v>70</v>
      </c>
      <c r="O178" s="33" t="n">
        <f>3490</f>
        <v>3490.0</v>
      </c>
      <c r="P178" s="34" t="s">
        <v>61</v>
      </c>
      <c r="Q178" s="33" t="n">
        <f>4035</f>
        <v>4035.0</v>
      </c>
      <c r="R178" s="34" t="s">
        <v>50</v>
      </c>
      <c r="S178" s="35" t="n">
        <f>3860.26</f>
        <v>3860.26</v>
      </c>
      <c r="T178" s="32" t="n">
        <f>190355</f>
        <v>190355.0</v>
      </c>
      <c r="U178" s="32" t="str">
        <f>"－"</f>
        <v>－</v>
      </c>
      <c r="V178" s="32" t="n">
        <f>738010745</f>
        <v>7.38010745E8</v>
      </c>
      <c r="W178" s="32" t="str">
        <f>"－"</f>
        <v>－</v>
      </c>
      <c r="X178" s="36" t="n">
        <f>19</f>
        <v>19.0</v>
      </c>
    </row>
    <row r="179">
      <c r="A179" s="27" t="s">
        <v>42</v>
      </c>
      <c r="B179" s="27" t="s">
        <v>589</v>
      </c>
      <c r="C179" s="27" t="s">
        <v>590</v>
      </c>
      <c r="D179" s="27" t="s">
        <v>591</v>
      </c>
      <c r="E179" s="28" t="s">
        <v>46</v>
      </c>
      <c r="F179" s="29" t="s">
        <v>46</v>
      </c>
      <c r="G179" s="30" t="s">
        <v>46</v>
      </c>
      <c r="H179" s="31"/>
      <c r="I179" s="31" t="s">
        <v>588</v>
      </c>
      <c r="J179" s="32" t="n">
        <v>1.0</v>
      </c>
      <c r="K179" s="33" t="n">
        <f>10515</f>
        <v>10515.0</v>
      </c>
      <c r="L179" s="34" t="s">
        <v>48</v>
      </c>
      <c r="M179" s="33" t="n">
        <f>10750</f>
        <v>10750.0</v>
      </c>
      <c r="N179" s="34" t="s">
        <v>61</v>
      </c>
      <c r="O179" s="33" t="n">
        <f>9785</f>
        <v>9785.0</v>
      </c>
      <c r="P179" s="34" t="s">
        <v>68</v>
      </c>
      <c r="Q179" s="33" t="n">
        <f>9969</f>
        <v>9969.0</v>
      </c>
      <c r="R179" s="34" t="s">
        <v>50</v>
      </c>
      <c r="S179" s="35" t="n">
        <f>10164.63</f>
        <v>10164.63</v>
      </c>
      <c r="T179" s="32" t="n">
        <f>15525</f>
        <v>15525.0</v>
      </c>
      <c r="U179" s="32" t="str">
        <f>"－"</f>
        <v>－</v>
      </c>
      <c r="V179" s="32" t="n">
        <f>158349452</f>
        <v>1.58349452E8</v>
      </c>
      <c r="W179" s="32" t="str">
        <f>"－"</f>
        <v>－</v>
      </c>
      <c r="X179" s="36" t="n">
        <f>19</f>
        <v>19.0</v>
      </c>
    </row>
    <row r="180">
      <c r="A180" s="27" t="s">
        <v>42</v>
      </c>
      <c r="B180" s="27" t="s">
        <v>592</v>
      </c>
      <c r="C180" s="27" t="s">
        <v>593</v>
      </c>
      <c r="D180" s="27" t="s">
        <v>594</v>
      </c>
      <c r="E180" s="28" t="s">
        <v>46</v>
      </c>
      <c r="F180" s="29" t="s">
        <v>46</v>
      </c>
      <c r="G180" s="30" t="s">
        <v>46</v>
      </c>
      <c r="H180" s="31"/>
      <c r="I180" s="31" t="s">
        <v>588</v>
      </c>
      <c r="J180" s="32" t="n">
        <v>1.0</v>
      </c>
      <c r="K180" s="33" t="n">
        <f>11965</f>
        <v>11965.0</v>
      </c>
      <c r="L180" s="34" t="s">
        <v>48</v>
      </c>
      <c r="M180" s="33" t="n">
        <f>13730</f>
        <v>13730.0</v>
      </c>
      <c r="N180" s="34" t="s">
        <v>68</v>
      </c>
      <c r="O180" s="33" t="n">
        <f>11965</f>
        <v>11965.0</v>
      </c>
      <c r="P180" s="34" t="s">
        <v>48</v>
      </c>
      <c r="Q180" s="33" t="n">
        <f>13540</f>
        <v>13540.0</v>
      </c>
      <c r="R180" s="34" t="s">
        <v>70</v>
      </c>
      <c r="S180" s="35" t="n">
        <f>13152.5</f>
        <v>13152.5</v>
      </c>
      <c r="T180" s="32" t="n">
        <f>1597</f>
        <v>1597.0</v>
      </c>
      <c r="U180" s="32" t="str">
        <f>"－"</f>
        <v>－</v>
      </c>
      <c r="V180" s="32" t="n">
        <f>20946165</f>
        <v>2.0946165E7</v>
      </c>
      <c r="W180" s="32" t="str">
        <f>"－"</f>
        <v>－</v>
      </c>
      <c r="X180" s="36" t="n">
        <f>18</f>
        <v>18.0</v>
      </c>
    </row>
    <row r="181">
      <c r="A181" s="27" t="s">
        <v>42</v>
      </c>
      <c r="B181" s="27" t="s">
        <v>595</v>
      </c>
      <c r="C181" s="27" t="s">
        <v>596</v>
      </c>
      <c r="D181" s="27" t="s">
        <v>597</v>
      </c>
      <c r="E181" s="28" t="s">
        <v>46</v>
      </c>
      <c r="F181" s="29" t="s">
        <v>46</v>
      </c>
      <c r="G181" s="30" t="s">
        <v>46</v>
      </c>
      <c r="H181" s="31"/>
      <c r="I181" s="31" t="s">
        <v>588</v>
      </c>
      <c r="J181" s="32" t="n">
        <v>1.0</v>
      </c>
      <c r="K181" s="33" t="n">
        <f>8034</f>
        <v>8034.0</v>
      </c>
      <c r="L181" s="34" t="s">
        <v>48</v>
      </c>
      <c r="M181" s="33" t="n">
        <f>8098</f>
        <v>8098.0</v>
      </c>
      <c r="N181" s="34" t="s">
        <v>48</v>
      </c>
      <c r="O181" s="33" t="n">
        <f>7694</f>
        <v>7694.0</v>
      </c>
      <c r="P181" s="34" t="s">
        <v>61</v>
      </c>
      <c r="Q181" s="33" t="n">
        <f>7850</f>
        <v>7850.0</v>
      </c>
      <c r="R181" s="34" t="s">
        <v>50</v>
      </c>
      <c r="S181" s="35" t="n">
        <f>7879.26</f>
        <v>7879.26</v>
      </c>
      <c r="T181" s="32" t="n">
        <f>5844</f>
        <v>5844.0</v>
      </c>
      <c r="U181" s="32" t="n">
        <f>20</f>
        <v>20.0</v>
      </c>
      <c r="V181" s="32" t="n">
        <f>46000325</f>
        <v>4.6000325E7</v>
      </c>
      <c r="W181" s="32" t="n">
        <f>156000</f>
        <v>156000.0</v>
      </c>
      <c r="X181" s="36" t="n">
        <f>19</f>
        <v>19.0</v>
      </c>
    </row>
    <row r="182">
      <c r="A182" s="27" t="s">
        <v>42</v>
      </c>
      <c r="B182" s="27" t="s">
        <v>598</v>
      </c>
      <c r="C182" s="27" t="s">
        <v>599</v>
      </c>
      <c r="D182" s="27" t="s">
        <v>600</v>
      </c>
      <c r="E182" s="28" t="s">
        <v>46</v>
      </c>
      <c r="F182" s="29" t="s">
        <v>46</v>
      </c>
      <c r="G182" s="30" t="s">
        <v>46</v>
      </c>
      <c r="H182" s="31"/>
      <c r="I182" s="31" t="s">
        <v>588</v>
      </c>
      <c r="J182" s="32" t="n">
        <v>1.0</v>
      </c>
      <c r="K182" s="33" t="n">
        <f>38610</f>
        <v>38610.0</v>
      </c>
      <c r="L182" s="34" t="s">
        <v>48</v>
      </c>
      <c r="M182" s="33" t="n">
        <f>40260</f>
        <v>40260.0</v>
      </c>
      <c r="N182" s="34" t="s">
        <v>70</v>
      </c>
      <c r="O182" s="33" t="n">
        <f>38370</f>
        <v>38370.0</v>
      </c>
      <c r="P182" s="34" t="s">
        <v>88</v>
      </c>
      <c r="Q182" s="33" t="n">
        <f>40040</f>
        <v>40040.0</v>
      </c>
      <c r="R182" s="34" t="s">
        <v>50</v>
      </c>
      <c r="S182" s="35" t="n">
        <f>39226.84</f>
        <v>39226.84</v>
      </c>
      <c r="T182" s="32" t="n">
        <f>25967</f>
        <v>25967.0</v>
      </c>
      <c r="U182" s="32" t="n">
        <f>120</f>
        <v>120.0</v>
      </c>
      <c r="V182" s="32" t="n">
        <f>1019038070</f>
        <v>1.01903807E9</v>
      </c>
      <c r="W182" s="32" t="n">
        <f>4689270</f>
        <v>4689270.0</v>
      </c>
      <c r="X182" s="36" t="n">
        <f>19</f>
        <v>19.0</v>
      </c>
    </row>
    <row r="183">
      <c r="A183" s="27" t="s">
        <v>42</v>
      </c>
      <c r="B183" s="27" t="s">
        <v>601</v>
      </c>
      <c r="C183" s="27" t="s">
        <v>602</v>
      </c>
      <c r="D183" s="27" t="s">
        <v>603</v>
      </c>
      <c r="E183" s="28" t="s">
        <v>46</v>
      </c>
      <c r="F183" s="29" t="s">
        <v>46</v>
      </c>
      <c r="G183" s="30" t="s">
        <v>46</v>
      </c>
      <c r="H183" s="31"/>
      <c r="I183" s="31" t="s">
        <v>588</v>
      </c>
      <c r="J183" s="32" t="n">
        <v>1.0</v>
      </c>
      <c r="K183" s="33" t="n">
        <f>3435</f>
        <v>3435.0</v>
      </c>
      <c r="L183" s="34" t="s">
        <v>48</v>
      </c>
      <c r="M183" s="33" t="n">
        <f>3475</f>
        <v>3475.0</v>
      </c>
      <c r="N183" s="34" t="s">
        <v>48</v>
      </c>
      <c r="O183" s="33" t="n">
        <f>3385</f>
        <v>3385.0</v>
      </c>
      <c r="P183" s="34" t="s">
        <v>214</v>
      </c>
      <c r="Q183" s="33" t="n">
        <f>3420</f>
        <v>3420.0</v>
      </c>
      <c r="R183" s="34" t="s">
        <v>50</v>
      </c>
      <c r="S183" s="35" t="n">
        <f>3429.47</f>
        <v>3429.47</v>
      </c>
      <c r="T183" s="32" t="n">
        <f>7227</f>
        <v>7227.0</v>
      </c>
      <c r="U183" s="32" t="str">
        <f>"－"</f>
        <v>－</v>
      </c>
      <c r="V183" s="32" t="n">
        <f>24778425</f>
        <v>2.4778425E7</v>
      </c>
      <c r="W183" s="32" t="str">
        <f>"－"</f>
        <v>－</v>
      </c>
      <c r="X183" s="36" t="n">
        <f>19</f>
        <v>19.0</v>
      </c>
    </row>
    <row r="184">
      <c r="A184" s="27" t="s">
        <v>42</v>
      </c>
      <c r="B184" s="27" t="s">
        <v>604</v>
      </c>
      <c r="C184" s="27" t="s">
        <v>605</v>
      </c>
      <c r="D184" s="27" t="s">
        <v>606</v>
      </c>
      <c r="E184" s="28" t="s">
        <v>46</v>
      </c>
      <c r="F184" s="29" t="s">
        <v>46</v>
      </c>
      <c r="G184" s="30" t="s">
        <v>46</v>
      </c>
      <c r="H184" s="31"/>
      <c r="I184" s="31" t="s">
        <v>588</v>
      </c>
      <c r="J184" s="32" t="n">
        <v>1.0</v>
      </c>
      <c r="K184" s="33" t="n">
        <f>1796</f>
        <v>1796.0</v>
      </c>
      <c r="L184" s="34" t="s">
        <v>48</v>
      </c>
      <c r="M184" s="33" t="n">
        <f>1961</f>
        <v>1961.0</v>
      </c>
      <c r="N184" s="34" t="s">
        <v>161</v>
      </c>
      <c r="O184" s="33" t="n">
        <f>1708</f>
        <v>1708.0</v>
      </c>
      <c r="P184" s="34" t="s">
        <v>61</v>
      </c>
      <c r="Q184" s="33" t="n">
        <f>1920</f>
        <v>1920.0</v>
      </c>
      <c r="R184" s="34" t="s">
        <v>50</v>
      </c>
      <c r="S184" s="35" t="n">
        <f>1862.84</f>
        <v>1862.84</v>
      </c>
      <c r="T184" s="32" t="n">
        <f>9188906</f>
        <v>9188906.0</v>
      </c>
      <c r="U184" s="32" t="n">
        <f>53</f>
        <v>53.0</v>
      </c>
      <c r="V184" s="32" t="n">
        <f>17066218647</f>
        <v>1.7066218647E10</v>
      </c>
      <c r="W184" s="32" t="n">
        <f>101390</f>
        <v>101390.0</v>
      </c>
      <c r="X184" s="36" t="n">
        <f>19</f>
        <v>19.0</v>
      </c>
    </row>
    <row r="185">
      <c r="A185" s="27" t="s">
        <v>42</v>
      </c>
      <c r="B185" s="27" t="s">
        <v>607</v>
      </c>
      <c r="C185" s="27" t="s">
        <v>608</v>
      </c>
      <c r="D185" s="27" t="s">
        <v>609</v>
      </c>
      <c r="E185" s="28" t="s">
        <v>46</v>
      </c>
      <c r="F185" s="29" t="s">
        <v>46</v>
      </c>
      <c r="G185" s="30" t="s">
        <v>46</v>
      </c>
      <c r="H185" s="31"/>
      <c r="I185" s="31" t="s">
        <v>588</v>
      </c>
      <c r="J185" s="32" t="n">
        <v>1.0</v>
      </c>
      <c r="K185" s="33" t="n">
        <f>1066</f>
        <v>1066.0</v>
      </c>
      <c r="L185" s="34" t="s">
        <v>48</v>
      </c>
      <c r="M185" s="33" t="n">
        <f>1094</f>
        <v>1094.0</v>
      </c>
      <c r="N185" s="34" t="s">
        <v>61</v>
      </c>
      <c r="O185" s="33" t="n">
        <f>1029</f>
        <v>1029.0</v>
      </c>
      <c r="P185" s="34" t="s">
        <v>161</v>
      </c>
      <c r="Q185" s="33" t="n">
        <f>1036</f>
        <v>1036.0</v>
      </c>
      <c r="R185" s="34" t="s">
        <v>50</v>
      </c>
      <c r="S185" s="35" t="n">
        <f>1052.26</f>
        <v>1052.26</v>
      </c>
      <c r="T185" s="32" t="n">
        <f>1031884</f>
        <v>1031884.0</v>
      </c>
      <c r="U185" s="32" t="str">
        <f>"－"</f>
        <v>－</v>
      </c>
      <c r="V185" s="32" t="n">
        <f>1085876477</f>
        <v>1.085876477E9</v>
      </c>
      <c r="W185" s="32" t="str">
        <f>"－"</f>
        <v>－</v>
      </c>
      <c r="X185" s="36" t="n">
        <f>19</f>
        <v>19.0</v>
      </c>
    </row>
    <row r="186">
      <c r="A186" s="27" t="s">
        <v>42</v>
      </c>
      <c r="B186" s="27" t="s">
        <v>610</v>
      </c>
      <c r="C186" s="27" t="s">
        <v>611</v>
      </c>
      <c r="D186" s="27" t="s">
        <v>612</v>
      </c>
      <c r="E186" s="28" t="s">
        <v>46</v>
      </c>
      <c r="F186" s="29" t="s">
        <v>46</v>
      </c>
      <c r="G186" s="30" t="s">
        <v>46</v>
      </c>
      <c r="H186" s="31"/>
      <c r="I186" s="31" t="s">
        <v>588</v>
      </c>
      <c r="J186" s="32" t="n">
        <v>1.0</v>
      </c>
      <c r="K186" s="33" t="n">
        <f>28240</f>
        <v>28240.0</v>
      </c>
      <c r="L186" s="34" t="s">
        <v>48</v>
      </c>
      <c r="M186" s="33" t="n">
        <f>29200</f>
        <v>29200.0</v>
      </c>
      <c r="N186" s="34" t="s">
        <v>68</v>
      </c>
      <c r="O186" s="33" t="n">
        <f>28040</f>
        <v>28040.0</v>
      </c>
      <c r="P186" s="34" t="s">
        <v>48</v>
      </c>
      <c r="Q186" s="33" t="n">
        <f>28955</f>
        <v>28955.0</v>
      </c>
      <c r="R186" s="34" t="s">
        <v>50</v>
      </c>
      <c r="S186" s="35" t="n">
        <f>28643.42</f>
        <v>28643.42</v>
      </c>
      <c r="T186" s="32" t="n">
        <f>25585</f>
        <v>25585.0</v>
      </c>
      <c r="U186" s="32" t="str">
        <f>"－"</f>
        <v>－</v>
      </c>
      <c r="V186" s="32" t="n">
        <f>734779045</f>
        <v>7.34779045E8</v>
      </c>
      <c r="W186" s="32" t="str">
        <f>"－"</f>
        <v>－</v>
      </c>
      <c r="X186" s="36" t="n">
        <f>19</f>
        <v>19.0</v>
      </c>
    </row>
    <row r="187">
      <c r="A187" s="27" t="s">
        <v>42</v>
      </c>
      <c r="B187" s="27" t="s">
        <v>613</v>
      </c>
      <c r="C187" s="27" t="s">
        <v>614</v>
      </c>
      <c r="D187" s="27" t="s">
        <v>615</v>
      </c>
      <c r="E187" s="28" t="s">
        <v>46</v>
      </c>
      <c r="F187" s="29" t="s">
        <v>46</v>
      </c>
      <c r="G187" s="30" t="s">
        <v>46</v>
      </c>
      <c r="H187" s="31"/>
      <c r="I187" s="31" t="s">
        <v>588</v>
      </c>
      <c r="J187" s="32" t="n">
        <v>1.0</v>
      </c>
      <c r="K187" s="33" t="n">
        <f>2622</f>
        <v>2622.0</v>
      </c>
      <c r="L187" s="34" t="s">
        <v>48</v>
      </c>
      <c r="M187" s="33" t="n">
        <f>2626</f>
        <v>2626.0</v>
      </c>
      <c r="N187" s="34" t="s">
        <v>236</v>
      </c>
      <c r="O187" s="33" t="n">
        <f>2545</f>
        <v>2545.0</v>
      </c>
      <c r="P187" s="34" t="s">
        <v>68</v>
      </c>
      <c r="Q187" s="33" t="n">
        <f>2561</f>
        <v>2561.0</v>
      </c>
      <c r="R187" s="34" t="s">
        <v>50</v>
      </c>
      <c r="S187" s="35" t="n">
        <f>2585.79</f>
        <v>2585.79</v>
      </c>
      <c r="T187" s="32" t="n">
        <f>172052</f>
        <v>172052.0</v>
      </c>
      <c r="U187" s="32" t="n">
        <f>215</f>
        <v>215.0</v>
      </c>
      <c r="V187" s="32" t="n">
        <f>445700000</f>
        <v>4.457E8</v>
      </c>
      <c r="W187" s="32" t="n">
        <f>552865</f>
        <v>552865.0</v>
      </c>
      <c r="X187" s="36" t="n">
        <f>19</f>
        <v>19.0</v>
      </c>
    </row>
    <row r="188">
      <c r="A188" s="27" t="s">
        <v>42</v>
      </c>
      <c r="B188" s="27" t="s">
        <v>616</v>
      </c>
      <c r="C188" s="27" t="s">
        <v>617</v>
      </c>
      <c r="D188" s="27" t="s">
        <v>618</v>
      </c>
      <c r="E188" s="28" t="s">
        <v>46</v>
      </c>
      <c r="F188" s="29" t="s">
        <v>46</v>
      </c>
      <c r="G188" s="30" t="s">
        <v>46</v>
      </c>
      <c r="H188" s="31"/>
      <c r="I188" s="31" t="s">
        <v>588</v>
      </c>
      <c r="J188" s="32" t="n">
        <v>1.0</v>
      </c>
      <c r="K188" s="33" t="n">
        <f>7582</f>
        <v>7582.0</v>
      </c>
      <c r="L188" s="34" t="s">
        <v>48</v>
      </c>
      <c r="M188" s="33" t="n">
        <f>8385</f>
        <v>8385.0</v>
      </c>
      <c r="N188" s="34" t="s">
        <v>70</v>
      </c>
      <c r="O188" s="33" t="n">
        <f>7466</f>
        <v>7466.0</v>
      </c>
      <c r="P188" s="34" t="s">
        <v>74</v>
      </c>
      <c r="Q188" s="33" t="n">
        <f>8286</f>
        <v>8286.0</v>
      </c>
      <c r="R188" s="34" t="s">
        <v>50</v>
      </c>
      <c r="S188" s="35" t="n">
        <f>7821.79</f>
        <v>7821.79</v>
      </c>
      <c r="T188" s="32" t="n">
        <f>123400</f>
        <v>123400.0</v>
      </c>
      <c r="U188" s="32" t="n">
        <f>4960</f>
        <v>4960.0</v>
      </c>
      <c r="V188" s="32" t="n">
        <f>979848819</f>
        <v>9.79848819E8</v>
      </c>
      <c r="W188" s="32" t="n">
        <f>39038306</f>
        <v>3.9038306E7</v>
      </c>
      <c r="X188" s="36" t="n">
        <f>19</f>
        <v>19.0</v>
      </c>
    </row>
    <row r="189">
      <c r="A189" s="27" t="s">
        <v>42</v>
      </c>
      <c r="B189" s="27" t="s">
        <v>619</v>
      </c>
      <c r="C189" s="27" t="s">
        <v>620</v>
      </c>
      <c r="D189" s="27" t="s">
        <v>621</v>
      </c>
      <c r="E189" s="28" t="s">
        <v>46</v>
      </c>
      <c r="F189" s="29" t="s">
        <v>46</v>
      </c>
      <c r="G189" s="30" t="s">
        <v>46</v>
      </c>
      <c r="H189" s="31"/>
      <c r="I189" s="31" t="s">
        <v>588</v>
      </c>
      <c r="J189" s="32" t="n">
        <v>1.0</v>
      </c>
      <c r="K189" s="33" t="n">
        <f>17055</f>
        <v>17055.0</v>
      </c>
      <c r="L189" s="34" t="s">
        <v>81</v>
      </c>
      <c r="M189" s="33" t="n">
        <f>18430</f>
        <v>18430.0</v>
      </c>
      <c r="N189" s="34" t="s">
        <v>109</v>
      </c>
      <c r="O189" s="33" t="n">
        <f>17055</f>
        <v>17055.0</v>
      </c>
      <c r="P189" s="34" t="s">
        <v>81</v>
      </c>
      <c r="Q189" s="33" t="n">
        <f>17840</f>
        <v>17840.0</v>
      </c>
      <c r="R189" s="34" t="s">
        <v>50</v>
      </c>
      <c r="S189" s="35" t="n">
        <f>17783</f>
        <v>17783.0</v>
      </c>
      <c r="T189" s="32" t="n">
        <f>597</f>
        <v>597.0</v>
      </c>
      <c r="U189" s="32" t="str">
        <f>"－"</f>
        <v>－</v>
      </c>
      <c r="V189" s="32" t="n">
        <f>10608940</f>
        <v>1.060894E7</v>
      </c>
      <c r="W189" s="32" t="str">
        <f>"－"</f>
        <v>－</v>
      </c>
      <c r="X189" s="36" t="n">
        <f>15</f>
        <v>15.0</v>
      </c>
    </row>
    <row r="190">
      <c r="A190" s="27" t="s">
        <v>42</v>
      </c>
      <c r="B190" s="27" t="s">
        <v>622</v>
      </c>
      <c r="C190" s="27" t="s">
        <v>623</v>
      </c>
      <c r="D190" s="27" t="s">
        <v>624</v>
      </c>
      <c r="E190" s="28" t="s">
        <v>46</v>
      </c>
      <c r="F190" s="29" t="s">
        <v>46</v>
      </c>
      <c r="G190" s="30" t="s">
        <v>46</v>
      </c>
      <c r="H190" s="31"/>
      <c r="I190" s="31" t="s">
        <v>588</v>
      </c>
      <c r="J190" s="32" t="n">
        <v>1.0</v>
      </c>
      <c r="K190" s="33" t="n">
        <f>26725</f>
        <v>26725.0</v>
      </c>
      <c r="L190" s="34" t="s">
        <v>48</v>
      </c>
      <c r="M190" s="33" t="n">
        <f>27610</f>
        <v>27610.0</v>
      </c>
      <c r="N190" s="34" t="s">
        <v>50</v>
      </c>
      <c r="O190" s="33" t="n">
        <f>26370</f>
        <v>26370.0</v>
      </c>
      <c r="P190" s="34" t="s">
        <v>48</v>
      </c>
      <c r="Q190" s="33" t="n">
        <f>27610</f>
        <v>27610.0</v>
      </c>
      <c r="R190" s="34" t="s">
        <v>50</v>
      </c>
      <c r="S190" s="35" t="n">
        <f>27076.58</f>
        <v>27076.58</v>
      </c>
      <c r="T190" s="32" t="n">
        <f>15943</f>
        <v>15943.0</v>
      </c>
      <c r="U190" s="32" t="n">
        <f>1</f>
        <v>1.0</v>
      </c>
      <c r="V190" s="32" t="n">
        <f>430213500</f>
        <v>4.302135E8</v>
      </c>
      <c r="W190" s="32" t="n">
        <f>27600</f>
        <v>27600.0</v>
      </c>
      <c r="X190" s="36" t="n">
        <f>19</f>
        <v>19.0</v>
      </c>
    </row>
    <row r="191">
      <c r="A191" s="27" t="s">
        <v>42</v>
      </c>
      <c r="B191" s="27" t="s">
        <v>625</v>
      </c>
      <c r="C191" s="27" t="s">
        <v>626</v>
      </c>
      <c r="D191" s="27" t="s">
        <v>627</v>
      </c>
      <c r="E191" s="28" t="s">
        <v>46</v>
      </c>
      <c r="F191" s="29" t="s">
        <v>46</v>
      </c>
      <c r="G191" s="30" t="s">
        <v>46</v>
      </c>
      <c r="H191" s="31"/>
      <c r="I191" s="31" t="s">
        <v>588</v>
      </c>
      <c r="J191" s="32" t="n">
        <v>1.0</v>
      </c>
      <c r="K191" s="33" t="n">
        <f>16195</f>
        <v>16195.0</v>
      </c>
      <c r="L191" s="34" t="s">
        <v>48</v>
      </c>
      <c r="M191" s="33" t="n">
        <f>16595</f>
        <v>16595.0</v>
      </c>
      <c r="N191" s="34" t="s">
        <v>105</v>
      </c>
      <c r="O191" s="33" t="n">
        <f>15900</f>
        <v>15900.0</v>
      </c>
      <c r="P191" s="34" t="s">
        <v>74</v>
      </c>
      <c r="Q191" s="33" t="n">
        <f>15995</f>
        <v>15995.0</v>
      </c>
      <c r="R191" s="34" t="s">
        <v>50</v>
      </c>
      <c r="S191" s="35" t="n">
        <f>16202.86</f>
        <v>16202.86</v>
      </c>
      <c r="T191" s="32" t="n">
        <f>235</f>
        <v>235.0</v>
      </c>
      <c r="U191" s="32" t="str">
        <f>"－"</f>
        <v>－</v>
      </c>
      <c r="V191" s="32" t="n">
        <f>3808635</f>
        <v>3808635.0</v>
      </c>
      <c r="W191" s="32" t="str">
        <f>"－"</f>
        <v>－</v>
      </c>
      <c r="X191" s="36" t="n">
        <f>14</f>
        <v>14.0</v>
      </c>
    </row>
    <row r="192">
      <c r="A192" s="27" t="s">
        <v>42</v>
      </c>
      <c r="B192" s="27" t="s">
        <v>628</v>
      </c>
      <c r="C192" s="27" t="s">
        <v>629</v>
      </c>
      <c r="D192" s="27" t="s">
        <v>630</v>
      </c>
      <c r="E192" s="28" t="s">
        <v>46</v>
      </c>
      <c r="F192" s="29" t="s">
        <v>46</v>
      </c>
      <c r="G192" s="30" t="s">
        <v>46</v>
      </c>
      <c r="H192" s="31"/>
      <c r="I192" s="31" t="s">
        <v>588</v>
      </c>
      <c r="J192" s="32" t="n">
        <v>1.0</v>
      </c>
      <c r="K192" s="33" t="n">
        <f>27350</f>
        <v>27350.0</v>
      </c>
      <c r="L192" s="34" t="s">
        <v>48</v>
      </c>
      <c r="M192" s="33" t="n">
        <f>29580</f>
        <v>29580.0</v>
      </c>
      <c r="N192" s="34" t="s">
        <v>70</v>
      </c>
      <c r="O192" s="33" t="n">
        <f>27200</f>
        <v>27200.0</v>
      </c>
      <c r="P192" s="34" t="s">
        <v>48</v>
      </c>
      <c r="Q192" s="33" t="n">
        <f>28700</f>
        <v>28700.0</v>
      </c>
      <c r="R192" s="34" t="s">
        <v>50</v>
      </c>
      <c r="S192" s="35" t="n">
        <f>28267.63</f>
        <v>28267.63</v>
      </c>
      <c r="T192" s="32" t="n">
        <f>90781</f>
        <v>90781.0</v>
      </c>
      <c r="U192" s="32" t="n">
        <f>143</f>
        <v>143.0</v>
      </c>
      <c r="V192" s="32" t="n">
        <f>2576518640</f>
        <v>2.57651864E9</v>
      </c>
      <c r="W192" s="32" t="n">
        <f>3949595</f>
        <v>3949595.0</v>
      </c>
      <c r="X192" s="36" t="n">
        <f>19</f>
        <v>19.0</v>
      </c>
    </row>
    <row r="193">
      <c r="A193" s="27" t="s">
        <v>42</v>
      </c>
      <c r="B193" s="27" t="s">
        <v>631</v>
      </c>
      <c r="C193" s="27" t="s">
        <v>632</v>
      </c>
      <c r="D193" s="27" t="s">
        <v>633</v>
      </c>
      <c r="E193" s="28" t="s">
        <v>46</v>
      </c>
      <c r="F193" s="29" t="s">
        <v>46</v>
      </c>
      <c r="G193" s="30" t="s">
        <v>46</v>
      </c>
      <c r="H193" s="31"/>
      <c r="I193" s="31" t="s">
        <v>588</v>
      </c>
      <c r="J193" s="32" t="n">
        <v>1.0</v>
      </c>
      <c r="K193" s="33" t="n">
        <f>3890</f>
        <v>3890.0</v>
      </c>
      <c r="L193" s="34" t="s">
        <v>48</v>
      </c>
      <c r="M193" s="33" t="n">
        <f>4035</f>
        <v>4035.0</v>
      </c>
      <c r="N193" s="34" t="s">
        <v>88</v>
      </c>
      <c r="O193" s="33" t="n">
        <f>3805</f>
        <v>3805.0</v>
      </c>
      <c r="P193" s="34" t="s">
        <v>74</v>
      </c>
      <c r="Q193" s="33" t="n">
        <f>3925</f>
        <v>3925.0</v>
      </c>
      <c r="R193" s="34" t="s">
        <v>50</v>
      </c>
      <c r="S193" s="35" t="n">
        <f>3910.79</f>
        <v>3910.79</v>
      </c>
      <c r="T193" s="32" t="n">
        <f>2942</f>
        <v>2942.0</v>
      </c>
      <c r="U193" s="32" t="str">
        <f>"－"</f>
        <v>－</v>
      </c>
      <c r="V193" s="32" t="n">
        <f>11477360</f>
        <v>1.147736E7</v>
      </c>
      <c r="W193" s="32" t="str">
        <f>"－"</f>
        <v>－</v>
      </c>
      <c r="X193" s="36" t="n">
        <f>19</f>
        <v>19.0</v>
      </c>
    </row>
    <row r="194">
      <c r="A194" s="27" t="s">
        <v>42</v>
      </c>
      <c r="B194" s="27" t="s">
        <v>634</v>
      </c>
      <c r="C194" s="27" t="s">
        <v>635</v>
      </c>
      <c r="D194" s="27" t="s">
        <v>636</v>
      </c>
      <c r="E194" s="28" t="s">
        <v>46</v>
      </c>
      <c r="F194" s="29" t="s">
        <v>46</v>
      </c>
      <c r="G194" s="30" t="s">
        <v>46</v>
      </c>
      <c r="H194" s="31"/>
      <c r="I194" s="31" t="s">
        <v>588</v>
      </c>
      <c r="J194" s="32" t="n">
        <v>1.0</v>
      </c>
      <c r="K194" s="33" t="n">
        <f>25935</f>
        <v>25935.0</v>
      </c>
      <c r="L194" s="34" t="s">
        <v>48</v>
      </c>
      <c r="M194" s="33" t="n">
        <f>27670</f>
        <v>27670.0</v>
      </c>
      <c r="N194" s="34" t="s">
        <v>70</v>
      </c>
      <c r="O194" s="33" t="n">
        <f>25385</f>
        <v>25385.0</v>
      </c>
      <c r="P194" s="34" t="s">
        <v>81</v>
      </c>
      <c r="Q194" s="33" t="n">
        <f>27300</f>
        <v>27300.0</v>
      </c>
      <c r="R194" s="34" t="s">
        <v>50</v>
      </c>
      <c r="S194" s="35" t="n">
        <f>26624.44</f>
        <v>26624.44</v>
      </c>
      <c r="T194" s="32" t="n">
        <f>1383</f>
        <v>1383.0</v>
      </c>
      <c r="U194" s="32" t="str">
        <f>"－"</f>
        <v>－</v>
      </c>
      <c r="V194" s="32" t="n">
        <f>36821340</f>
        <v>3.682134E7</v>
      </c>
      <c r="W194" s="32" t="str">
        <f>"－"</f>
        <v>－</v>
      </c>
      <c r="X194" s="36" t="n">
        <f>18</f>
        <v>18.0</v>
      </c>
    </row>
    <row r="195">
      <c r="A195" s="27" t="s">
        <v>42</v>
      </c>
      <c r="B195" s="27" t="s">
        <v>637</v>
      </c>
      <c r="C195" s="27" t="s">
        <v>638</v>
      </c>
      <c r="D195" s="27" t="s">
        <v>639</v>
      </c>
      <c r="E195" s="28" t="s">
        <v>46</v>
      </c>
      <c r="F195" s="29" t="s">
        <v>46</v>
      </c>
      <c r="G195" s="30" t="s">
        <v>46</v>
      </c>
      <c r="H195" s="31"/>
      <c r="I195" s="31" t="s">
        <v>588</v>
      </c>
      <c r="J195" s="32" t="n">
        <v>1.0</v>
      </c>
      <c r="K195" s="33" t="n">
        <f>17400</f>
        <v>17400.0</v>
      </c>
      <c r="L195" s="34" t="s">
        <v>61</v>
      </c>
      <c r="M195" s="33" t="n">
        <f>17935</f>
        <v>17935.0</v>
      </c>
      <c r="N195" s="34" t="s">
        <v>68</v>
      </c>
      <c r="O195" s="33" t="n">
        <f>17320</f>
        <v>17320.0</v>
      </c>
      <c r="P195" s="34" t="s">
        <v>210</v>
      </c>
      <c r="Q195" s="33" t="n">
        <f>17735</f>
        <v>17735.0</v>
      </c>
      <c r="R195" s="34" t="s">
        <v>50</v>
      </c>
      <c r="S195" s="35" t="n">
        <f>17597.5</f>
        <v>17597.5</v>
      </c>
      <c r="T195" s="32" t="n">
        <f>65</f>
        <v>65.0</v>
      </c>
      <c r="U195" s="32" t="str">
        <f>"－"</f>
        <v>－</v>
      </c>
      <c r="V195" s="32" t="n">
        <f>1140950</f>
        <v>1140950.0</v>
      </c>
      <c r="W195" s="32" t="str">
        <f>"－"</f>
        <v>－</v>
      </c>
      <c r="X195" s="36" t="n">
        <f>10</f>
        <v>10.0</v>
      </c>
    </row>
    <row r="196">
      <c r="A196" s="27" t="s">
        <v>42</v>
      </c>
      <c r="B196" s="27" t="s">
        <v>640</v>
      </c>
      <c r="C196" s="27" t="s">
        <v>641</v>
      </c>
      <c r="D196" s="27" t="s">
        <v>642</v>
      </c>
      <c r="E196" s="28" t="s">
        <v>46</v>
      </c>
      <c r="F196" s="29" t="s">
        <v>46</v>
      </c>
      <c r="G196" s="30" t="s">
        <v>46</v>
      </c>
      <c r="H196" s="31"/>
      <c r="I196" s="31" t="s">
        <v>588</v>
      </c>
      <c r="J196" s="32" t="n">
        <v>1.0</v>
      </c>
      <c r="K196" s="33" t="n">
        <f>29300</f>
        <v>29300.0</v>
      </c>
      <c r="L196" s="34" t="s">
        <v>48</v>
      </c>
      <c r="M196" s="33" t="n">
        <f>31370</f>
        <v>31370.0</v>
      </c>
      <c r="N196" s="34" t="s">
        <v>70</v>
      </c>
      <c r="O196" s="33" t="n">
        <f>29300</f>
        <v>29300.0</v>
      </c>
      <c r="P196" s="34" t="s">
        <v>48</v>
      </c>
      <c r="Q196" s="33" t="n">
        <f>31000</f>
        <v>31000.0</v>
      </c>
      <c r="R196" s="34" t="s">
        <v>70</v>
      </c>
      <c r="S196" s="35" t="n">
        <f>30288.57</f>
        <v>30288.57</v>
      </c>
      <c r="T196" s="32" t="n">
        <f>191</f>
        <v>191.0</v>
      </c>
      <c r="U196" s="32" t="str">
        <f>"－"</f>
        <v>－</v>
      </c>
      <c r="V196" s="32" t="n">
        <f>5807880</f>
        <v>5807880.0</v>
      </c>
      <c r="W196" s="32" t="str">
        <f>"－"</f>
        <v>－</v>
      </c>
      <c r="X196" s="36" t="n">
        <f>14</f>
        <v>14.0</v>
      </c>
    </row>
    <row r="197">
      <c r="A197" s="27" t="s">
        <v>42</v>
      </c>
      <c r="B197" s="27" t="s">
        <v>643</v>
      </c>
      <c r="C197" s="27" t="s">
        <v>644</v>
      </c>
      <c r="D197" s="27" t="s">
        <v>645</v>
      </c>
      <c r="E197" s="28" t="s">
        <v>46</v>
      </c>
      <c r="F197" s="29" t="s">
        <v>46</v>
      </c>
      <c r="G197" s="30" t="s">
        <v>46</v>
      </c>
      <c r="H197" s="31"/>
      <c r="I197" s="31" t="s">
        <v>588</v>
      </c>
      <c r="J197" s="32" t="n">
        <v>1.0</v>
      </c>
      <c r="K197" s="33" t="n">
        <f>18270</f>
        <v>18270.0</v>
      </c>
      <c r="L197" s="34" t="s">
        <v>105</v>
      </c>
      <c r="M197" s="33" t="n">
        <f>18470</f>
        <v>18470.0</v>
      </c>
      <c r="N197" s="34" t="s">
        <v>49</v>
      </c>
      <c r="O197" s="33" t="n">
        <f>18270</f>
        <v>18270.0</v>
      </c>
      <c r="P197" s="34" t="s">
        <v>105</v>
      </c>
      <c r="Q197" s="33" t="n">
        <f>18390</f>
        <v>18390.0</v>
      </c>
      <c r="R197" s="34" t="s">
        <v>70</v>
      </c>
      <c r="S197" s="35" t="n">
        <f>18376.67</f>
        <v>18376.67</v>
      </c>
      <c r="T197" s="32" t="n">
        <f>5695</f>
        <v>5695.0</v>
      </c>
      <c r="U197" s="32" t="str">
        <f>"－"</f>
        <v>－</v>
      </c>
      <c r="V197" s="32" t="n">
        <f>104837250</f>
        <v>1.0483725E8</v>
      </c>
      <c r="W197" s="32" t="str">
        <f>"－"</f>
        <v>－</v>
      </c>
      <c r="X197" s="36" t="n">
        <f>3</f>
        <v>3.0</v>
      </c>
    </row>
    <row r="198">
      <c r="A198" s="27" t="s">
        <v>42</v>
      </c>
      <c r="B198" s="27" t="s">
        <v>646</v>
      </c>
      <c r="C198" s="27" t="s">
        <v>647</v>
      </c>
      <c r="D198" s="27" t="s">
        <v>648</v>
      </c>
      <c r="E198" s="28" t="s">
        <v>46</v>
      </c>
      <c r="F198" s="29" t="s">
        <v>46</v>
      </c>
      <c r="G198" s="30" t="s">
        <v>46</v>
      </c>
      <c r="H198" s="31"/>
      <c r="I198" s="31" t="s">
        <v>588</v>
      </c>
      <c r="J198" s="32" t="n">
        <v>1.0</v>
      </c>
      <c r="K198" s="33" t="n">
        <f>17815</f>
        <v>17815.0</v>
      </c>
      <c r="L198" s="34" t="s">
        <v>81</v>
      </c>
      <c r="M198" s="33" t="n">
        <f>18930</f>
        <v>18930.0</v>
      </c>
      <c r="N198" s="34" t="s">
        <v>68</v>
      </c>
      <c r="O198" s="33" t="n">
        <f>17700</f>
        <v>17700.0</v>
      </c>
      <c r="P198" s="34" t="s">
        <v>81</v>
      </c>
      <c r="Q198" s="33" t="n">
        <f>18730</f>
        <v>18730.0</v>
      </c>
      <c r="R198" s="34" t="s">
        <v>50</v>
      </c>
      <c r="S198" s="35" t="n">
        <f>18370</f>
        <v>18370.0</v>
      </c>
      <c r="T198" s="32" t="n">
        <f>993</f>
        <v>993.0</v>
      </c>
      <c r="U198" s="32" t="str">
        <f>"－"</f>
        <v>－</v>
      </c>
      <c r="V198" s="32" t="n">
        <f>18209730</f>
        <v>1.820973E7</v>
      </c>
      <c r="W198" s="32" t="str">
        <f>"－"</f>
        <v>－</v>
      </c>
      <c r="X198" s="36" t="n">
        <f>16</f>
        <v>16.0</v>
      </c>
    </row>
    <row r="199">
      <c r="A199" s="27" t="s">
        <v>42</v>
      </c>
      <c r="B199" s="27" t="s">
        <v>649</v>
      </c>
      <c r="C199" s="27" t="s">
        <v>650</v>
      </c>
      <c r="D199" s="27" t="s">
        <v>651</v>
      </c>
      <c r="E199" s="28" t="s">
        <v>46</v>
      </c>
      <c r="F199" s="29" t="s">
        <v>46</v>
      </c>
      <c r="G199" s="30" t="s">
        <v>46</v>
      </c>
      <c r="H199" s="31"/>
      <c r="I199" s="31" t="s">
        <v>588</v>
      </c>
      <c r="J199" s="32" t="n">
        <v>1.0</v>
      </c>
      <c r="K199" s="33" t="n">
        <f>20835</f>
        <v>20835.0</v>
      </c>
      <c r="L199" s="34" t="s">
        <v>48</v>
      </c>
      <c r="M199" s="33" t="n">
        <f>21000</f>
        <v>21000.0</v>
      </c>
      <c r="N199" s="34" t="s">
        <v>236</v>
      </c>
      <c r="O199" s="33" t="n">
        <f>20725</f>
        <v>20725.0</v>
      </c>
      <c r="P199" s="34" t="s">
        <v>48</v>
      </c>
      <c r="Q199" s="33" t="n">
        <f>21000</f>
        <v>21000.0</v>
      </c>
      <c r="R199" s="34" t="s">
        <v>236</v>
      </c>
      <c r="S199" s="35" t="n">
        <f>20862.5</f>
        <v>20862.5</v>
      </c>
      <c r="T199" s="32" t="n">
        <f>39</f>
        <v>39.0</v>
      </c>
      <c r="U199" s="32" t="str">
        <f>"－"</f>
        <v>－</v>
      </c>
      <c r="V199" s="32" t="n">
        <f>813885</f>
        <v>813885.0</v>
      </c>
      <c r="W199" s="32" t="str">
        <f>"－"</f>
        <v>－</v>
      </c>
      <c r="X199" s="36" t="n">
        <f>2</f>
        <v>2.0</v>
      </c>
    </row>
    <row r="200">
      <c r="A200" s="27" t="s">
        <v>42</v>
      </c>
      <c r="B200" s="27" t="s">
        <v>652</v>
      </c>
      <c r="C200" s="27" t="s">
        <v>653</v>
      </c>
      <c r="D200" s="27" t="s">
        <v>654</v>
      </c>
      <c r="E200" s="28" t="s">
        <v>46</v>
      </c>
      <c r="F200" s="29" t="s">
        <v>46</v>
      </c>
      <c r="G200" s="30" t="s">
        <v>46</v>
      </c>
      <c r="H200" s="31"/>
      <c r="I200" s="31" t="s">
        <v>588</v>
      </c>
      <c r="J200" s="32" t="n">
        <v>1.0</v>
      </c>
      <c r="K200" s="33" t="n">
        <f>17450</f>
        <v>17450.0</v>
      </c>
      <c r="L200" s="34" t="s">
        <v>81</v>
      </c>
      <c r="M200" s="33" t="n">
        <f>17450</f>
        <v>17450.0</v>
      </c>
      <c r="N200" s="34" t="s">
        <v>81</v>
      </c>
      <c r="O200" s="33" t="n">
        <f>17450</f>
        <v>17450.0</v>
      </c>
      <c r="P200" s="34" t="s">
        <v>81</v>
      </c>
      <c r="Q200" s="33" t="n">
        <f>17450</f>
        <v>17450.0</v>
      </c>
      <c r="R200" s="34" t="s">
        <v>81</v>
      </c>
      <c r="S200" s="35" t="n">
        <f>17450</f>
        <v>17450.0</v>
      </c>
      <c r="T200" s="32" t="n">
        <f>8</f>
        <v>8.0</v>
      </c>
      <c r="U200" s="32" t="str">
        <f>"－"</f>
        <v>－</v>
      </c>
      <c r="V200" s="32" t="n">
        <f>139600</f>
        <v>139600.0</v>
      </c>
      <c r="W200" s="32" t="str">
        <f>"－"</f>
        <v>－</v>
      </c>
      <c r="X200" s="36" t="n">
        <f>1</f>
        <v>1.0</v>
      </c>
    </row>
    <row r="201">
      <c r="A201" s="27" t="s">
        <v>42</v>
      </c>
      <c r="B201" s="27" t="s">
        <v>655</v>
      </c>
      <c r="C201" s="27" t="s">
        <v>656</v>
      </c>
      <c r="D201" s="27" t="s">
        <v>657</v>
      </c>
      <c r="E201" s="28" t="s">
        <v>46</v>
      </c>
      <c r="F201" s="29" t="s">
        <v>46</v>
      </c>
      <c r="G201" s="30" t="s">
        <v>46</v>
      </c>
      <c r="H201" s="31"/>
      <c r="I201" s="31" t="s">
        <v>588</v>
      </c>
      <c r="J201" s="32" t="n">
        <v>1.0</v>
      </c>
      <c r="K201" s="33" t="n">
        <f>11045</f>
        <v>11045.0</v>
      </c>
      <c r="L201" s="34" t="s">
        <v>214</v>
      </c>
      <c r="M201" s="33" t="n">
        <f>11295</f>
        <v>11295.0</v>
      </c>
      <c r="N201" s="34" t="s">
        <v>70</v>
      </c>
      <c r="O201" s="33" t="n">
        <f>11020</f>
        <v>11020.0</v>
      </c>
      <c r="P201" s="34" t="s">
        <v>214</v>
      </c>
      <c r="Q201" s="33" t="n">
        <f>11295</f>
        <v>11295.0</v>
      </c>
      <c r="R201" s="34" t="s">
        <v>50</v>
      </c>
      <c r="S201" s="35" t="n">
        <f>11187.5</f>
        <v>11187.5</v>
      </c>
      <c r="T201" s="32" t="n">
        <f>1635</f>
        <v>1635.0</v>
      </c>
      <c r="U201" s="32" t="str">
        <f>"－"</f>
        <v>－</v>
      </c>
      <c r="V201" s="32" t="n">
        <f>18288280</f>
        <v>1.828828E7</v>
      </c>
      <c r="W201" s="32" t="str">
        <f>"－"</f>
        <v>－</v>
      </c>
      <c r="X201" s="36" t="n">
        <f>8</f>
        <v>8.0</v>
      </c>
    </row>
    <row r="202">
      <c r="A202" s="27" t="s">
        <v>42</v>
      </c>
      <c r="B202" s="27" t="s">
        <v>658</v>
      </c>
      <c r="C202" s="27" t="s">
        <v>659</v>
      </c>
      <c r="D202" s="27" t="s">
        <v>660</v>
      </c>
      <c r="E202" s="28" t="s">
        <v>46</v>
      </c>
      <c r="F202" s="29" t="s">
        <v>46</v>
      </c>
      <c r="G202" s="30" t="s">
        <v>46</v>
      </c>
      <c r="H202" s="31"/>
      <c r="I202" s="31" t="s">
        <v>588</v>
      </c>
      <c r="J202" s="32" t="n">
        <v>1.0</v>
      </c>
      <c r="K202" s="33" t="n">
        <f>13160</f>
        <v>13160.0</v>
      </c>
      <c r="L202" s="34" t="s">
        <v>48</v>
      </c>
      <c r="M202" s="33" t="n">
        <f>13620</f>
        <v>13620.0</v>
      </c>
      <c r="N202" s="34" t="s">
        <v>68</v>
      </c>
      <c r="O202" s="33" t="n">
        <f>13160</f>
        <v>13160.0</v>
      </c>
      <c r="P202" s="34" t="s">
        <v>48</v>
      </c>
      <c r="Q202" s="33" t="n">
        <f>13470</f>
        <v>13470.0</v>
      </c>
      <c r="R202" s="34" t="s">
        <v>50</v>
      </c>
      <c r="S202" s="35" t="n">
        <f>13382.11</f>
        <v>13382.11</v>
      </c>
      <c r="T202" s="32" t="n">
        <f>20371</f>
        <v>20371.0</v>
      </c>
      <c r="U202" s="32" t="str">
        <f>"－"</f>
        <v>－</v>
      </c>
      <c r="V202" s="32" t="n">
        <f>272899410</f>
        <v>2.7289941E8</v>
      </c>
      <c r="W202" s="32" t="str">
        <f>"－"</f>
        <v>－</v>
      </c>
      <c r="X202" s="36" t="n">
        <f>19</f>
        <v>19.0</v>
      </c>
    </row>
    <row r="203">
      <c r="A203" s="27" t="s">
        <v>42</v>
      </c>
      <c r="B203" s="27" t="s">
        <v>661</v>
      </c>
      <c r="C203" s="27" t="s">
        <v>662</v>
      </c>
      <c r="D203" s="27" t="s">
        <v>663</v>
      </c>
      <c r="E203" s="28" t="s">
        <v>46</v>
      </c>
      <c r="F203" s="29" t="s">
        <v>46</v>
      </c>
      <c r="G203" s="30" t="s">
        <v>46</v>
      </c>
      <c r="H203" s="31"/>
      <c r="I203" s="31" t="s">
        <v>588</v>
      </c>
      <c r="J203" s="32" t="n">
        <v>1.0</v>
      </c>
      <c r="K203" s="33" t="n">
        <f>12055</f>
        <v>12055.0</v>
      </c>
      <c r="L203" s="34" t="s">
        <v>48</v>
      </c>
      <c r="M203" s="33" t="n">
        <f>12370</f>
        <v>12370.0</v>
      </c>
      <c r="N203" s="34" t="s">
        <v>161</v>
      </c>
      <c r="O203" s="33" t="n">
        <f>12015</f>
        <v>12015.0</v>
      </c>
      <c r="P203" s="34" t="s">
        <v>74</v>
      </c>
      <c r="Q203" s="33" t="n">
        <f>12245</f>
        <v>12245.0</v>
      </c>
      <c r="R203" s="34" t="s">
        <v>70</v>
      </c>
      <c r="S203" s="35" t="n">
        <f>12185</f>
        <v>12185.0</v>
      </c>
      <c r="T203" s="32" t="n">
        <f>4954</f>
        <v>4954.0</v>
      </c>
      <c r="U203" s="32" t="str">
        <f>"－"</f>
        <v>－</v>
      </c>
      <c r="V203" s="32" t="n">
        <f>60401460</f>
        <v>6.040146E7</v>
      </c>
      <c r="W203" s="32" t="str">
        <f>"－"</f>
        <v>－</v>
      </c>
      <c r="X203" s="36" t="n">
        <f>13</f>
        <v>13.0</v>
      </c>
    </row>
    <row r="204">
      <c r="A204" s="27" t="s">
        <v>42</v>
      </c>
      <c r="B204" s="27" t="s">
        <v>664</v>
      </c>
      <c r="C204" s="27" t="s">
        <v>665</v>
      </c>
      <c r="D204" s="27" t="s">
        <v>666</v>
      </c>
      <c r="E204" s="28" t="s">
        <v>46</v>
      </c>
      <c r="F204" s="29" t="s">
        <v>46</v>
      </c>
      <c r="G204" s="30" t="s">
        <v>46</v>
      </c>
      <c r="H204" s="31"/>
      <c r="I204" s="31" t="s">
        <v>588</v>
      </c>
      <c r="J204" s="32" t="n">
        <v>1.0</v>
      </c>
      <c r="K204" s="33" t="n">
        <f>12210</f>
        <v>12210.0</v>
      </c>
      <c r="L204" s="34" t="s">
        <v>48</v>
      </c>
      <c r="M204" s="33" t="n">
        <f>12430</f>
        <v>12430.0</v>
      </c>
      <c r="N204" s="34" t="s">
        <v>50</v>
      </c>
      <c r="O204" s="33" t="n">
        <f>12210</f>
        <v>12210.0</v>
      </c>
      <c r="P204" s="34" t="s">
        <v>48</v>
      </c>
      <c r="Q204" s="33" t="n">
        <f>12430</f>
        <v>12430.0</v>
      </c>
      <c r="R204" s="34" t="s">
        <v>50</v>
      </c>
      <c r="S204" s="35" t="n">
        <f>12304</f>
        <v>12304.0</v>
      </c>
      <c r="T204" s="32" t="n">
        <f>533</f>
        <v>533.0</v>
      </c>
      <c r="U204" s="32" t="str">
        <f>"－"</f>
        <v>－</v>
      </c>
      <c r="V204" s="32" t="n">
        <f>6535730</f>
        <v>6535730.0</v>
      </c>
      <c r="W204" s="32" t="str">
        <f>"－"</f>
        <v>－</v>
      </c>
      <c r="X204" s="36" t="n">
        <f>5</f>
        <v>5.0</v>
      </c>
    </row>
    <row r="205">
      <c r="A205" s="27" t="s">
        <v>42</v>
      </c>
      <c r="B205" s="27" t="s">
        <v>667</v>
      </c>
      <c r="C205" s="27" t="s">
        <v>668</v>
      </c>
      <c r="D205" s="27" t="s">
        <v>669</v>
      </c>
      <c r="E205" s="28" t="s">
        <v>46</v>
      </c>
      <c r="F205" s="29" t="s">
        <v>46</v>
      </c>
      <c r="G205" s="30" t="s">
        <v>46</v>
      </c>
      <c r="H205" s="31"/>
      <c r="I205" s="31" t="s">
        <v>47</v>
      </c>
      <c r="J205" s="32" t="n">
        <v>1.0</v>
      </c>
      <c r="K205" s="33" t="n">
        <f>1076</f>
        <v>1076.0</v>
      </c>
      <c r="L205" s="34" t="s">
        <v>48</v>
      </c>
      <c r="M205" s="33" t="n">
        <f>1135</f>
        <v>1135.0</v>
      </c>
      <c r="N205" s="34" t="s">
        <v>70</v>
      </c>
      <c r="O205" s="33" t="n">
        <f>1068</f>
        <v>1068.0</v>
      </c>
      <c r="P205" s="34" t="s">
        <v>81</v>
      </c>
      <c r="Q205" s="33" t="n">
        <f>1128</f>
        <v>1128.0</v>
      </c>
      <c r="R205" s="34" t="s">
        <v>50</v>
      </c>
      <c r="S205" s="35" t="n">
        <f>1097.68</f>
        <v>1097.68</v>
      </c>
      <c r="T205" s="32" t="n">
        <f>6391712</f>
        <v>6391712.0</v>
      </c>
      <c r="U205" s="32" t="n">
        <f>10658</f>
        <v>10658.0</v>
      </c>
      <c r="V205" s="32" t="n">
        <f>7033841814</f>
        <v>7.033841814E9</v>
      </c>
      <c r="W205" s="32" t="n">
        <f>11820405</f>
        <v>1.1820405E7</v>
      </c>
      <c r="X205" s="36" t="n">
        <f>19</f>
        <v>19.0</v>
      </c>
    </row>
    <row r="206">
      <c r="A206" s="27" t="s">
        <v>42</v>
      </c>
      <c r="B206" s="27" t="s">
        <v>670</v>
      </c>
      <c r="C206" s="27" t="s">
        <v>671</v>
      </c>
      <c r="D206" s="27" t="s">
        <v>672</v>
      </c>
      <c r="E206" s="28" t="s">
        <v>46</v>
      </c>
      <c r="F206" s="29" t="s">
        <v>46</v>
      </c>
      <c r="G206" s="30" t="s">
        <v>46</v>
      </c>
      <c r="H206" s="31"/>
      <c r="I206" s="31" t="s">
        <v>47</v>
      </c>
      <c r="J206" s="32" t="n">
        <v>1.0</v>
      </c>
      <c r="K206" s="33" t="n">
        <f>1068</f>
        <v>1068.0</v>
      </c>
      <c r="L206" s="34" t="s">
        <v>48</v>
      </c>
      <c r="M206" s="33" t="n">
        <f>1199</f>
        <v>1199.0</v>
      </c>
      <c r="N206" s="34" t="s">
        <v>295</v>
      </c>
      <c r="O206" s="33" t="n">
        <f>1066</f>
        <v>1066.0</v>
      </c>
      <c r="P206" s="34" t="s">
        <v>48</v>
      </c>
      <c r="Q206" s="33" t="n">
        <f>1160</f>
        <v>1160.0</v>
      </c>
      <c r="R206" s="34" t="s">
        <v>50</v>
      </c>
      <c r="S206" s="35" t="n">
        <f>1120.32</f>
        <v>1120.32</v>
      </c>
      <c r="T206" s="32" t="n">
        <f>197636</f>
        <v>197636.0</v>
      </c>
      <c r="U206" s="32" t="str">
        <f>"－"</f>
        <v>－</v>
      </c>
      <c r="V206" s="32" t="n">
        <f>225433775</f>
        <v>2.25433775E8</v>
      </c>
      <c r="W206" s="32" t="str">
        <f>"－"</f>
        <v>－</v>
      </c>
      <c r="X206" s="36" t="n">
        <f>19</f>
        <v>19.0</v>
      </c>
    </row>
    <row r="207">
      <c r="A207" s="27" t="s">
        <v>42</v>
      </c>
      <c r="B207" s="27" t="s">
        <v>673</v>
      </c>
      <c r="C207" s="27" t="s">
        <v>674</v>
      </c>
      <c r="D207" s="27" t="s">
        <v>675</v>
      </c>
      <c r="E207" s="28" t="s">
        <v>46</v>
      </c>
      <c r="F207" s="29" t="s">
        <v>46</v>
      </c>
      <c r="G207" s="30" t="s">
        <v>46</v>
      </c>
      <c r="H207" s="31"/>
      <c r="I207" s="31" t="s">
        <v>47</v>
      </c>
      <c r="J207" s="32" t="n">
        <v>1.0</v>
      </c>
      <c r="K207" s="33" t="n">
        <f>1020</f>
        <v>1020.0</v>
      </c>
      <c r="L207" s="34" t="s">
        <v>48</v>
      </c>
      <c r="M207" s="33" t="n">
        <f>1040</f>
        <v>1040.0</v>
      </c>
      <c r="N207" s="34" t="s">
        <v>214</v>
      </c>
      <c r="O207" s="33" t="n">
        <f>1004</f>
        <v>1004.0</v>
      </c>
      <c r="P207" s="34" t="s">
        <v>88</v>
      </c>
      <c r="Q207" s="33" t="n">
        <f>1038</f>
        <v>1038.0</v>
      </c>
      <c r="R207" s="34" t="s">
        <v>50</v>
      </c>
      <c r="S207" s="35" t="n">
        <f>1022.16</f>
        <v>1022.16</v>
      </c>
      <c r="T207" s="32" t="n">
        <f>56283</f>
        <v>56283.0</v>
      </c>
      <c r="U207" s="32" t="str">
        <f>"－"</f>
        <v>－</v>
      </c>
      <c r="V207" s="32" t="n">
        <f>57457711</f>
        <v>5.7457711E7</v>
      </c>
      <c r="W207" s="32" t="str">
        <f>"－"</f>
        <v>－</v>
      </c>
      <c r="X207" s="36" t="n">
        <f>19</f>
        <v>19.0</v>
      </c>
    </row>
    <row r="208">
      <c r="A208" s="27" t="s">
        <v>42</v>
      </c>
      <c r="B208" s="27" t="s">
        <v>676</v>
      </c>
      <c r="C208" s="27" t="s">
        <v>677</v>
      </c>
      <c r="D208" s="27" t="s">
        <v>678</v>
      </c>
      <c r="E208" s="28" t="s">
        <v>46</v>
      </c>
      <c r="F208" s="29" t="s">
        <v>46</v>
      </c>
      <c r="G208" s="30" t="s">
        <v>46</v>
      </c>
      <c r="H208" s="31"/>
      <c r="I208" s="31" t="s">
        <v>47</v>
      </c>
      <c r="J208" s="32" t="n">
        <v>1.0</v>
      </c>
      <c r="K208" s="33" t="n">
        <f>2109</f>
        <v>2109.0</v>
      </c>
      <c r="L208" s="34" t="s">
        <v>48</v>
      </c>
      <c r="M208" s="33" t="n">
        <f>2259</f>
        <v>2259.0</v>
      </c>
      <c r="N208" s="34" t="s">
        <v>50</v>
      </c>
      <c r="O208" s="33" t="n">
        <f>2096</f>
        <v>2096.0</v>
      </c>
      <c r="P208" s="34" t="s">
        <v>74</v>
      </c>
      <c r="Q208" s="33" t="n">
        <f>2258</f>
        <v>2258.0</v>
      </c>
      <c r="R208" s="34" t="s">
        <v>50</v>
      </c>
      <c r="S208" s="35" t="n">
        <f>2174.21</f>
        <v>2174.21</v>
      </c>
      <c r="T208" s="32" t="n">
        <f>438979</f>
        <v>438979.0</v>
      </c>
      <c r="U208" s="32" t="str">
        <f>"－"</f>
        <v>－</v>
      </c>
      <c r="V208" s="32" t="n">
        <f>949668574</f>
        <v>9.49668574E8</v>
      </c>
      <c r="W208" s="32" t="str">
        <f>"－"</f>
        <v>－</v>
      </c>
      <c r="X208" s="36" t="n">
        <f>19</f>
        <v>19.0</v>
      </c>
    </row>
    <row r="209">
      <c r="A209" s="27" t="s">
        <v>42</v>
      </c>
      <c r="B209" s="27" t="s">
        <v>679</v>
      </c>
      <c r="C209" s="27" t="s">
        <v>680</v>
      </c>
      <c r="D209" s="27" t="s">
        <v>681</v>
      </c>
      <c r="E209" s="28" t="s">
        <v>46</v>
      </c>
      <c r="F209" s="29" t="s">
        <v>46</v>
      </c>
      <c r="G209" s="30" t="s">
        <v>46</v>
      </c>
      <c r="H209" s="31"/>
      <c r="I209" s="31" t="s">
        <v>47</v>
      </c>
      <c r="J209" s="32" t="n">
        <v>1.0</v>
      </c>
      <c r="K209" s="33" t="n">
        <f>2167</f>
        <v>2167.0</v>
      </c>
      <c r="L209" s="34" t="s">
        <v>48</v>
      </c>
      <c r="M209" s="33" t="n">
        <f>2269</f>
        <v>2269.0</v>
      </c>
      <c r="N209" s="34" t="s">
        <v>49</v>
      </c>
      <c r="O209" s="33" t="n">
        <f>2144</f>
        <v>2144.0</v>
      </c>
      <c r="P209" s="34" t="s">
        <v>214</v>
      </c>
      <c r="Q209" s="33" t="n">
        <f>2256</f>
        <v>2256.0</v>
      </c>
      <c r="R209" s="34" t="s">
        <v>50</v>
      </c>
      <c r="S209" s="35" t="n">
        <f>2201.74</f>
        <v>2201.74</v>
      </c>
      <c r="T209" s="32" t="n">
        <f>1161007</f>
        <v>1161007.0</v>
      </c>
      <c r="U209" s="32" t="n">
        <f>22700</f>
        <v>22700.0</v>
      </c>
      <c r="V209" s="32" t="n">
        <f>2560748704</f>
        <v>2.560748704E9</v>
      </c>
      <c r="W209" s="32" t="n">
        <f>50272960</f>
        <v>5.027296E7</v>
      </c>
      <c r="X209" s="36" t="n">
        <f>19</f>
        <v>19.0</v>
      </c>
    </row>
    <row r="210">
      <c r="A210" s="27" t="s">
        <v>42</v>
      </c>
      <c r="B210" s="27" t="s">
        <v>682</v>
      </c>
      <c r="C210" s="27" t="s">
        <v>683</v>
      </c>
      <c r="D210" s="27" t="s">
        <v>684</v>
      </c>
      <c r="E210" s="28" t="s">
        <v>46</v>
      </c>
      <c r="F210" s="29" t="s">
        <v>46</v>
      </c>
      <c r="G210" s="30" t="s">
        <v>46</v>
      </c>
      <c r="H210" s="31"/>
      <c r="I210" s="31" t="s">
        <v>47</v>
      </c>
      <c r="J210" s="32" t="n">
        <v>10.0</v>
      </c>
      <c r="K210" s="33" t="n">
        <f>551.5</f>
        <v>551.5</v>
      </c>
      <c r="L210" s="34" t="s">
        <v>48</v>
      </c>
      <c r="M210" s="33" t="n">
        <f>572.4</f>
        <v>572.4</v>
      </c>
      <c r="N210" s="34" t="s">
        <v>70</v>
      </c>
      <c r="O210" s="33" t="n">
        <f>541.5</f>
        <v>541.5</v>
      </c>
      <c r="P210" s="34" t="s">
        <v>81</v>
      </c>
      <c r="Q210" s="33" t="n">
        <f>566.1</f>
        <v>566.1</v>
      </c>
      <c r="R210" s="34" t="s">
        <v>50</v>
      </c>
      <c r="S210" s="35" t="n">
        <f>557.79</f>
        <v>557.79</v>
      </c>
      <c r="T210" s="32" t="n">
        <f>5339920</f>
        <v>5339920.0</v>
      </c>
      <c r="U210" s="32" t="n">
        <f>1950000</f>
        <v>1950000.0</v>
      </c>
      <c r="V210" s="32" t="n">
        <f>2971399315</f>
        <v>2.971399315E9</v>
      </c>
      <c r="W210" s="32" t="n">
        <f>1080990000</f>
        <v>1.08099E9</v>
      </c>
      <c r="X210" s="36" t="n">
        <f>19</f>
        <v>19.0</v>
      </c>
    </row>
    <row r="211">
      <c r="A211" s="27" t="s">
        <v>42</v>
      </c>
      <c r="B211" s="27" t="s">
        <v>685</v>
      </c>
      <c r="C211" s="27" t="s">
        <v>686</v>
      </c>
      <c r="D211" s="27" t="s">
        <v>687</v>
      </c>
      <c r="E211" s="28" t="s">
        <v>46</v>
      </c>
      <c r="F211" s="29" t="s">
        <v>46</v>
      </c>
      <c r="G211" s="30" t="s">
        <v>46</v>
      </c>
      <c r="H211" s="31"/>
      <c r="I211" s="31" t="s">
        <v>47</v>
      </c>
      <c r="J211" s="32" t="n">
        <v>10.0</v>
      </c>
      <c r="K211" s="33" t="n">
        <f>2162</f>
        <v>2162.0</v>
      </c>
      <c r="L211" s="34" t="s">
        <v>48</v>
      </c>
      <c r="M211" s="33" t="n">
        <f>2261.5</f>
        <v>2261.5</v>
      </c>
      <c r="N211" s="34" t="s">
        <v>68</v>
      </c>
      <c r="O211" s="33" t="n">
        <f>2162</f>
        <v>2162.0</v>
      </c>
      <c r="P211" s="34" t="s">
        <v>48</v>
      </c>
      <c r="Q211" s="33" t="n">
        <f>2252.5</f>
        <v>2252.5</v>
      </c>
      <c r="R211" s="34" t="s">
        <v>50</v>
      </c>
      <c r="S211" s="35" t="n">
        <f>2227.06</f>
        <v>2227.06</v>
      </c>
      <c r="T211" s="32" t="n">
        <f>495430</f>
        <v>495430.0</v>
      </c>
      <c r="U211" s="32" t="n">
        <f>494000</f>
        <v>494000.0</v>
      </c>
      <c r="V211" s="32" t="n">
        <f>1103176926</f>
        <v>1.103176926E9</v>
      </c>
      <c r="W211" s="32" t="n">
        <f>1100010611</f>
        <v>1.100010611E9</v>
      </c>
      <c r="X211" s="36" t="n">
        <f>9</f>
        <v>9.0</v>
      </c>
    </row>
    <row r="212">
      <c r="A212" s="27" t="s">
        <v>42</v>
      </c>
      <c r="B212" s="27" t="s">
        <v>688</v>
      </c>
      <c r="C212" s="27" t="s">
        <v>689</v>
      </c>
      <c r="D212" s="27" t="s">
        <v>690</v>
      </c>
      <c r="E212" s="28" t="s">
        <v>46</v>
      </c>
      <c r="F212" s="29" t="s">
        <v>46</v>
      </c>
      <c r="G212" s="30" t="s">
        <v>46</v>
      </c>
      <c r="H212" s="31"/>
      <c r="I212" s="31" t="s">
        <v>47</v>
      </c>
      <c r="J212" s="32" t="n">
        <v>10.0</v>
      </c>
      <c r="K212" s="33" t="n">
        <f>2239.5</f>
        <v>2239.5</v>
      </c>
      <c r="L212" s="34" t="s">
        <v>48</v>
      </c>
      <c r="M212" s="33" t="n">
        <f>2352</f>
        <v>2352.0</v>
      </c>
      <c r="N212" s="34" t="s">
        <v>60</v>
      </c>
      <c r="O212" s="33" t="n">
        <f>2239.5</f>
        <v>2239.5</v>
      </c>
      <c r="P212" s="34" t="s">
        <v>48</v>
      </c>
      <c r="Q212" s="33" t="n">
        <f>2320</f>
        <v>2320.0</v>
      </c>
      <c r="R212" s="34" t="s">
        <v>50</v>
      </c>
      <c r="S212" s="35" t="n">
        <f>2304.12</f>
        <v>2304.12</v>
      </c>
      <c r="T212" s="32" t="n">
        <f>3190</f>
        <v>3190.0</v>
      </c>
      <c r="U212" s="32" t="str">
        <f>"－"</f>
        <v>－</v>
      </c>
      <c r="V212" s="32" t="n">
        <f>7349125</f>
        <v>7349125.0</v>
      </c>
      <c r="W212" s="32" t="str">
        <f>"－"</f>
        <v>－</v>
      </c>
      <c r="X212" s="36" t="n">
        <f>17</f>
        <v>17.0</v>
      </c>
    </row>
    <row r="213">
      <c r="A213" s="27" t="s">
        <v>42</v>
      </c>
      <c r="B213" s="27" t="s">
        <v>691</v>
      </c>
      <c r="C213" s="27" t="s">
        <v>692</v>
      </c>
      <c r="D213" s="27" t="s">
        <v>693</v>
      </c>
      <c r="E213" s="28" t="s">
        <v>46</v>
      </c>
      <c r="F213" s="29" t="s">
        <v>46</v>
      </c>
      <c r="G213" s="30" t="s">
        <v>46</v>
      </c>
      <c r="H213" s="31"/>
      <c r="I213" s="31" t="s">
        <v>47</v>
      </c>
      <c r="J213" s="32" t="n">
        <v>10.0</v>
      </c>
      <c r="K213" s="33" t="n">
        <f>2219.5</f>
        <v>2219.5</v>
      </c>
      <c r="L213" s="34" t="s">
        <v>68</v>
      </c>
      <c r="M213" s="33" t="n">
        <f>2219.5</f>
        <v>2219.5</v>
      </c>
      <c r="N213" s="34" t="s">
        <v>68</v>
      </c>
      <c r="O213" s="33" t="n">
        <f>2219.5</f>
        <v>2219.5</v>
      </c>
      <c r="P213" s="34" t="s">
        <v>68</v>
      </c>
      <c r="Q213" s="33" t="n">
        <f>2219.5</f>
        <v>2219.5</v>
      </c>
      <c r="R213" s="34" t="s">
        <v>68</v>
      </c>
      <c r="S213" s="35" t="n">
        <f>2219.5</f>
        <v>2219.5</v>
      </c>
      <c r="T213" s="32" t="n">
        <f>225010</f>
        <v>225010.0</v>
      </c>
      <c r="U213" s="32" t="n">
        <f>225000</f>
        <v>225000.0</v>
      </c>
      <c r="V213" s="32" t="n">
        <f>499224025</f>
        <v>4.99224025E8</v>
      </c>
      <c r="W213" s="32" t="n">
        <f>499201830</f>
        <v>4.9920183E8</v>
      </c>
      <c r="X213" s="36" t="n">
        <f>1</f>
        <v>1.0</v>
      </c>
    </row>
    <row r="214">
      <c r="A214" s="27" t="s">
        <v>42</v>
      </c>
      <c r="B214" s="27" t="s">
        <v>694</v>
      </c>
      <c r="C214" s="27" t="s">
        <v>695</v>
      </c>
      <c r="D214" s="27" t="s">
        <v>696</v>
      </c>
      <c r="E214" s="28" t="s">
        <v>46</v>
      </c>
      <c r="F214" s="29" t="s">
        <v>46</v>
      </c>
      <c r="G214" s="30" t="s">
        <v>46</v>
      </c>
      <c r="H214" s="31"/>
      <c r="I214" s="31" t="s">
        <v>47</v>
      </c>
      <c r="J214" s="32" t="n">
        <v>10.0</v>
      </c>
      <c r="K214" s="33" t="n">
        <f>2143.5</f>
        <v>2143.5</v>
      </c>
      <c r="L214" s="34" t="s">
        <v>295</v>
      </c>
      <c r="M214" s="33" t="n">
        <f>2210.5</f>
        <v>2210.5</v>
      </c>
      <c r="N214" s="34" t="s">
        <v>68</v>
      </c>
      <c r="O214" s="33" t="n">
        <f>2094.5</f>
        <v>2094.5</v>
      </c>
      <c r="P214" s="34" t="s">
        <v>105</v>
      </c>
      <c r="Q214" s="33" t="n">
        <f>2184.5</f>
        <v>2184.5</v>
      </c>
      <c r="R214" s="34" t="s">
        <v>68</v>
      </c>
      <c r="S214" s="35" t="n">
        <f>2154.4</f>
        <v>2154.4</v>
      </c>
      <c r="T214" s="32" t="n">
        <f>588750</f>
        <v>588750.0</v>
      </c>
      <c r="U214" s="32" t="n">
        <f>229000</f>
        <v>229000.0</v>
      </c>
      <c r="V214" s="32" t="n">
        <f>1274327998</f>
        <v>1.274327998E9</v>
      </c>
      <c r="W214" s="32" t="n">
        <f>499446023</f>
        <v>4.99446023E8</v>
      </c>
      <c r="X214" s="36" t="n">
        <f>5</f>
        <v>5.0</v>
      </c>
    </row>
    <row r="215">
      <c r="A215" s="27" t="s">
        <v>42</v>
      </c>
      <c r="B215" s="27" t="s">
        <v>697</v>
      </c>
      <c r="C215" s="27" t="s">
        <v>698</v>
      </c>
      <c r="D215" s="27" t="s">
        <v>699</v>
      </c>
      <c r="E215" s="28" t="s">
        <v>46</v>
      </c>
      <c r="F215" s="29" t="s">
        <v>46</v>
      </c>
      <c r="G215" s="30" t="s">
        <v>46</v>
      </c>
      <c r="H215" s="31"/>
      <c r="I215" s="31" t="s">
        <v>47</v>
      </c>
      <c r="J215" s="32" t="n">
        <v>10.0</v>
      </c>
      <c r="K215" s="33" t="n">
        <f>5153</f>
        <v>5153.0</v>
      </c>
      <c r="L215" s="34" t="s">
        <v>48</v>
      </c>
      <c r="M215" s="33" t="n">
        <f>5153</f>
        <v>5153.0</v>
      </c>
      <c r="N215" s="34" t="s">
        <v>48</v>
      </c>
      <c r="O215" s="33" t="n">
        <f>4993</f>
        <v>4993.0</v>
      </c>
      <c r="P215" s="34" t="s">
        <v>88</v>
      </c>
      <c r="Q215" s="33" t="n">
        <f>4993</f>
        <v>4993.0</v>
      </c>
      <c r="R215" s="34" t="s">
        <v>88</v>
      </c>
      <c r="S215" s="35" t="n">
        <f>5073</f>
        <v>5073.0</v>
      </c>
      <c r="T215" s="32" t="n">
        <f>221330</f>
        <v>221330.0</v>
      </c>
      <c r="U215" s="32" t="n">
        <f>200000</f>
        <v>200000.0</v>
      </c>
      <c r="V215" s="32" t="n">
        <f>1109449890</f>
        <v>1.10944989E9</v>
      </c>
      <c r="W215" s="32" t="n">
        <f>999538000</f>
        <v>9.99538E8</v>
      </c>
      <c r="X215" s="36" t="n">
        <f>2</f>
        <v>2.0</v>
      </c>
    </row>
    <row r="216">
      <c r="A216" s="27" t="s">
        <v>42</v>
      </c>
      <c r="B216" s="27" t="s">
        <v>700</v>
      </c>
      <c r="C216" s="27" t="s">
        <v>701</v>
      </c>
      <c r="D216" s="27" t="s">
        <v>702</v>
      </c>
      <c r="E216" s="28" t="s">
        <v>46</v>
      </c>
      <c r="F216" s="29" t="s">
        <v>46</v>
      </c>
      <c r="G216" s="30" t="s">
        <v>46</v>
      </c>
      <c r="H216" s="31"/>
      <c r="I216" s="31" t="s">
        <v>47</v>
      </c>
      <c r="J216" s="32" t="n">
        <v>10.0</v>
      </c>
      <c r="K216" s="33" t="n">
        <f>5137</f>
        <v>5137.0</v>
      </c>
      <c r="L216" s="34" t="s">
        <v>70</v>
      </c>
      <c r="M216" s="33" t="n">
        <f>5137</f>
        <v>5137.0</v>
      </c>
      <c r="N216" s="34" t="s">
        <v>70</v>
      </c>
      <c r="O216" s="33" t="n">
        <f>5137</f>
        <v>5137.0</v>
      </c>
      <c r="P216" s="34" t="s">
        <v>70</v>
      </c>
      <c r="Q216" s="33" t="n">
        <f>5137</f>
        <v>5137.0</v>
      </c>
      <c r="R216" s="34" t="s">
        <v>70</v>
      </c>
      <c r="S216" s="35" t="n">
        <f>5137</f>
        <v>5137.0</v>
      </c>
      <c r="T216" s="32" t="n">
        <f>40</f>
        <v>40.0</v>
      </c>
      <c r="U216" s="32" t="str">
        <f>"－"</f>
        <v>－</v>
      </c>
      <c r="V216" s="32" t="n">
        <f>205480</f>
        <v>205480.0</v>
      </c>
      <c r="W216" s="32" t="str">
        <f>"－"</f>
        <v>－</v>
      </c>
      <c r="X216" s="36" t="n">
        <f>1</f>
        <v>1.0</v>
      </c>
    </row>
    <row r="217">
      <c r="A217" s="27" t="s">
        <v>42</v>
      </c>
      <c r="B217" s="27" t="s">
        <v>703</v>
      </c>
      <c r="C217" s="27" t="s">
        <v>704</v>
      </c>
      <c r="D217" s="27" t="s">
        <v>705</v>
      </c>
      <c r="E217" s="28" t="s">
        <v>46</v>
      </c>
      <c r="F217" s="29" t="s">
        <v>46</v>
      </c>
      <c r="G217" s="30" t="s">
        <v>46</v>
      </c>
      <c r="H217" s="31"/>
      <c r="I217" s="31" t="s">
        <v>47</v>
      </c>
      <c r="J217" s="32" t="n">
        <v>10.0</v>
      </c>
      <c r="K217" s="33" t="str">
        <f>"－"</f>
        <v>－</v>
      </c>
      <c r="L217" s="34"/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5" t="str">
        <f>"－"</f>
        <v>－</v>
      </c>
      <c r="T217" s="32" t="str">
        <f>"－"</f>
        <v>－</v>
      </c>
      <c r="U217" s="32" t="str">
        <f>"－"</f>
        <v>－</v>
      </c>
      <c r="V217" s="32" t="str">
        <f>"－"</f>
        <v>－</v>
      </c>
      <c r="W217" s="32" t="str">
        <f>"－"</f>
        <v>－</v>
      </c>
      <c r="X217" s="36" t="str">
        <f>"－"</f>
        <v>－</v>
      </c>
    </row>
    <row r="218">
      <c r="A218" s="27" t="s">
        <v>42</v>
      </c>
      <c r="B218" s="27" t="s">
        <v>706</v>
      </c>
      <c r="C218" s="27" t="s">
        <v>707</v>
      </c>
      <c r="D218" s="27" t="s">
        <v>708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4991</f>
        <v>4991.0</v>
      </c>
      <c r="L218" s="34" t="s">
        <v>48</v>
      </c>
      <c r="M218" s="33" t="n">
        <f>5037</f>
        <v>5037.0</v>
      </c>
      <c r="N218" s="34" t="s">
        <v>236</v>
      </c>
      <c r="O218" s="33" t="n">
        <f>4908</f>
        <v>4908.0</v>
      </c>
      <c r="P218" s="34" t="s">
        <v>69</v>
      </c>
      <c r="Q218" s="33" t="n">
        <f>4978</f>
        <v>4978.0</v>
      </c>
      <c r="R218" s="34" t="s">
        <v>50</v>
      </c>
      <c r="S218" s="35" t="n">
        <f>4983.68</f>
        <v>4983.68</v>
      </c>
      <c r="T218" s="32" t="n">
        <f>488110</f>
        <v>488110.0</v>
      </c>
      <c r="U218" s="32" t="n">
        <f>340000</f>
        <v>340000.0</v>
      </c>
      <c r="V218" s="32" t="n">
        <f>2432727640</f>
        <v>2.43272764E9</v>
      </c>
      <c r="W218" s="32" t="n">
        <f>1693800320</f>
        <v>1.69380032E9</v>
      </c>
      <c r="X218" s="36" t="n">
        <f>19</f>
        <v>19.0</v>
      </c>
    </row>
    <row r="219">
      <c r="A219" s="27" t="s">
        <v>42</v>
      </c>
      <c r="B219" s="27" t="s">
        <v>709</v>
      </c>
      <c r="C219" s="27" t="s">
        <v>710</v>
      </c>
      <c r="D219" s="27" t="s">
        <v>711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1.0</v>
      </c>
      <c r="K219" s="33" t="n">
        <f>992</f>
        <v>992.0</v>
      </c>
      <c r="L219" s="34" t="s">
        <v>48</v>
      </c>
      <c r="M219" s="33" t="n">
        <f>1086</f>
        <v>1086.0</v>
      </c>
      <c r="N219" s="34" t="s">
        <v>295</v>
      </c>
      <c r="O219" s="33" t="n">
        <f>984</f>
        <v>984.0</v>
      </c>
      <c r="P219" s="34" t="s">
        <v>61</v>
      </c>
      <c r="Q219" s="33" t="n">
        <f>1031</f>
        <v>1031.0</v>
      </c>
      <c r="R219" s="34" t="s">
        <v>50</v>
      </c>
      <c r="S219" s="35" t="n">
        <f>1015.89</f>
        <v>1015.89</v>
      </c>
      <c r="T219" s="32" t="n">
        <f>278559</f>
        <v>278559.0</v>
      </c>
      <c r="U219" s="32" t="str">
        <f>"－"</f>
        <v>－</v>
      </c>
      <c r="V219" s="32" t="n">
        <f>288950117</f>
        <v>2.88950117E8</v>
      </c>
      <c r="W219" s="32" t="str">
        <f>"－"</f>
        <v>－</v>
      </c>
      <c r="X219" s="36" t="n">
        <f>19</f>
        <v>19.0</v>
      </c>
    </row>
    <row r="220">
      <c r="A220" s="27" t="s">
        <v>42</v>
      </c>
      <c r="B220" s="27" t="s">
        <v>712</v>
      </c>
      <c r="C220" s="27" t="s">
        <v>713</v>
      </c>
      <c r="D220" s="27" t="s">
        <v>714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1.0</v>
      </c>
      <c r="K220" s="33" t="n">
        <f>1109</f>
        <v>1109.0</v>
      </c>
      <c r="L220" s="34" t="s">
        <v>48</v>
      </c>
      <c r="M220" s="33" t="n">
        <f>1124</f>
        <v>1124.0</v>
      </c>
      <c r="N220" s="34" t="s">
        <v>81</v>
      </c>
      <c r="O220" s="33" t="n">
        <f>1086</f>
        <v>1086.0</v>
      </c>
      <c r="P220" s="34" t="s">
        <v>236</v>
      </c>
      <c r="Q220" s="33" t="n">
        <f>1115</f>
        <v>1115.0</v>
      </c>
      <c r="R220" s="34" t="s">
        <v>50</v>
      </c>
      <c r="S220" s="35" t="n">
        <f>1101.58</f>
        <v>1101.58</v>
      </c>
      <c r="T220" s="32" t="n">
        <f>96312</f>
        <v>96312.0</v>
      </c>
      <c r="U220" s="32" t="str">
        <f>"－"</f>
        <v>－</v>
      </c>
      <c r="V220" s="32" t="n">
        <f>105819899</f>
        <v>1.05819899E8</v>
      </c>
      <c r="W220" s="32" t="str">
        <f>"－"</f>
        <v>－</v>
      </c>
      <c r="X220" s="36" t="n">
        <f>19</f>
        <v>19.0</v>
      </c>
    </row>
    <row r="221">
      <c r="A221" s="27" t="s">
        <v>42</v>
      </c>
      <c r="B221" s="27" t="s">
        <v>715</v>
      </c>
      <c r="C221" s="27" t="s">
        <v>716</v>
      </c>
      <c r="D221" s="27" t="s">
        <v>717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1.0</v>
      </c>
      <c r="K221" s="33" t="n">
        <f>992</f>
        <v>992.0</v>
      </c>
      <c r="L221" s="34" t="s">
        <v>48</v>
      </c>
      <c r="M221" s="33" t="n">
        <f>1001</f>
        <v>1001.0</v>
      </c>
      <c r="N221" s="34" t="s">
        <v>61</v>
      </c>
      <c r="O221" s="33" t="n">
        <f>930</f>
        <v>930.0</v>
      </c>
      <c r="P221" s="34" t="s">
        <v>109</v>
      </c>
      <c r="Q221" s="33" t="n">
        <f>947</f>
        <v>947.0</v>
      </c>
      <c r="R221" s="34" t="s">
        <v>50</v>
      </c>
      <c r="S221" s="35" t="n">
        <f>963.95</f>
        <v>963.95</v>
      </c>
      <c r="T221" s="32" t="n">
        <f>72836</f>
        <v>72836.0</v>
      </c>
      <c r="U221" s="32" t="str">
        <f>"－"</f>
        <v>－</v>
      </c>
      <c r="V221" s="32" t="n">
        <f>71927695</f>
        <v>7.1927695E7</v>
      </c>
      <c r="W221" s="32" t="str">
        <f>"－"</f>
        <v>－</v>
      </c>
      <c r="X221" s="36" t="n">
        <f>19</f>
        <v>19.0</v>
      </c>
    </row>
    <row r="222">
      <c r="A222" s="27" t="s">
        <v>42</v>
      </c>
      <c r="B222" s="27" t="s">
        <v>718</v>
      </c>
      <c r="C222" s="27" t="s">
        <v>719</v>
      </c>
      <c r="D222" s="27" t="s">
        <v>720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1.0</v>
      </c>
      <c r="K222" s="33" t="n">
        <f>1002</f>
        <v>1002.0</v>
      </c>
      <c r="L222" s="34" t="s">
        <v>48</v>
      </c>
      <c r="M222" s="33" t="n">
        <f>1012</f>
        <v>1012.0</v>
      </c>
      <c r="N222" s="34" t="s">
        <v>236</v>
      </c>
      <c r="O222" s="33" t="n">
        <f>932</f>
        <v>932.0</v>
      </c>
      <c r="P222" s="34" t="s">
        <v>109</v>
      </c>
      <c r="Q222" s="33" t="n">
        <f>943</f>
        <v>943.0</v>
      </c>
      <c r="R222" s="34" t="s">
        <v>50</v>
      </c>
      <c r="S222" s="35" t="n">
        <f>966.79</f>
        <v>966.79</v>
      </c>
      <c r="T222" s="32" t="n">
        <f>51025</f>
        <v>51025.0</v>
      </c>
      <c r="U222" s="32" t="str">
        <f>"－"</f>
        <v>－</v>
      </c>
      <c r="V222" s="32" t="n">
        <f>49937724</f>
        <v>4.9937724E7</v>
      </c>
      <c r="W222" s="32" t="str">
        <f>"－"</f>
        <v>－</v>
      </c>
      <c r="X222" s="36" t="n">
        <f>19</f>
        <v>19.0</v>
      </c>
    </row>
    <row r="223">
      <c r="A223" s="27" t="s">
        <v>42</v>
      </c>
      <c r="B223" s="27" t="s">
        <v>721</v>
      </c>
      <c r="C223" s="27" t="s">
        <v>722</v>
      </c>
      <c r="D223" s="27" t="s">
        <v>723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1.0</v>
      </c>
      <c r="K223" s="33" t="n">
        <f>1025</f>
        <v>1025.0</v>
      </c>
      <c r="L223" s="34" t="s">
        <v>48</v>
      </c>
      <c r="M223" s="33" t="n">
        <f>1029</f>
        <v>1029.0</v>
      </c>
      <c r="N223" s="34" t="s">
        <v>81</v>
      </c>
      <c r="O223" s="33" t="n">
        <f>964</f>
        <v>964.0</v>
      </c>
      <c r="P223" s="34" t="s">
        <v>109</v>
      </c>
      <c r="Q223" s="33" t="n">
        <f>972</f>
        <v>972.0</v>
      </c>
      <c r="R223" s="34" t="s">
        <v>50</v>
      </c>
      <c r="S223" s="35" t="n">
        <f>996.95</f>
        <v>996.95</v>
      </c>
      <c r="T223" s="32" t="n">
        <f>103118</f>
        <v>103118.0</v>
      </c>
      <c r="U223" s="32" t="str">
        <f>"－"</f>
        <v>－</v>
      </c>
      <c r="V223" s="32" t="n">
        <f>102176984</f>
        <v>1.02176984E8</v>
      </c>
      <c r="W223" s="32" t="str">
        <f>"－"</f>
        <v>－</v>
      </c>
      <c r="X223" s="36" t="n">
        <f>19</f>
        <v>19.0</v>
      </c>
    </row>
    <row r="224">
      <c r="A224" s="27" t="s">
        <v>42</v>
      </c>
      <c r="B224" s="27" t="s">
        <v>724</v>
      </c>
      <c r="C224" s="27" t="s">
        <v>725</v>
      </c>
      <c r="D224" s="27" t="s">
        <v>726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2439</f>
        <v>2439.0</v>
      </c>
      <c r="L224" s="34" t="s">
        <v>48</v>
      </c>
      <c r="M224" s="33" t="n">
        <f>2560.5</f>
        <v>2560.5</v>
      </c>
      <c r="N224" s="34" t="s">
        <v>68</v>
      </c>
      <c r="O224" s="33" t="n">
        <f>2435</f>
        <v>2435.0</v>
      </c>
      <c r="P224" s="34" t="s">
        <v>48</v>
      </c>
      <c r="Q224" s="33" t="n">
        <f>2536.5</f>
        <v>2536.5</v>
      </c>
      <c r="R224" s="34" t="s">
        <v>50</v>
      </c>
      <c r="S224" s="35" t="n">
        <f>2511.97</f>
        <v>2511.97</v>
      </c>
      <c r="T224" s="32" t="n">
        <f>15560</f>
        <v>15560.0</v>
      </c>
      <c r="U224" s="32" t="str">
        <f>"－"</f>
        <v>－</v>
      </c>
      <c r="V224" s="32" t="n">
        <f>39156625</f>
        <v>3.9156625E7</v>
      </c>
      <c r="W224" s="32" t="str">
        <f>"－"</f>
        <v>－</v>
      </c>
      <c r="X224" s="36" t="n">
        <f>17</f>
        <v>17.0</v>
      </c>
    </row>
    <row r="225">
      <c r="A225" s="27" t="s">
        <v>42</v>
      </c>
      <c r="B225" s="27" t="s">
        <v>727</v>
      </c>
      <c r="C225" s="27" t="s">
        <v>728</v>
      </c>
      <c r="D225" s="27" t="s">
        <v>729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1.0</v>
      </c>
      <c r="K225" s="33" t="n">
        <f>1142</f>
        <v>1142.0</v>
      </c>
      <c r="L225" s="34" t="s">
        <v>48</v>
      </c>
      <c r="M225" s="33" t="n">
        <f>1189</f>
        <v>1189.0</v>
      </c>
      <c r="N225" s="34" t="s">
        <v>50</v>
      </c>
      <c r="O225" s="33" t="n">
        <f>1132</f>
        <v>1132.0</v>
      </c>
      <c r="P225" s="34" t="s">
        <v>48</v>
      </c>
      <c r="Q225" s="33" t="n">
        <f>1183</f>
        <v>1183.0</v>
      </c>
      <c r="R225" s="34" t="s">
        <v>50</v>
      </c>
      <c r="S225" s="35" t="n">
        <f>1159.89</f>
        <v>1159.89</v>
      </c>
      <c r="T225" s="32" t="n">
        <f>420093</f>
        <v>420093.0</v>
      </c>
      <c r="U225" s="32" t="n">
        <f>26014</f>
        <v>26014.0</v>
      </c>
      <c r="V225" s="32" t="n">
        <f>486462770</f>
        <v>4.8646277E8</v>
      </c>
      <c r="W225" s="32" t="n">
        <f>30686638</f>
        <v>3.0686638E7</v>
      </c>
      <c r="X225" s="36" t="n">
        <f>19</f>
        <v>19.0</v>
      </c>
    </row>
    <row r="226">
      <c r="A226" s="27" t="s">
        <v>42</v>
      </c>
      <c r="B226" s="27" t="s">
        <v>730</v>
      </c>
      <c r="C226" s="27" t="s">
        <v>731</v>
      </c>
      <c r="D226" s="27" t="s">
        <v>732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65230</f>
        <v>65230.0</v>
      </c>
      <c r="L226" s="34" t="s">
        <v>48</v>
      </c>
      <c r="M226" s="33" t="n">
        <f>71070</f>
        <v>71070.0</v>
      </c>
      <c r="N226" s="34" t="s">
        <v>68</v>
      </c>
      <c r="O226" s="33" t="n">
        <f>65190</f>
        <v>65190.0</v>
      </c>
      <c r="P226" s="34" t="s">
        <v>48</v>
      </c>
      <c r="Q226" s="33" t="n">
        <f>70630</f>
        <v>70630.0</v>
      </c>
      <c r="R226" s="34" t="s">
        <v>50</v>
      </c>
      <c r="S226" s="35" t="n">
        <f>68816.84</f>
        <v>68816.84</v>
      </c>
      <c r="T226" s="32" t="n">
        <f>26119</f>
        <v>26119.0</v>
      </c>
      <c r="U226" s="32" t="n">
        <f>3</f>
        <v>3.0</v>
      </c>
      <c r="V226" s="32" t="n">
        <f>1796403110</f>
        <v>1.79640311E9</v>
      </c>
      <c r="W226" s="32" t="n">
        <f>209190</f>
        <v>209190.0</v>
      </c>
      <c r="X226" s="36" t="n">
        <f>19</f>
        <v>19.0</v>
      </c>
    </row>
    <row r="227">
      <c r="A227" s="27" t="s">
        <v>42</v>
      </c>
      <c r="B227" s="27" t="s">
        <v>733</v>
      </c>
      <c r="C227" s="27" t="s">
        <v>734</v>
      </c>
      <c r="D227" s="27" t="s">
        <v>735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1.0</v>
      </c>
      <c r="K227" s="33" t="n">
        <f>8151</f>
        <v>8151.0</v>
      </c>
      <c r="L227" s="34" t="s">
        <v>48</v>
      </c>
      <c r="M227" s="33" t="n">
        <f>8151</f>
        <v>8151.0</v>
      </c>
      <c r="N227" s="34" t="s">
        <v>48</v>
      </c>
      <c r="O227" s="33" t="n">
        <f>7782</f>
        <v>7782.0</v>
      </c>
      <c r="P227" s="34" t="s">
        <v>68</v>
      </c>
      <c r="Q227" s="33" t="n">
        <f>7802</f>
        <v>7802.0</v>
      </c>
      <c r="R227" s="34" t="s">
        <v>50</v>
      </c>
      <c r="S227" s="35" t="n">
        <f>7923.37</f>
        <v>7923.37</v>
      </c>
      <c r="T227" s="32" t="n">
        <f>38063</f>
        <v>38063.0</v>
      </c>
      <c r="U227" s="32" t="n">
        <f>4200</f>
        <v>4200.0</v>
      </c>
      <c r="V227" s="32" t="n">
        <f>301083747</f>
        <v>3.01083747E8</v>
      </c>
      <c r="W227" s="32" t="n">
        <f>33261900</f>
        <v>3.32619E7</v>
      </c>
      <c r="X227" s="36" t="n">
        <f>19</f>
        <v>19.0</v>
      </c>
    </row>
    <row r="228">
      <c r="A228" s="27" t="s">
        <v>42</v>
      </c>
      <c r="B228" s="27" t="s">
        <v>736</v>
      </c>
      <c r="C228" s="27" t="s">
        <v>737</v>
      </c>
      <c r="D228" s="27" t="s">
        <v>738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14005</f>
        <v>14005.0</v>
      </c>
      <c r="L228" s="34" t="s">
        <v>48</v>
      </c>
      <c r="M228" s="33" t="n">
        <f>15270</f>
        <v>15270.0</v>
      </c>
      <c r="N228" s="34" t="s">
        <v>68</v>
      </c>
      <c r="O228" s="33" t="n">
        <f>14005</f>
        <v>14005.0</v>
      </c>
      <c r="P228" s="34" t="s">
        <v>48</v>
      </c>
      <c r="Q228" s="33" t="n">
        <f>15195</f>
        <v>15195.0</v>
      </c>
      <c r="R228" s="34" t="s">
        <v>50</v>
      </c>
      <c r="S228" s="35" t="n">
        <f>14783.16</f>
        <v>14783.16</v>
      </c>
      <c r="T228" s="32" t="n">
        <f>29370</f>
        <v>29370.0</v>
      </c>
      <c r="U228" s="32" t="str">
        <f>"－"</f>
        <v>－</v>
      </c>
      <c r="V228" s="32" t="n">
        <f>434205250</f>
        <v>4.3420525E8</v>
      </c>
      <c r="W228" s="32" t="str">
        <f>"－"</f>
        <v>－</v>
      </c>
      <c r="X228" s="36" t="n">
        <f>19</f>
        <v>19.0</v>
      </c>
    </row>
    <row r="229">
      <c r="A229" s="27" t="s">
        <v>42</v>
      </c>
      <c r="B229" s="27" t="s">
        <v>739</v>
      </c>
      <c r="C229" s="27" t="s">
        <v>740</v>
      </c>
      <c r="D229" s="27" t="s">
        <v>741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8201</f>
        <v>8201.0</v>
      </c>
      <c r="L229" s="34" t="s">
        <v>48</v>
      </c>
      <c r="M229" s="33" t="n">
        <f>8201</f>
        <v>8201.0</v>
      </c>
      <c r="N229" s="34" t="s">
        <v>48</v>
      </c>
      <c r="O229" s="33" t="n">
        <f>7833</f>
        <v>7833.0</v>
      </c>
      <c r="P229" s="34" t="s">
        <v>68</v>
      </c>
      <c r="Q229" s="33" t="n">
        <f>7853</f>
        <v>7853.0</v>
      </c>
      <c r="R229" s="34" t="s">
        <v>50</v>
      </c>
      <c r="S229" s="35" t="n">
        <f>7974.16</f>
        <v>7974.16</v>
      </c>
      <c r="T229" s="32" t="n">
        <f>111410</f>
        <v>111410.0</v>
      </c>
      <c r="U229" s="32" t="n">
        <f>105000</f>
        <v>105000.0</v>
      </c>
      <c r="V229" s="32" t="n">
        <f>884304380</f>
        <v>8.8430438E8</v>
      </c>
      <c r="W229" s="32" t="n">
        <f>833206500</f>
        <v>8.332065E8</v>
      </c>
      <c r="X229" s="36" t="n">
        <f>19</f>
        <v>19.0</v>
      </c>
    </row>
    <row r="230">
      <c r="A230" s="27" t="s">
        <v>42</v>
      </c>
      <c r="B230" s="27" t="s">
        <v>742</v>
      </c>
      <c r="C230" s="27" t="s">
        <v>743</v>
      </c>
      <c r="D230" s="27" t="s">
        <v>744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626</f>
        <v>626.0</v>
      </c>
      <c r="L230" s="34" t="s">
        <v>48</v>
      </c>
      <c r="M230" s="33" t="n">
        <f>656.9</f>
        <v>656.9</v>
      </c>
      <c r="N230" s="34" t="s">
        <v>68</v>
      </c>
      <c r="O230" s="33" t="n">
        <f>624.6</f>
        <v>624.6</v>
      </c>
      <c r="P230" s="34" t="s">
        <v>48</v>
      </c>
      <c r="Q230" s="33" t="n">
        <f>652.3</f>
        <v>652.3</v>
      </c>
      <c r="R230" s="34" t="s">
        <v>50</v>
      </c>
      <c r="S230" s="35" t="n">
        <f>643.99</f>
        <v>643.99</v>
      </c>
      <c r="T230" s="32" t="n">
        <f>3239810</f>
        <v>3239810.0</v>
      </c>
      <c r="U230" s="32" t="n">
        <f>2159100</f>
        <v>2159100.0</v>
      </c>
      <c r="V230" s="32" t="n">
        <f>2110384715</f>
        <v>2.110384715E9</v>
      </c>
      <c r="W230" s="32" t="n">
        <f>1415887360</f>
        <v>1.41588736E9</v>
      </c>
      <c r="X230" s="36" t="n">
        <f>19</f>
        <v>19.0</v>
      </c>
    </row>
    <row r="231">
      <c r="A231" s="27" t="s">
        <v>42</v>
      </c>
      <c r="B231" s="27" t="s">
        <v>745</v>
      </c>
      <c r="C231" s="27" t="s">
        <v>746</v>
      </c>
      <c r="D231" s="27" t="s">
        <v>747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550</f>
        <v>550.0</v>
      </c>
      <c r="L231" s="34" t="s">
        <v>48</v>
      </c>
      <c r="M231" s="33" t="n">
        <f>564.2</f>
        <v>564.2</v>
      </c>
      <c r="N231" s="34" t="s">
        <v>109</v>
      </c>
      <c r="O231" s="33" t="n">
        <f>543</f>
        <v>543.0</v>
      </c>
      <c r="P231" s="34" t="s">
        <v>60</v>
      </c>
      <c r="Q231" s="33" t="n">
        <f>560.1</f>
        <v>560.1</v>
      </c>
      <c r="R231" s="34" t="s">
        <v>50</v>
      </c>
      <c r="S231" s="35" t="n">
        <f>555.92</f>
        <v>555.92</v>
      </c>
      <c r="T231" s="32" t="n">
        <f>123240</f>
        <v>123240.0</v>
      </c>
      <c r="U231" s="32" t="str">
        <f>"－"</f>
        <v>－</v>
      </c>
      <c r="V231" s="32" t="n">
        <f>68623461</f>
        <v>6.8623461E7</v>
      </c>
      <c r="W231" s="32" t="str">
        <f>"－"</f>
        <v>－</v>
      </c>
      <c r="X231" s="36" t="n">
        <f>19</f>
        <v>19.0</v>
      </c>
    </row>
    <row r="232">
      <c r="A232" s="27" t="s">
        <v>42</v>
      </c>
      <c r="B232" s="27" t="s">
        <v>748</v>
      </c>
      <c r="C232" s="27" t="s">
        <v>749</v>
      </c>
      <c r="D232" s="27" t="s">
        <v>750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1505</f>
        <v>1505.0</v>
      </c>
      <c r="L232" s="34" t="s">
        <v>48</v>
      </c>
      <c r="M232" s="33" t="n">
        <f>1677</f>
        <v>1677.0</v>
      </c>
      <c r="N232" s="34" t="s">
        <v>49</v>
      </c>
      <c r="O232" s="33" t="n">
        <f>1501</f>
        <v>1501.0</v>
      </c>
      <c r="P232" s="34" t="s">
        <v>48</v>
      </c>
      <c r="Q232" s="33" t="n">
        <f>1654</f>
        <v>1654.0</v>
      </c>
      <c r="R232" s="34" t="s">
        <v>50</v>
      </c>
      <c r="S232" s="35" t="n">
        <f>1607.37</f>
        <v>1607.37</v>
      </c>
      <c r="T232" s="32" t="n">
        <f>10033123</f>
        <v>1.0033123E7</v>
      </c>
      <c r="U232" s="32" t="n">
        <f>2758845</f>
        <v>2758845.0</v>
      </c>
      <c r="V232" s="32" t="n">
        <f>16216336261</f>
        <v>1.6216336261E10</v>
      </c>
      <c r="W232" s="32" t="n">
        <f>4425934437</f>
        <v>4.425934437E9</v>
      </c>
      <c r="X232" s="36" t="n">
        <f>19</f>
        <v>19.0</v>
      </c>
    </row>
    <row r="233">
      <c r="A233" s="27" t="s">
        <v>42</v>
      </c>
      <c r="B233" s="27" t="s">
        <v>751</v>
      </c>
      <c r="C233" s="27" t="s">
        <v>752</v>
      </c>
      <c r="D233" s="27" t="s">
        <v>753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1662</f>
        <v>1662.0</v>
      </c>
      <c r="L233" s="34" t="s">
        <v>48</v>
      </c>
      <c r="M233" s="33" t="n">
        <f>1823</f>
        <v>1823.0</v>
      </c>
      <c r="N233" s="34" t="s">
        <v>70</v>
      </c>
      <c r="O233" s="33" t="n">
        <f>1660</f>
        <v>1660.0</v>
      </c>
      <c r="P233" s="34" t="s">
        <v>48</v>
      </c>
      <c r="Q233" s="33" t="n">
        <f>1806</f>
        <v>1806.0</v>
      </c>
      <c r="R233" s="34" t="s">
        <v>50</v>
      </c>
      <c r="S233" s="35" t="n">
        <f>1774.26</f>
        <v>1774.26</v>
      </c>
      <c r="T233" s="32" t="n">
        <f>9482216</f>
        <v>9482216.0</v>
      </c>
      <c r="U233" s="32" t="n">
        <f>292385</f>
        <v>292385.0</v>
      </c>
      <c r="V233" s="32" t="n">
        <f>16881868940</f>
        <v>1.688186894E10</v>
      </c>
      <c r="W233" s="32" t="n">
        <f>521338616</f>
        <v>5.21338616E8</v>
      </c>
      <c r="X233" s="36" t="n">
        <f>19</f>
        <v>19.0</v>
      </c>
    </row>
    <row r="234">
      <c r="A234" s="27" t="s">
        <v>42</v>
      </c>
      <c r="B234" s="27" t="s">
        <v>754</v>
      </c>
      <c r="C234" s="27" t="s">
        <v>755</v>
      </c>
      <c r="D234" s="27" t="s">
        <v>756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799.3</f>
        <v>799.3</v>
      </c>
      <c r="L234" s="34" t="s">
        <v>48</v>
      </c>
      <c r="M234" s="33" t="n">
        <f>862.4</f>
        <v>862.4</v>
      </c>
      <c r="N234" s="34" t="s">
        <v>61</v>
      </c>
      <c r="O234" s="33" t="n">
        <f>775.1</f>
        <v>775.1</v>
      </c>
      <c r="P234" s="34" t="s">
        <v>68</v>
      </c>
      <c r="Q234" s="33" t="n">
        <f>780.5</f>
        <v>780.5</v>
      </c>
      <c r="R234" s="34" t="s">
        <v>50</v>
      </c>
      <c r="S234" s="35" t="n">
        <f>788.46</f>
        <v>788.46</v>
      </c>
      <c r="T234" s="32" t="n">
        <f>89210</f>
        <v>89210.0</v>
      </c>
      <c r="U234" s="32" t="str">
        <f>"－"</f>
        <v>－</v>
      </c>
      <c r="V234" s="32" t="n">
        <f>70971883</f>
        <v>7.0971883E7</v>
      </c>
      <c r="W234" s="32" t="str">
        <f>"－"</f>
        <v>－</v>
      </c>
      <c r="X234" s="36" t="n">
        <f>16</f>
        <v>16.0</v>
      </c>
    </row>
    <row r="235">
      <c r="A235" s="27" t="s">
        <v>42</v>
      </c>
      <c r="B235" s="27" t="s">
        <v>757</v>
      </c>
      <c r="C235" s="27" t="s">
        <v>758</v>
      </c>
      <c r="D235" s="27" t="s">
        <v>759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833</f>
        <v>833.0</v>
      </c>
      <c r="L235" s="34" t="s">
        <v>81</v>
      </c>
      <c r="M235" s="33" t="n">
        <f>833</f>
        <v>833.0</v>
      </c>
      <c r="N235" s="34" t="s">
        <v>81</v>
      </c>
      <c r="O235" s="33" t="n">
        <f>787.4</f>
        <v>787.4</v>
      </c>
      <c r="P235" s="34" t="s">
        <v>109</v>
      </c>
      <c r="Q235" s="33" t="n">
        <f>792.5</f>
        <v>792.5</v>
      </c>
      <c r="R235" s="34" t="s">
        <v>68</v>
      </c>
      <c r="S235" s="35" t="n">
        <f>795.52</f>
        <v>795.52</v>
      </c>
      <c r="T235" s="32" t="n">
        <f>62530</f>
        <v>62530.0</v>
      </c>
      <c r="U235" s="32" t="str">
        <f>"－"</f>
        <v>－</v>
      </c>
      <c r="V235" s="32" t="n">
        <f>50283638</f>
        <v>5.0283638E7</v>
      </c>
      <c r="W235" s="32" t="str">
        <f>"－"</f>
        <v>－</v>
      </c>
      <c r="X235" s="36" t="n">
        <f>11</f>
        <v>11.0</v>
      </c>
    </row>
    <row r="236">
      <c r="A236" s="27" t="s">
        <v>42</v>
      </c>
      <c r="B236" s="27" t="s">
        <v>760</v>
      </c>
      <c r="C236" s="27" t="s">
        <v>761</v>
      </c>
      <c r="D236" s="27" t="s">
        <v>762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13395</f>
        <v>13395.0</v>
      </c>
      <c r="L236" s="34" t="s">
        <v>48</v>
      </c>
      <c r="M236" s="33" t="n">
        <f>14380</f>
        <v>14380.0</v>
      </c>
      <c r="N236" s="34" t="s">
        <v>68</v>
      </c>
      <c r="O236" s="33" t="n">
        <f>13365</f>
        <v>13365.0</v>
      </c>
      <c r="P236" s="34" t="s">
        <v>48</v>
      </c>
      <c r="Q236" s="33" t="n">
        <f>14275</f>
        <v>14275.0</v>
      </c>
      <c r="R236" s="34" t="s">
        <v>50</v>
      </c>
      <c r="S236" s="35" t="n">
        <f>14012.37</f>
        <v>14012.37</v>
      </c>
      <c r="T236" s="32" t="n">
        <f>293931</f>
        <v>293931.0</v>
      </c>
      <c r="U236" s="32" t="n">
        <f>66230</f>
        <v>66230.0</v>
      </c>
      <c r="V236" s="32" t="n">
        <f>4121751372</f>
        <v>4.121751372E9</v>
      </c>
      <c r="W236" s="32" t="n">
        <f>924391337</f>
        <v>9.24391337E8</v>
      </c>
      <c r="X236" s="36" t="n">
        <f>19</f>
        <v>19.0</v>
      </c>
    </row>
    <row r="237">
      <c r="A237" s="27" t="s">
        <v>42</v>
      </c>
      <c r="B237" s="27" t="s">
        <v>763</v>
      </c>
      <c r="C237" s="27" t="s">
        <v>764</v>
      </c>
      <c r="D237" s="27" t="s">
        <v>765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39050</f>
        <v>39050.0</v>
      </c>
      <c r="L237" s="34" t="s">
        <v>48</v>
      </c>
      <c r="M237" s="33" t="n">
        <f>40820</f>
        <v>40820.0</v>
      </c>
      <c r="N237" s="34" t="s">
        <v>68</v>
      </c>
      <c r="O237" s="33" t="n">
        <f>39030</f>
        <v>39030.0</v>
      </c>
      <c r="P237" s="34" t="s">
        <v>48</v>
      </c>
      <c r="Q237" s="33" t="n">
        <f>40720</f>
        <v>40720.0</v>
      </c>
      <c r="R237" s="34" t="s">
        <v>50</v>
      </c>
      <c r="S237" s="35" t="n">
        <f>40113.68</f>
        <v>40113.68</v>
      </c>
      <c r="T237" s="32" t="n">
        <f>74897</f>
        <v>74897.0</v>
      </c>
      <c r="U237" s="32" t="n">
        <f>54900</f>
        <v>54900.0</v>
      </c>
      <c r="V237" s="32" t="n">
        <f>2965078596</f>
        <v>2.965078596E9</v>
      </c>
      <c r="W237" s="32" t="n">
        <f>2169531286</f>
        <v>2.169531286E9</v>
      </c>
      <c r="X237" s="36" t="n">
        <f>19</f>
        <v>19.0</v>
      </c>
    </row>
    <row r="238">
      <c r="A238" s="27" t="s">
        <v>42</v>
      </c>
      <c r="B238" s="27" t="s">
        <v>766</v>
      </c>
      <c r="C238" s="27" t="s">
        <v>767</v>
      </c>
      <c r="D238" s="27" t="s">
        <v>768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24455</f>
        <v>24455.0</v>
      </c>
      <c r="L238" s="34" t="s">
        <v>48</v>
      </c>
      <c r="M238" s="33" t="n">
        <f>24460</f>
        <v>24460.0</v>
      </c>
      <c r="N238" s="34" t="s">
        <v>48</v>
      </c>
      <c r="O238" s="33" t="n">
        <f>22300</f>
        <v>22300.0</v>
      </c>
      <c r="P238" s="34" t="s">
        <v>68</v>
      </c>
      <c r="Q238" s="33" t="n">
        <f>22405</f>
        <v>22405.0</v>
      </c>
      <c r="R238" s="34" t="s">
        <v>50</v>
      </c>
      <c r="S238" s="35" t="n">
        <f>23110.26</f>
        <v>23110.26</v>
      </c>
      <c r="T238" s="32" t="n">
        <f>59196</f>
        <v>59196.0</v>
      </c>
      <c r="U238" s="32" t="str">
        <f>"－"</f>
        <v>－</v>
      </c>
      <c r="V238" s="32" t="n">
        <f>1372051015</f>
        <v>1.372051015E9</v>
      </c>
      <c r="W238" s="32" t="str">
        <f>"－"</f>
        <v>－</v>
      </c>
      <c r="X238" s="36" t="n">
        <f>19</f>
        <v>19.0</v>
      </c>
    </row>
    <row r="239">
      <c r="A239" s="27" t="s">
        <v>42</v>
      </c>
      <c r="B239" s="27" t="s">
        <v>769</v>
      </c>
      <c r="C239" s="27" t="s">
        <v>770</v>
      </c>
      <c r="D239" s="27" t="s">
        <v>771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10.0</v>
      </c>
      <c r="K239" s="33" t="n">
        <f>227</f>
        <v>227.0</v>
      </c>
      <c r="L239" s="34" t="s">
        <v>48</v>
      </c>
      <c r="M239" s="33" t="n">
        <f>238.7</f>
        <v>238.7</v>
      </c>
      <c r="N239" s="34" t="s">
        <v>49</v>
      </c>
      <c r="O239" s="33" t="n">
        <f>222.6</f>
        <v>222.6</v>
      </c>
      <c r="P239" s="34" t="s">
        <v>214</v>
      </c>
      <c r="Q239" s="33" t="n">
        <f>231.8</f>
        <v>231.8</v>
      </c>
      <c r="R239" s="34" t="s">
        <v>50</v>
      </c>
      <c r="S239" s="35" t="n">
        <f>227.02</f>
        <v>227.02</v>
      </c>
      <c r="T239" s="32" t="n">
        <f>36350</f>
        <v>36350.0</v>
      </c>
      <c r="U239" s="32" t="str">
        <f>"－"</f>
        <v>－</v>
      </c>
      <c r="V239" s="32" t="n">
        <f>8259535</f>
        <v>8259535.0</v>
      </c>
      <c r="W239" s="32" t="str">
        <f>"－"</f>
        <v>－</v>
      </c>
      <c r="X239" s="36" t="n">
        <f>19</f>
        <v>19.0</v>
      </c>
    </row>
    <row r="240">
      <c r="A240" s="27" t="s">
        <v>42</v>
      </c>
      <c r="B240" s="27" t="s">
        <v>772</v>
      </c>
      <c r="C240" s="27" t="s">
        <v>773</v>
      </c>
      <c r="D240" s="27" t="s">
        <v>774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753.7</f>
        <v>753.7</v>
      </c>
      <c r="L240" s="34" t="s">
        <v>48</v>
      </c>
      <c r="M240" s="33" t="n">
        <f>757.6</f>
        <v>757.6</v>
      </c>
      <c r="N240" s="34" t="s">
        <v>88</v>
      </c>
      <c r="O240" s="33" t="n">
        <f>746.4</f>
        <v>746.4</v>
      </c>
      <c r="P240" s="34" t="s">
        <v>81</v>
      </c>
      <c r="Q240" s="33" t="n">
        <f>753.2</f>
        <v>753.2</v>
      </c>
      <c r="R240" s="34" t="s">
        <v>50</v>
      </c>
      <c r="S240" s="35" t="n">
        <f>752.33</f>
        <v>752.33</v>
      </c>
      <c r="T240" s="32" t="n">
        <f>1598050</f>
        <v>1598050.0</v>
      </c>
      <c r="U240" s="32" t="n">
        <f>1266000</f>
        <v>1266000.0</v>
      </c>
      <c r="V240" s="32" t="n">
        <f>1201810775</f>
        <v>1.201810775E9</v>
      </c>
      <c r="W240" s="32" t="n">
        <f>952258100</f>
        <v>9.522581E8</v>
      </c>
      <c r="X240" s="36" t="n">
        <f>19</f>
        <v>19.0</v>
      </c>
    </row>
    <row r="241">
      <c r="A241" s="27" t="s">
        <v>42</v>
      </c>
      <c r="B241" s="27" t="s">
        <v>775</v>
      </c>
      <c r="C241" s="27" t="s">
        <v>776</v>
      </c>
      <c r="D241" s="27" t="s">
        <v>777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1050</f>
        <v>1050.0</v>
      </c>
      <c r="L241" s="34" t="s">
        <v>48</v>
      </c>
      <c r="M241" s="33" t="n">
        <f>1139</f>
        <v>1139.0</v>
      </c>
      <c r="N241" s="34" t="s">
        <v>68</v>
      </c>
      <c r="O241" s="33" t="n">
        <f>1048</f>
        <v>1048.0</v>
      </c>
      <c r="P241" s="34" t="s">
        <v>48</v>
      </c>
      <c r="Q241" s="33" t="n">
        <f>1133</f>
        <v>1133.0</v>
      </c>
      <c r="R241" s="34" t="s">
        <v>50</v>
      </c>
      <c r="S241" s="35" t="n">
        <f>1101</f>
        <v>1101.0</v>
      </c>
      <c r="T241" s="32" t="n">
        <f>343759</f>
        <v>343759.0</v>
      </c>
      <c r="U241" s="32" t="n">
        <f>1</f>
        <v>1.0</v>
      </c>
      <c r="V241" s="32" t="n">
        <f>376480645</f>
        <v>3.76480645E8</v>
      </c>
      <c r="W241" s="32" t="n">
        <f>1056</f>
        <v>1056.0</v>
      </c>
      <c r="X241" s="36" t="n">
        <f>19</f>
        <v>19.0</v>
      </c>
    </row>
    <row r="242">
      <c r="A242" s="27" t="s">
        <v>42</v>
      </c>
      <c r="B242" s="27" t="s">
        <v>778</v>
      </c>
      <c r="C242" s="27" t="s">
        <v>779</v>
      </c>
      <c r="D242" s="27" t="s">
        <v>780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1.0</v>
      </c>
      <c r="K242" s="33" t="n">
        <f>1070</f>
        <v>1070.0</v>
      </c>
      <c r="L242" s="34" t="s">
        <v>48</v>
      </c>
      <c r="M242" s="33" t="n">
        <f>1086</f>
        <v>1086.0</v>
      </c>
      <c r="N242" s="34" t="s">
        <v>68</v>
      </c>
      <c r="O242" s="33" t="n">
        <f>1039</f>
        <v>1039.0</v>
      </c>
      <c r="P242" s="34" t="s">
        <v>69</v>
      </c>
      <c r="Q242" s="33" t="n">
        <f>1077</f>
        <v>1077.0</v>
      </c>
      <c r="R242" s="34" t="s">
        <v>50</v>
      </c>
      <c r="S242" s="35" t="n">
        <f>1065.47</f>
        <v>1065.47</v>
      </c>
      <c r="T242" s="32" t="n">
        <f>201768</f>
        <v>201768.0</v>
      </c>
      <c r="U242" s="32" t="n">
        <f>2</f>
        <v>2.0</v>
      </c>
      <c r="V242" s="32" t="n">
        <f>214377615</f>
        <v>2.14377615E8</v>
      </c>
      <c r="W242" s="32" t="n">
        <f>2134</f>
        <v>2134.0</v>
      </c>
      <c r="X242" s="36" t="n">
        <f>19</f>
        <v>19.0</v>
      </c>
    </row>
    <row r="243">
      <c r="A243" s="27" t="s">
        <v>42</v>
      </c>
      <c r="B243" s="27" t="s">
        <v>781</v>
      </c>
      <c r="C243" s="27" t="s">
        <v>782</v>
      </c>
      <c r="D243" s="27" t="s">
        <v>783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1.0</v>
      </c>
      <c r="K243" s="33" t="n">
        <f>677</f>
        <v>677.0</v>
      </c>
      <c r="L243" s="34" t="s">
        <v>48</v>
      </c>
      <c r="M243" s="33" t="n">
        <f>772</f>
        <v>772.0</v>
      </c>
      <c r="N243" s="34" t="s">
        <v>70</v>
      </c>
      <c r="O243" s="33" t="n">
        <f>632</f>
        <v>632.0</v>
      </c>
      <c r="P243" s="34" t="s">
        <v>61</v>
      </c>
      <c r="Q243" s="33" t="n">
        <f>755</f>
        <v>755.0</v>
      </c>
      <c r="R243" s="34" t="s">
        <v>50</v>
      </c>
      <c r="S243" s="35" t="n">
        <f>716.47</f>
        <v>716.47</v>
      </c>
      <c r="T243" s="32" t="n">
        <f>998500</f>
        <v>998500.0</v>
      </c>
      <c r="U243" s="32" t="str">
        <f>"－"</f>
        <v>－</v>
      </c>
      <c r="V243" s="32" t="n">
        <f>704587037</f>
        <v>7.04587037E8</v>
      </c>
      <c r="W243" s="32" t="str">
        <f>"－"</f>
        <v>－</v>
      </c>
      <c r="X243" s="36" t="n">
        <f>19</f>
        <v>19.0</v>
      </c>
    </row>
    <row r="244">
      <c r="A244" s="27" t="s">
        <v>42</v>
      </c>
      <c r="B244" s="27" t="s">
        <v>784</v>
      </c>
      <c r="C244" s="27" t="s">
        <v>785</v>
      </c>
      <c r="D244" s="27" t="s">
        <v>786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214</f>
        <v>214.0</v>
      </c>
      <c r="L244" s="34" t="s">
        <v>48</v>
      </c>
      <c r="M244" s="33" t="n">
        <f>215.4</f>
        <v>215.4</v>
      </c>
      <c r="N244" s="34" t="s">
        <v>81</v>
      </c>
      <c r="O244" s="33" t="n">
        <f>208.2</f>
        <v>208.2</v>
      </c>
      <c r="P244" s="34" t="s">
        <v>109</v>
      </c>
      <c r="Q244" s="33" t="n">
        <f>210.4</f>
        <v>210.4</v>
      </c>
      <c r="R244" s="34" t="s">
        <v>50</v>
      </c>
      <c r="S244" s="35" t="n">
        <f>211.15</f>
        <v>211.15</v>
      </c>
      <c r="T244" s="32" t="n">
        <f>8851360</f>
        <v>8851360.0</v>
      </c>
      <c r="U244" s="32" t="n">
        <f>5950</f>
        <v>5950.0</v>
      </c>
      <c r="V244" s="32" t="n">
        <f>1870522110</f>
        <v>1.87052211E9</v>
      </c>
      <c r="W244" s="32" t="n">
        <f>1272031</f>
        <v>1272031.0</v>
      </c>
      <c r="X244" s="36" t="n">
        <f>19</f>
        <v>19.0</v>
      </c>
    </row>
    <row r="245">
      <c r="A245" s="27" t="s">
        <v>42</v>
      </c>
      <c r="B245" s="27" t="s">
        <v>787</v>
      </c>
      <c r="C245" s="27" t="s">
        <v>788</v>
      </c>
      <c r="D245" s="27" t="s">
        <v>789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213.8</f>
        <v>213.8</v>
      </c>
      <c r="L245" s="34" t="s">
        <v>48</v>
      </c>
      <c r="M245" s="33" t="n">
        <f>213.8</f>
        <v>213.8</v>
      </c>
      <c r="N245" s="34" t="s">
        <v>48</v>
      </c>
      <c r="O245" s="33" t="n">
        <f>204.6</f>
        <v>204.6</v>
      </c>
      <c r="P245" s="34" t="s">
        <v>48</v>
      </c>
      <c r="Q245" s="33" t="n">
        <f>205.8</f>
        <v>205.8</v>
      </c>
      <c r="R245" s="34" t="s">
        <v>50</v>
      </c>
      <c r="S245" s="35" t="n">
        <f>205.96</f>
        <v>205.96</v>
      </c>
      <c r="T245" s="32" t="n">
        <f>1065820</f>
        <v>1065820.0</v>
      </c>
      <c r="U245" s="32" t="n">
        <f>40</f>
        <v>40.0</v>
      </c>
      <c r="V245" s="32" t="n">
        <f>219706258</f>
        <v>2.19706258E8</v>
      </c>
      <c r="W245" s="32" t="n">
        <f>8264</f>
        <v>8264.0</v>
      </c>
      <c r="X245" s="36" t="n">
        <f>19</f>
        <v>19.0</v>
      </c>
    </row>
    <row r="246">
      <c r="A246" s="27" t="s">
        <v>42</v>
      </c>
      <c r="B246" s="27" t="s">
        <v>790</v>
      </c>
      <c r="C246" s="27" t="s">
        <v>791</v>
      </c>
      <c r="D246" s="27" t="s">
        <v>792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208.2</f>
        <v>208.2</v>
      </c>
      <c r="L246" s="34" t="s">
        <v>48</v>
      </c>
      <c r="M246" s="33" t="n">
        <f>209.2</f>
        <v>209.2</v>
      </c>
      <c r="N246" s="34" t="s">
        <v>70</v>
      </c>
      <c r="O246" s="33" t="n">
        <f>205</f>
        <v>205.0</v>
      </c>
      <c r="P246" s="34" t="s">
        <v>48</v>
      </c>
      <c r="Q246" s="33" t="n">
        <f>206.8</f>
        <v>206.8</v>
      </c>
      <c r="R246" s="34" t="s">
        <v>50</v>
      </c>
      <c r="S246" s="35" t="n">
        <f>206.92</f>
        <v>206.92</v>
      </c>
      <c r="T246" s="32" t="n">
        <f>307110</f>
        <v>307110.0</v>
      </c>
      <c r="U246" s="32" t="str">
        <f>"－"</f>
        <v>－</v>
      </c>
      <c r="V246" s="32" t="n">
        <f>63445762</f>
        <v>6.3445762E7</v>
      </c>
      <c r="W246" s="32" t="str">
        <f>"－"</f>
        <v>－</v>
      </c>
      <c r="X246" s="36" t="n">
        <f>19</f>
        <v>19.0</v>
      </c>
    </row>
    <row r="247">
      <c r="A247" s="27" t="s">
        <v>42</v>
      </c>
      <c r="B247" s="27" t="s">
        <v>793</v>
      </c>
      <c r="C247" s="27" t="s">
        <v>794</v>
      </c>
      <c r="D247" s="27" t="s">
        <v>795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206.2</f>
        <v>206.2</v>
      </c>
      <c r="L247" s="34" t="s">
        <v>48</v>
      </c>
      <c r="M247" s="33" t="n">
        <f>209.6</f>
        <v>209.6</v>
      </c>
      <c r="N247" s="34" t="s">
        <v>68</v>
      </c>
      <c r="O247" s="33" t="n">
        <f>203.1</f>
        <v>203.1</v>
      </c>
      <c r="P247" s="34" t="s">
        <v>81</v>
      </c>
      <c r="Q247" s="33" t="n">
        <f>208.2</f>
        <v>208.2</v>
      </c>
      <c r="R247" s="34" t="s">
        <v>50</v>
      </c>
      <c r="S247" s="35" t="n">
        <f>207.13</f>
        <v>207.13</v>
      </c>
      <c r="T247" s="32" t="n">
        <f>1306430</f>
        <v>1306430.0</v>
      </c>
      <c r="U247" s="32" t="n">
        <f>3330</f>
        <v>3330.0</v>
      </c>
      <c r="V247" s="32" t="n">
        <f>269427131</f>
        <v>2.69427131E8</v>
      </c>
      <c r="W247" s="32" t="n">
        <f>711213</f>
        <v>711213.0</v>
      </c>
      <c r="X247" s="36" t="n">
        <f>19</f>
        <v>19.0</v>
      </c>
    </row>
    <row r="248">
      <c r="A248" s="27" t="s">
        <v>42</v>
      </c>
      <c r="B248" s="27" t="s">
        <v>796</v>
      </c>
      <c r="C248" s="27" t="s">
        <v>797</v>
      </c>
      <c r="D248" s="27" t="s">
        <v>798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10.0</v>
      </c>
      <c r="K248" s="33" t="n">
        <f>207.2</f>
        <v>207.2</v>
      </c>
      <c r="L248" s="34" t="s">
        <v>48</v>
      </c>
      <c r="M248" s="33" t="n">
        <f>211.5</f>
        <v>211.5</v>
      </c>
      <c r="N248" s="34" t="s">
        <v>161</v>
      </c>
      <c r="O248" s="33" t="n">
        <f>200</f>
        <v>200.0</v>
      </c>
      <c r="P248" s="34" t="s">
        <v>214</v>
      </c>
      <c r="Q248" s="33" t="n">
        <f>202.6</f>
        <v>202.6</v>
      </c>
      <c r="R248" s="34" t="s">
        <v>50</v>
      </c>
      <c r="S248" s="35" t="n">
        <f>204.28</f>
        <v>204.28</v>
      </c>
      <c r="T248" s="32" t="n">
        <f>7877410</f>
        <v>7877410.0</v>
      </c>
      <c r="U248" s="32" t="n">
        <f>4752540</f>
        <v>4752540.0</v>
      </c>
      <c r="V248" s="32" t="n">
        <f>1609247353</f>
        <v>1.609247353E9</v>
      </c>
      <c r="W248" s="32" t="n">
        <f>971359911</f>
        <v>9.71359911E8</v>
      </c>
      <c r="X248" s="36" t="n">
        <f>17</f>
        <v>17.0</v>
      </c>
    </row>
    <row r="249">
      <c r="A249" s="27" t="s">
        <v>42</v>
      </c>
      <c r="B249" s="27" t="s">
        <v>799</v>
      </c>
      <c r="C249" s="27" t="s">
        <v>800</v>
      </c>
      <c r="D249" s="27" t="s">
        <v>801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929</f>
        <v>929.0</v>
      </c>
      <c r="L249" s="34" t="s">
        <v>48</v>
      </c>
      <c r="M249" s="33" t="n">
        <f>934.4</f>
        <v>934.4</v>
      </c>
      <c r="N249" s="34" t="s">
        <v>49</v>
      </c>
      <c r="O249" s="33" t="n">
        <f>924.7</f>
        <v>924.7</v>
      </c>
      <c r="P249" s="34" t="s">
        <v>88</v>
      </c>
      <c r="Q249" s="33" t="n">
        <f>931.6</f>
        <v>931.6</v>
      </c>
      <c r="R249" s="34" t="s">
        <v>50</v>
      </c>
      <c r="S249" s="35" t="n">
        <f>930.28</f>
        <v>930.28</v>
      </c>
      <c r="T249" s="32" t="n">
        <f>50586850</f>
        <v>5.058685E7</v>
      </c>
      <c r="U249" s="32" t="n">
        <f>48585530</f>
        <v>4.858553E7</v>
      </c>
      <c r="V249" s="32" t="n">
        <f>46964579069</f>
        <v>4.6964579069E10</v>
      </c>
      <c r="W249" s="32" t="n">
        <f>45102983458</f>
        <v>4.5102983458E10</v>
      </c>
      <c r="X249" s="36" t="n">
        <f>19</f>
        <v>19.0</v>
      </c>
    </row>
    <row r="250">
      <c r="A250" s="27" t="s">
        <v>42</v>
      </c>
      <c r="B250" s="27" t="s">
        <v>802</v>
      </c>
      <c r="C250" s="27" t="s">
        <v>803</v>
      </c>
      <c r="D250" s="27" t="s">
        <v>804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10.0</v>
      </c>
      <c r="K250" s="33" t="n">
        <f>1074</f>
        <v>1074.0</v>
      </c>
      <c r="L250" s="34" t="s">
        <v>48</v>
      </c>
      <c r="M250" s="33" t="n">
        <f>1087.5</f>
        <v>1087.5</v>
      </c>
      <c r="N250" s="34" t="s">
        <v>68</v>
      </c>
      <c r="O250" s="33" t="n">
        <f>1068</f>
        <v>1068.0</v>
      </c>
      <c r="P250" s="34" t="s">
        <v>74</v>
      </c>
      <c r="Q250" s="33" t="n">
        <f>1078</f>
        <v>1078.0</v>
      </c>
      <c r="R250" s="34" t="s">
        <v>50</v>
      </c>
      <c r="S250" s="35" t="n">
        <f>1078.76</f>
        <v>1078.76</v>
      </c>
      <c r="T250" s="32" t="n">
        <f>986820</f>
        <v>986820.0</v>
      </c>
      <c r="U250" s="32" t="n">
        <f>137250</f>
        <v>137250.0</v>
      </c>
      <c r="V250" s="32" t="n">
        <f>1064971142</f>
        <v>1.064971142E9</v>
      </c>
      <c r="W250" s="32" t="n">
        <f>148794157</f>
        <v>1.48794157E8</v>
      </c>
      <c r="X250" s="36" t="n">
        <f>19</f>
        <v>19.0</v>
      </c>
    </row>
    <row r="251">
      <c r="A251" s="27" t="s">
        <v>42</v>
      </c>
      <c r="B251" s="27" t="s">
        <v>805</v>
      </c>
      <c r="C251" s="27" t="s">
        <v>806</v>
      </c>
      <c r="D251" s="27" t="s">
        <v>807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10.0</v>
      </c>
      <c r="K251" s="33" t="n">
        <f>807.8</f>
        <v>807.8</v>
      </c>
      <c r="L251" s="34" t="s">
        <v>48</v>
      </c>
      <c r="M251" s="33" t="n">
        <f>808</f>
        <v>808.0</v>
      </c>
      <c r="N251" s="34" t="s">
        <v>81</v>
      </c>
      <c r="O251" s="33" t="n">
        <f>790</f>
        <v>790.0</v>
      </c>
      <c r="P251" s="34" t="s">
        <v>88</v>
      </c>
      <c r="Q251" s="33" t="n">
        <f>792</f>
        <v>792.0</v>
      </c>
      <c r="R251" s="34" t="s">
        <v>50</v>
      </c>
      <c r="S251" s="35" t="n">
        <f>796.22</f>
        <v>796.22</v>
      </c>
      <c r="T251" s="32" t="n">
        <f>3923880</f>
        <v>3923880.0</v>
      </c>
      <c r="U251" s="32" t="n">
        <f>3754810</f>
        <v>3754810.0</v>
      </c>
      <c r="V251" s="32" t="n">
        <f>3116560218</f>
        <v>3.116560218E9</v>
      </c>
      <c r="W251" s="32" t="n">
        <f>2981997608</f>
        <v>2.981997608E9</v>
      </c>
      <c r="X251" s="36" t="n">
        <f>19</f>
        <v>19.0</v>
      </c>
    </row>
    <row r="252">
      <c r="A252" s="27" t="s">
        <v>42</v>
      </c>
      <c r="B252" s="27" t="s">
        <v>808</v>
      </c>
      <c r="C252" s="27" t="s">
        <v>809</v>
      </c>
      <c r="D252" s="27" t="s">
        <v>810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10.0</v>
      </c>
      <c r="K252" s="33" t="n">
        <f>2152</f>
        <v>2152.0</v>
      </c>
      <c r="L252" s="34" t="s">
        <v>48</v>
      </c>
      <c r="M252" s="33" t="n">
        <f>2296.5</f>
        <v>2296.5</v>
      </c>
      <c r="N252" s="34" t="s">
        <v>68</v>
      </c>
      <c r="O252" s="33" t="n">
        <f>2147</f>
        <v>2147.0</v>
      </c>
      <c r="P252" s="34" t="s">
        <v>48</v>
      </c>
      <c r="Q252" s="33" t="n">
        <f>2282</f>
        <v>2282.0</v>
      </c>
      <c r="R252" s="34" t="s">
        <v>50</v>
      </c>
      <c r="S252" s="35" t="n">
        <f>2238.13</f>
        <v>2238.13</v>
      </c>
      <c r="T252" s="32" t="n">
        <f>1269040</f>
        <v>1269040.0</v>
      </c>
      <c r="U252" s="32" t="n">
        <f>982060</f>
        <v>982060.0</v>
      </c>
      <c r="V252" s="32" t="n">
        <f>2847898707</f>
        <v>2.847898707E9</v>
      </c>
      <c r="W252" s="32" t="n">
        <f>2206608082</f>
        <v>2.206608082E9</v>
      </c>
      <c r="X252" s="36" t="n">
        <f>19</f>
        <v>19.0</v>
      </c>
    </row>
    <row r="253">
      <c r="A253" s="27" t="s">
        <v>42</v>
      </c>
      <c r="B253" s="27" t="s">
        <v>811</v>
      </c>
      <c r="C253" s="27" t="s">
        <v>812</v>
      </c>
      <c r="D253" s="27" t="s">
        <v>813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10.0</v>
      </c>
      <c r="K253" s="33" t="n">
        <f>1471.5</f>
        <v>1471.5</v>
      </c>
      <c r="L253" s="34" t="s">
        <v>48</v>
      </c>
      <c r="M253" s="33" t="n">
        <f>1534</f>
        <v>1534.0</v>
      </c>
      <c r="N253" s="34" t="s">
        <v>50</v>
      </c>
      <c r="O253" s="33" t="n">
        <f>1471.5</f>
        <v>1471.5</v>
      </c>
      <c r="P253" s="34" t="s">
        <v>48</v>
      </c>
      <c r="Q253" s="33" t="n">
        <f>1528.5</f>
        <v>1528.5</v>
      </c>
      <c r="R253" s="34" t="s">
        <v>50</v>
      </c>
      <c r="S253" s="35" t="n">
        <f>1507.68</f>
        <v>1507.68</v>
      </c>
      <c r="T253" s="32" t="n">
        <f>82750</f>
        <v>82750.0</v>
      </c>
      <c r="U253" s="32" t="n">
        <f>16250</f>
        <v>16250.0</v>
      </c>
      <c r="V253" s="32" t="n">
        <f>124993208</f>
        <v>1.24993208E8</v>
      </c>
      <c r="W253" s="32" t="n">
        <f>24782373</f>
        <v>2.4782373E7</v>
      </c>
      <c r="X253" s="36" t="n">
        <f>19</f>
        <v>19.0</v>
      </c>
    </row>
    <row r="254">
      <c r="A254" s="27" t="s">
        <v>42</v>
      </c>
      <c r="B254" s="27" t="s">
        <v>814</v>
      </c>
      <c r="C254" s="27" t="s">
        <v>815</v>
      </c>
      <c r="D254" s="27" t="s">
        <v>816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10.0</v>
      </c>
      <c r="K254" s="33" t="n">
        <f>1290</f>
        <v>1290.0</v>
      </c>
      <c r="L254" s="34" t="s">
        <v>48</v>
      </c>
      <c r="M254" s="33" t="n">
        <f>1324.5</f>
        <v>1324.5</v>
      </c>
      <c r="N254" s="34" t="s">
        <v>109</v>
      </c>
      <c r="O254" s="33" t="n">
        <f>1265.5</f>
        <v>1265.5</v>
      </c>
      <c r="P254" s="34" t="s">
        <v>236</v>
      </c>
      <c r="Q254" s="33" t="n">
        <f>1311</f>
        <v>1311.0</v>
      </c>
      <c r="R254" s="34" t="s">
        <v>50</v>
      </c>
      <c r="S254" s="35" t="n">
        <f>1301.92</f>
        <v>1301.92</v>
      </c>
      <c r="T254" s="32" t="n">
        <f>891780</f>
        <v>891780.0</v>
      </c>
      <c r="U254" s="32" t="n">
        <f>189380</f>
        <v>189380.0</v>
      </c>
      <c r="V254" s="32" t="n">
        <f>1154362581</f>
        <v>1.154362581E9</v>
      </c>
      <c r="W254" s="32" t="n">
        <f>243741106</f>
        <v>2.43741106E8</v>
      </c>
      <c r="X254" s="36" t="n">
        <f>19</f>
        <v>19.0</v>
      </c>
    </row>
    <row r="255">
      <c r="A255" s="27" t="s">
        <v>42</v>
      </c>
      <c r="B255" s="27" t="s">
        <v>817</v>
      </c>
      <c r="C255" s="27" t="s">
        <v>818</v>
      </c>
      <c r="D255" s="27" t="s">
        <v>819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10.0</v>
      </c>
      <c r="K255" s="33" t="n">
        <f>550</f>
        <v>550.0</v>
      </c>
      <c r="L255" s="34" t="s">
        <v>48</v>
      </c>
      <c r="M255" s="33" t="n">
        <f>613.7</f>
        <v>613.7</v>
      </c>
      <c r="N255" s="34" t="s">
        <v>70</v>
      </c>
      <c r="O255" s="33" t="n">
        <f>546</f>
        <v>546.0</v>
      </c>
      <c r="P255" s="34" t="s">
        <v>48</v>
      </c>
      <c r="Q255" s="33" t="n">
        <f>603.5</f>
        <v>603.5</v>
      </c>
      <c r="R255" s="34" t="s">
        <v>50</v>
      </c>
      <c r="S255" s="35" t="n">
        <f>574.86</f>
        <v>574.86</v>
      </c>
      <c r="T255" s="32" t="n">
        <f>46388640</f>
        <v>4.638864E7</v>
      </c>
      <c r="U255" s="32" t="n">
        <f>1563290</f>
        <v>1563290.0</v>
      </c>
      <c r="V255" s="32" t="n">
        <f>26732542867</f>
        <v>2.6732542867E10</v>
      </c>
      <c r="W255" s="32" t="n">
        <f>884837937</f>
        <v>8.84837937E8</v>
      </c>
      <c r="X255" s="36" t="n">
        <f>19</f>
        <v>19.0</v>
      </c>
    </row>
    <row r="256">
      <c r="A256" s="27" t="s">
        <v>42</v>
      </c>
      <c r="B256" s="27" t="s">
        <v>820</v>
      </c>
      <c r="C256" s="27" t="s">
        <v>821</v>
      </c>
      <c r="D256" s="27" t="s">
        <v>822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1085</f>
        <v>1085.0</v>
      </c>
      <c r="L256" s="34" t="s">
        <v>48</v>
      </c>
      <c r="M256" s="33" t="n">
        <f>1094</f>
        <v>1094.0</v>
      </c>
      <c r="N256" s="34" t="s">
        <v>61</v>
      </c>
      <c r="O256" s="33" t="n">
        <f>1009.5</f>
        <v>1009.5</v>
      </c>
      <c r="P256" s="34" t="s">
        <v>109</v>
      </c>
      <c r="Q256" s="33" t="n">
        <f>1025</f>
        <v>1025.0</v>
      </c>
      <c r="R256" s="34" t="s">
        <v>50</v>
      </c>
      <c r="S256" s="35" t="n">
        <f>1047.32</f>
        <v>1047.32</v>
      </c>
      <c r="T256" s="32" t="n">
        <f>3684330</f>
        <v>3684330.0</v>
      </c>
      <c r="U256" s="32" t="n">
        <f>2867830</f>
        <v>2867830.0</v>
      </c>
      <c r="V256" s="32" t="n">
        <f>3859521560</f>
        <v>3.85952156E9</v>
      </c>
      <c r="W256" s="32" t="n">
        <f>2989021905</f>
        <v>2.989021905E9</v>
      </c>
      <c r="X256" s="36" t="n">
        <f>19</f>
        <v>19.0</v>
      </c>
    </row>
    <row r="257">
      <c r="A257" s="27" t="s">
        <v>42</v>
      </c>
      <c r="B257" s="27" t="s">
        <v>823</v>
      </c>
      <c r="C257" s="27" t="s">
        <v>824</v>
      </c>
      <c r="D257" s="27" t="s">
        <v>825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1404</f>
        <v>1404.0</v>
      </c>
      <c r="L257" s="34" t="s">
        <v>48</v>
      </c>
      <c r="M257" s="33" t="n">
        <f>1519</f>
        <v>1519.0</v>
      </c>
      <c r="N257" s="34" t="s">
        <v>49</v>
      </c>
      <c r="O257" s="33" t="n">
        <f>1396</f>
        <v>1396.0</v>
      </c>
      <c r="P257" s="34" t="s">
        <v>74</v>
      </c>
      <c r="Q257" s="33" t="n">
        <f>1492</f>
        <v>1492.0</v>
      </c>
      <c r="R257" s="34" t="s">
        <v>50</v>
      </c>
      <c r="S257" s="35" t="n">
        <f>1446.63</f>
        <v>1446.63</v>
      </c>
      <c r="T257" s="32" t="n">
        <f>7734</f>
        <v>7734.0</v>
      </c>
      <c r="U257" s="32" t="str">
        <f>"－"</f>
        <v>－</v>
      </c>
      <c r="V257" s="32" t="n">
        <f>11192763</f>
        <v>1.1192763E7</v>
      </c>
      <c r="W257" s="32" t="str">
        <f>"－"</f>
        <v>－</v>
      </c>
      <c r="X257" s="36" t="n">
        <f>19</f>
        <v>19.0</v>
      </c>
    </row>
    <row r="258">
      <c r="A258" s="27" t="s">
        <v>42</v>
      </c>
      <c r="B258" s="27" t="s">
        <v>826</v>
      </c>
      <c r="C258" s="27" t="s">
        <v>827</v>
      </c>
      <c r="D258" s="27" t="s">
        <v>828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1011</f>
        <v>1011.0</v>
      </c>
      <c r="L258" s="34" t="s">
        <v>48</v>
      </c>
      <c r="M258" s="33" t="n">
        <f>1045</f>
        <v>1045.0</v>
      </c>
      <c r="N258" s="34" t="s">
        <v>50</v>
      </c>
      <c r="O258" s="33" t="n">
        <f>1006.5</f>
        <v>1006.5</v>
      </c>
      <c r="P258" s="34" t="s">
        <v>48</v>
      </c>
      <c r="Q258" s="33" t="n">
        <f>1043.5</f>
        <v>1043.5</v>
      </c>
      <c r="R258" s="34" t="s">
        <v>50</v>
      </c>
      <c r="S258" s="35" t="n">
        <f>1028.32</f>
        <v>1028.32</v>
      </c>
      <c r="T258" s="32" t="n">
        <f>171420</f>
        <v>171420.0</v>
      </c>
      <c r="U258" s="32" t="n">
        <f>77450</f>
        <v>77450.0</v>
      </c>
      <c r="V258" s="32" t="n">
        <f>177254625</f>
        <v>1.77254625E8</v>
      </c>
      <c r="W258" s="32" t="n">
        <f>80593630</f>
        <v>8.059363E7</v>
      </c>
      <c r="X258" s="36" t="n">
        <f>19</f>
        <v>19.0</v>
      </c>
    </row>
    <row r="259">
      <c r="A259" s="27" t="s">
        <v>42</v>
      </c>
      <c r="B259" s="27" t="s">
        <v>829</v>
      </c>
      <c r="C259" s="27" t="s">
        <v>830</v>
      </c>
      <c r="D259" s="27" t="s">
        <v>831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1261</f>
        <v>1261.0</v>
      </c>
      <c r="L259" s="34" t="s">
        <v>48</v>
      </c>
      <c r="M259" s="33" t="n">
        <f>1360</f>
        <v>1360.0</v>
      </c>
      <c r="N259" s="34" t="s">
        <v>109</v>
      </c>
      <c r="O259" s="33" t="n">
        <f>1252</f>
        <v>1252.0</v>
      </c>
      <c r="P259" s="34" t="s">
        <v>48</v>
      </c>
      <c r="Q259" s="33" t="n">
        <f>1338</f>
        <v>1338.0</v>
      </c>
      <c r="R259" s="34" t="s">
        <v>50</v>
      </c>
      <c r="S259" s="35" t="n">
        <f>1314.97</f>
        <v>1314.97</v>
      </c>
      <c r="T259" s="32" t="n">
        <f>70140</f>
        <v>70140.0</v>
      </c>
      <c r="U259" s="32" t="str">
        <f>"－"</f>
        <v>－</v>
      </c>
      <c r="V259" s="32" t="n">
        <f>92624170</f>
        <v>9.262417E7</v>
      </c>
      <c r="W259" s="32" t="str">
        <f>"－"</f>
        <v>－</v>
      </c>
      <c r="X259" s="36" t="n">
        <f>19</f>
        <v>19.0</v>
      </c>
    </row>
    <row r="260">
      <c r="A260" s="27" t="s">
        <v>42</v>
      </c>
      <c r="B260" s="27" t="s">
        <v>832</v>
      </c>
      <c r="C260" s="27" t="s">
        <v>833</v>
      </c>
      <c r="D260" s="27" t="s">
        <v>834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10.0</v>
      </c>
      <c r="K260" s="33" t="n">
        <f>1529.5</f>
        <v>1529.5</v>
      </c>
      <c r="L260" s="34" t="s">
        <v>48</v>
      </c>
      <c r="M260" s="33" t="n">
        <f>1600</f>
        <v>1600.0</v>
      </c>
      <c r="N260" s="34" t="s">
        <v>68</v>
      </c>
      <c r="O260" s="33" t="n">
        <f>1529</f>
        <v>1529.0</v>
      </c>
      <c r="P260" s="34" t="s">
        <v>48</v>
      </c>
      <c r="Q260" s="33" t="n">
        <f>1594.5</f>
        <v>1594.5</v>
      </c>
      <c r="R260" s="34" t="s">
        <v>50</v>
      </c>
      <c r="S260" s="35" t="n">
        <f>1571.95</f>
        <v>1571.95</v>
      </c>
      <c r="T260" s="32" t="n">
        <f>3769120</f>
        <v>3769120.0</v>
      </c>
      <c r="U260" s="32" t="n">
        <f>978840</f>
        <v>978840.0</v>
      </c>
      <c r="V260" s="32" t="n">
        <f>5918432533</f>
        <v>5.918432533E9</v>
      </c>
      <c r="W260" s="32" t="n">
        <f>1551164668</f>
        <v>1.551164668E9</v>
      </c>
      <c r="X260" s="36" t="n">
        <f>19</f>
        <v>19.0</v>
      </c>
    </row>
    <row r="261">
      <c r="A261" s="27" t="s">
        <v>42</v>
      </c>
      <c r="B261" s="27" t="s">
        <v>835</v>
      </c>
      <c r="C261" s="27" t="s">
        <v>836</v>
      </c>
      <c r="D261" s="27" t="s">
        <v>837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5060</f>
        <v>5060.0</v>
      </c>
      <c r="L261" s="34" t="s">
        <v>48</v>
      </c>
      <c r="M261" s="33" t="n">
        <f>5390</f>
        <v>5390.0</v>
      </c>
      <c r="N261" s="34" t="s">
        <v>70</v>
      </c>
      <c r="O261" s="33" t="n">
        <f>5020</f>
        <v>5020.0</v>
      </c>
      <c r="P261" s="34" t="s">
        <v>48</v>
      </c>
      <c r="Q261" s="33" t="n">
        <f>5330</f>
        <v>5330.0</v>
      </c>
      <c r="R261" s="34" t="s">
        <v>50</v>
      </c>
      <c r="S261" s="35" t="n">
        <f>5225.26</f>
        <v>5225.26</v>
      </c>
      <c r="T261" s="32" t="n">
        <f>60309</f>
        <v>60309.0</v>
      </c>
      <c r="U261" s="32" t="str">
        <f>"－"</f>
        <v>－</v>
      </c>
      <c r="V261" s="32" t="n">
        <f>314692690</f>
        <v>3.1469269E8</v>
      </c>
      <c r="W261" s="32" t="str">
        <f>"－"</f>
        <v>－</v>
      </c>
      <c r="X261" s="36" t="n">
        <f>19</f>
        <v>19.0</v>
      </c>
    </row>
    <row r="262">
      <c r="A262" s="27" t="s">
        <v>42</v>
      </c>
      <c r="B262" s="27" t="s">
        <v>838</v>
      </c>
      <c r="C262" s="27" t="s">
        <v>839</v>
      </c>
      <c r="D262" s="27" t="s">
        <v>840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10.0</v>
      </c>
      <c r="K262" s="33" t="n">
        <f>2036</f>
        <v>2036.0</v>
      </c>
      <c r="L262" s="34" t="s">
        <v>81</v>
      </c>
      <c r="M262" s="33" t="n">
        <f>2285</f>
        <v>2285.0</v>
      </c>
      <c r="N262" s="34" t="s">
        <v>109</v>
      </c>
      <c r="O262" s="33" t="n">
        <f>1962</f>
        <v>1962.0</v>
      </c>
      <c r="P262" s="34" t="s">
        <v>69</v>
      </c>
      <c r="Q262" s="33" t="n">
        <f>2119</f>
        <v>2119.0</v>
      </c>
      <c r="R262" s="34" t="s">
        <v>50</v>
      </c>
      <c r="S262" s="35" t="n">
        <f>2103</f>
        <v>2103.0</v>
      </c>
      <c r="T262" s="32" t="n">
        <f>10710</f>
        <v>10710.0</v>
      </c>
      <c r="U262" s="32" t="str">
        <f>"－"</f>
        <v>－</v>
      </c>
      <c r="V262" s="32" t="n">
        <f>23879690</f>
        <v>2.387969E7</v>
      </c>
      <c r="W262" s="32" t="str">
        <f>"－"</f>
        <v>－</v>
      </c>
      <c r="X262" s="36" t="n">
        <f>11</f>
        <v>11.0</v>
      </c>
    </row>
    <row r="263">
      <c r="A263" s="27" t="s">
        <v>42</v>
      </c>
      <c r="B263" s="27" t="s">
        <v>841</v>
      </c>
      <c r="C263" s="27" t="s">
        <v>842</v>
      </c>
      <c r="D263" s="27" t="s">
        <v>843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10.0</v>
      </c>
      <c r="K263" s="33" t="n">
        <f>2618.5</f>
        <v>2618.5</v>
      </c>
      <c r="L263" s="34" t="s">
        <v>48</v>
      </c>
      <c r="M263" s="33" t="n">
        <f>3049</f>
        <v>3049.0</v>
      </c>
      <c r="N263" s="34" t="s">
        <v>92</v>
      </c>
      <c r="O263" s="33" t="n">
        <f>2609</f>
        <v>2609.0</v>
      </c>
      <c r="P263" s="34" t="s">
        <v>48</v>
      </c>
      <c r="Q263" s="33" t="n">
        <f>2736.5</f>
        <v>2736.5</v>
      </c>
      <c r="R263" s="34" t="s">
        <v>50</v>
      </c>
      <c r="S263" s="35" t="n">
        <f>2681.69</f>
        <v>2681.69</v>
      </c>
      <c r="T263" s="32" t="n">
        <f>2086030</f>
        <v>2086030.0</v>
      </c>
      <c r="U263" s="32" t="n">
        <f>1896050</f>
        <v>1896050.0</v>
      </c>
      <c r="V263" s="32" t="n">
        <f>5657044648</f>
        <v>5.657044648E9</v>
      </c>
      <c r="W263" s="32" t="n">
        <f>5145788388</f>
        <v>5.145788388E9</v>
      </c>
      <c r="X263" s="36" t="n">
        <f>18</f>
        <v>18.0</v>
      </c>
    </row>
    <row r="264">
      <c r="A264" s="27" t="s">
        <v>42</v>
      </c>
      <c r="B264" s="27" t="s">
        <v>844</v>
      </c>
      <c r="C264" s="27" t="s">
        <v>845</v>
      </c>
      <c r="D264" s="27" t="s">
        <v>846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36690</f>
        <v>36690.0</v>
      </c>
      <c r="L264" s="34" t="s">
        <v>48</v>
      </c>
      <c r="M264" s="33" t="n">
        <f>39860</f>
        <v>39860.0</v>
      </c>
      <c r="N264" s="34" t="s">
        <v>49</v>
      </c>
      <c r="O264" s="33" t="n">
        <f>36640</f>
        <v>36640.0</v>
      </c>
      <c r="P264" s="34" t="s">
        <v>48</v>
      </c>
      <c r="Q264" s="33" t="n">
        <f>39590</f>
        <v>39590.0</v>
      </c>
      <c r="R264" s="34" t="s">
        <v>50</v>
      </c>
      <c r="S264" s="35" t="n">
        <f>38317.37</f>
        <v>38317.37</v>
      </c>
      <c r="T264" s="32" t="n">
        <f>73677</f>
        <v>73677.0</v>
      </c>
      <c r="U264" s="32" t="n">
        <f>30620</f>
        <v>30620.0</v>
      </c>
      <c r="V264" s="32" t="n">
        <f>2844978976</f>
        <v>2.844978976E9</v>
      </c>
      <c r="W264" s="32" t="n">
        <f>1185879746</f>
        <v>1.185879746E9</v>
      </c>
      <c r="X264" s="36" t="n">
        <f>19</f>
        <v>19.0</v>
      </c>
    </row>
    <row r="265">
      <c r="A265" s="27" t="s">
        <v>42</v>
      </c>
      <c r="B265" s="27" t="s">
        <v>847</v>
      </c>
      <c r="C265" s="27" t="s">
        <v>848</v>
      </c>
      <c r="D265" s="27" t="s">
        <v>849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23500</f>
        <v>23500.0</v>
      </c>
      <c r="L265" s="34" t="s">
        <v>48</v>
      </c>
      <c r="M265" s="33" t="n">
        <f>24560</f>
        <v>24560.0</v>
      </c>
      <c r="N265" s="34" t="s">
        <v>210</v>
      </c>
      <c r="O265" s="33" t="n">
        <f>23450</f>
        <v>23450.0</v>
      </c>
      <c r="P265" s="34" t="s">
        <v>74</v>
      </c>
      <c r="Q265" s="33" t="n">
        <f>24295</f>
        <v>24295.0</v>
      </c>
      <c r="R265" s="34" t="s">
        <v>50</v>
      </c>
      <c r="S265" s="35" t="n">
        <f>23923.57</f>
        <v>23923.57</v>
      </c>
      <c r="T265" s="32" t="n">
        <f>43022</f>
        <v>43022.0</v>
      </c>
      <c r="U265" s="32" t="n">
        <f>27000</f>
        <v>27000.0</v>
      </c>
      <c r="V265" s="32" t="n">
        <f>1037981449</f>
        <v>1.037981449E9</v>
      </c>
      <c r="W265" s="32" t="n">
        <f>656369274</f>
        <v>6.56369274E8</v>
      </c>
      <c r="X265" s="36" t="n">
        <f>14</f>
        <v>14.0</v>
      </c>
    </row>
    <row r="266">
      <c r="A266" s="27" t="s">
        <v>42</v>
      </c>
      <c r="B266" s="27" t="s">
        <v>850</v>
      </c>
      <c r="C266" s="27" t="s">
        <v>851</v>
      </c>
      <c r="D266" s="27" t="s">
        <v>852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10.0</v>
      </c>
      <c r="K266" s="33" t="n">
        <f>1075.5</f>
        <v>1075.5</v>
      </c>
      <c r="L266" s="34" t="s">
        <v>48</v>
      </c>
      <c r="M266" s="33" t="n">
        <f>1086.5</f>
        <v>1086.5</v>
      </c>
      <c r="N266" s="34" t="s">
        <v>61</v>
      </c>
      <c r="O266" s="33" t="n">
        <f>1015.5</f>
        <v>1015.5</v>
      </c>
      <c r="P266" s="34" t="s">
        <v>109</v>
      </c>
      <c r="Q266" s="33" t="n">
        <f>1034.5</f>
        <v>1034.5</v>
      </c>
      <c r="R266" s="34" t="s">
        <v>50</v>
      </c>
      <c r="S266" s="35" t="n">
        <f>1048.35</f>
        <v>1048.35</v>
      </c>
      <c r="T266" s="32" t="n">
        <f>315370</f>
        <v>315370.0</v>
      </c>
      <c r="U266" s="32" t="n">
        <f>70000</f>
        <v>70000.0</v>
      </c>
      <c r="V266" s="32" t="n">
        <f>331145836</f>
        <v>3.31145836E8</v>
      </c>
      <c r="W266" s="32" t="n">
        <f>73601871</f>
        <v>7.3601871E7</v>
      </c>
      <c r="X266" s="36" t="n">
        <f>17</f>
        <v>17.0</v>
      </c>
    </row>
    <row r="267">
      <c r="A267" s="27" t="s">
        <v>42</v>
      </c>
      <c r="B267" s="27" t="s">
        <v>853</v>
      </c>
      <c r="C267" s="27" t="s">
        <v>854</v>
      </c>
      <c r="D267" s="27" t="s">
        <v>855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10.0</v>
      </c>
      <c r="K267" s="33" t="n">
        <f>1081</f>
        <v>1081.0</v>
      </c>
      <c r="L267" s="34" t="s">
        <v>48</v>
      </c>
      <c r="M267" s="33" t="n">
        <f>1090</f>
        <v>1090.0</v>
      </c>
      <c r="N267" s="34" t="s">
        <v>61</v>
      </c>
      <c r="O267" s="33" t="n">
        <f>1019</f>
        <v>1019.0</v>
      </c>
      <c r="P267" s="34" t="s">
        <v>109</v>
      </c>
      <c r="Q267" s="33" t="n">
        <f>1034</f>
        <v>1034.0</v>
      </c>
      <c r="R267" s="34" t="s">
        <v>50</v>
      </c>
      <c r="S267" s="35" t="n">
        <f>1052.74</f>
        <v>1052.74</v>
      </c>
      <c r="T267" s="32" t="n">
        <f>404540</f>
        <v>404540.0</v>
      </c>
      <c r="U267" s="32" t="n">
        <f>190250</f>
        <v>190250.0</v>
      </c>
      <c r="V267" s="32" t="n">
        <f>425467888</f>
        <v>4.25467888E8</v>
      </c>
      <c r="W267" s="32" t="n">
        <f>199818698</f>
        <v>1.99818698E8</v>
      </c>
      <c r="X267" s="36" t="n">
        <f>19</f>
        <v>19.0</v>
      </c>
    </row>
    <row r="268">
      <c r="A268" s="27" t="s">
        <v>42</v>
      </c>
      <c r="B268" s="27" t="s">
        <v>856</v>
      </c>
      <c r="C268" s="27" t="s">
        <v>857</v>
      </c>
      <c r="D268" s="27" t="s">
        <v>858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1630</f>
        <v>1630.0</v>
      </c>
      <c r="L268" s="34" t="s">
        <v>48</v>
      </c>
      <c r="M268" s="33" t="n">
        <f>1673</f>
        <v>1673.0</v>
      </c>
      <c r="N268" s="34" t="s">
        <v>68</v>
      </c>
      <c r="O268" s="33" t="n">
        <f>1600</f>
        <v>1600.0</v>
      </c>
      <c r="P268" s="34" t="s">
        <v>74</v>
      </c>
      <c r="Q268" s="33" t="n">
        <f>1651</f>
        <v>1651.0</v>
      </c>
      <c r="R268" s="34" t="s">
        <v>50</v>
      </c>
      <c r="S268" s="35" t="n">
        <f>1634.79</f>
        <v>1634.79</v>
      </c>
      <c r="T268" s="32" t="n">
        <f>341006</f>
        <v>341006.0</v>
      </c>
      <c r="U268" s="32" t="n">
        <f>153</f>
        <v>153.0</v>
      </c>
      <c r="V268" s="32" t="n">
        <f>557637112</f>
        <v>5.57637112E8</v>
      </c>
      <c r="W268" s="32" t="n">
        <f>235926</f>
        <v>235926.0</v>
      </c>
      <c r="X268" s="36" t="n">
        <f>19</f>
        <v>19.0</v>
      </c>
    </row>
    <row r="269">
      <c r="A269" s="27" t="s">
        <v>42</v>
      </c>
      <c r="B269" s="27" t="s">
        <v>859</v>
      </c>
      <c r="C269" s="27" t="s">
        <v>860</v>
      </c>
      <c r="D269" s="27" t="s">
        <v>861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12030</f>
        <v>12030.0</v>
      </c>
      <c r="L269" s="34" t="s">
        <v>48</v>
      </c>
      <c r="M269" s="33" t="n">
        <f>13200</f>
        <v>13200.0</v>
      </c>
      <c r="N269" s="34" t="s">
        <v>68</v>
      </c>
      <c r="O269" s="33" t="n">
        <f>11980</f>
        <v>11980.0</v>
      </c>
      <c r="P269" s="34" t="s">
        <v>214</v>
      </c>
      <c r="Q269" s="33" t="n">
        <f>12910</f>
        <v>12910.0</v>
      </c>
      <c r="R269" s="34" t="s">
        <v>50</v>
      </c>
      <c r="S269" s="35" t="n">
        <f>12538.68</f>
        <v>12538.68</v>
      </c>
      <c r="T269" s="32" t="n">
        <f>3381</f>
        <v>3381.0</v>
      </c>
      <c r="U269" s="32" t="str">
        <f>"－"</f>
        <v>－</v>
      </c>
      <c r="V269" s="32" t="n">
        <f>41878805</f>
        <v>4.1878805E7</v>
      </c>
      <c r="W269" s="32" t="str">
        <f>"－"</f>
        <v>－</v>
      </c>
      <c r="X269" s="36" t="n">
        <f>19</f>
        <v>19.0</v>
      </c>
    </row>
    <row r="270">
      <c r="A270" s="27" t="s">
        <v>42</v>
      </c>
      <c r="B270" s="27" t="s">
        <v>862</v>
      </c>
      <c r="C270" s="27" t="s">
        <v>863</v>
      </c>
      <c r="D270" s="27" t="s">
        <v>864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1940</f>
        <v>1940.0</v>
      </c>
      <c r="L270" s="34" t="s">
        <v>48</v>
      </c>
      <c r="M270" s="33" t="n">
        <f>1953</f>
        <v>1953.0</v>
      </c>
      <c r="N270" s="34" t="s">
        <v>61</v>
      </c>
      <c r="O270" s="33" t="n">
        <f>1804</f>
        <v>1804.0</v>
      </c>
      <c r="P270" s="34" t="s">
        <v>109</v>
      </c>
      <c r="Q270" s="33" t="n">
        <f>1836</f>
        <v>1836.0</v>
      </c>
      <c r="R270" s="34" t="s">
        <v>50</v>
      </c>
      <c r="S270" s="35" t="n">
        <f>1871.84</f>
        <v>1871.84</v>
      </c>
      <c r="T270" s="32" t="n">
        <f>91945</f>
        <v>91945.0</v>
      </c>
      <c r="U270" s="32" t="str">
        <f>"－"</f>
        <v>－</v>
      </c>
      <c r="V270" s="32" t="n">
        <f>171034358</f>
        <v>1.71034358E8</v>
      </c>
      <c r="W270" s="32" t="str">
        <f>"－"</f>
        <v>－</v>
      </c>
      <c r="X270" s="36" t="n">
        <f>19</f>
        <v>19.0</v>
      </c>
    </row>
    <row r="271">
      <c r="A271" s="27" t="s">
        <v>42</v>
      </c>
      <c r="B271" s="27" t="s">
        <v>865</v>
      </c>
      <c r="C271" s="27" t="s">
        <v>866</v>
      </c>
      <c r="D271" s="27" t="s">
        <v>867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10.0</v>
      </c>
      <c r="K271" s="33" t="n">
        <f>1354.5</f>
        <v>1354.5</v>
      </c>
      <c r="L271" s="34" t="s">
        <v>48</v>
      </c>
      <c r="M271" s="33" t="n">
        <f>1568</f>
        <v>1568.0</v>
      </c>
      <c r="N271" s="34" t="s">
        <v>236</v>
      </c>
      <c r="O271" s="33" t="n">
        <f>1318</f>
        <v>1318.0</v>
      </c>
      <c r="P271" s="34" t="s">
        <v>236</v>
      </c>
      <c r="Q271" s="33" t="n">
        <f>1483.5</f>
        <v>1483.5</v>
      </c>
      <c r="R271" s="34" t="s">
        <v>50</v>
      </c>
      <c r="S271" s="35" t="n">
        <f>1425.42</f>
        <v>1425.42</v>
      </c>
      <c r="T271" s="32" t="n">
        <f>5070</f>
        <v>5070.0</v>
      </c>
      <c r="U271" s="32" t="str">
        <f>"－"</f>
        <v>－</v>
      </c>
      <c r="V271" s="32" t="n">
        <f>7356735</f>
        <v>7356735.0</v>
      </c>
      <c r="W271" s="32" t="str">
        <f>"－"</f>
        <v>－</v>
      </c>
      <c r="X271" s="36" t="n">
        <f>18</f>
        <v>18.0</v>
      </c>
    </row>
    <row r="272">
      <c r="A272" s="27" t="s">
        <v>42</v>
      </c>
      <c r="B272" s="27" t="s">
        <v>868</v>
      </c>
      <c r="C272" s="27" t="s">
        <v>869</v>
      </c>
      <c r="D272" s="27" t="s">
        <v>870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10.0</v>
      </c>
      <c r="K272" s="33" t="n">
        <f>823.7</f>
        <v>823.7</v>
      </c>
      <c r="L272" s="34" t="s">
        <v>48</v>
      </c>
      <c r="M272" s="33" t="n">
        <f>826.5</f>
        <v>826.5</v>
      </c>
      <c r="N272" s="34" t="s">
        <v>81</v>
      </c>
      <c r="O272" s="33" t="n">
        <f>809.2</f>
        <v>809.2</v>
      </c>
      <c r="P272" s="34" t="s">
        <v>88</v>
      </c>
      <c r="Q272" s="33" t="n">
        <f>811</f>
        <v>811.0</v>
      </c>
      <c r="R272" s="34" t="s">
        <v>50</v>
      </c>
      <c r="S272" s="35" t="n">
        <f>814.98</f>
        <v>814.98</v>
      </c>
      <c r="T272" s="32" t="n">
        <f>1046850</f>
        <v>1046850.0</v>
      </c>
      <c r="U272" s="32" t="n">
        <f>621190</f>
        <v>621190.0</v>
      </c>
      <c r="V272" s="32" t="n">
        <f>853120865</f>
        <v>8.53120865E8</v>
      </c>
      <c r="W272" s="32" t="n">
        <f>506165186</f>
        <v>5.06165186E8</v>
      </c>
      <c r="X272" s="36" t="n">
        <f>19</f>
        <v>19.0</v>
      </c>
    </row>
    <row r="273">
      <c r="A273" s="27" t="s">
        <v>42</v>
      </c>
      <c r="B273" s="27" t="s">
        <v>871</v>
      </c>
      <c r="C273" s="27" t="s">
        <v>872</v>
      </c>
      <c r="D273" s="27" t="s">
        <v>873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10.0</v>
      </c>
      <c r="K273" s="33" t="n">
        <f>1863.5</f>
        <v>1863.5</v>
      </c>
      <c r="L273" s="34" t="s">
        <v>48</v>
      </c>
      <c r="M273" s="33" t="n">
        <f>1864.5</f>
        <v>1864.5</v>
      </c>
      <c r="N273" s="34" t="s">
        <v>236</v>
      </c>
      <c r="O273" s="33" t="n">
        <f>1728</f>
        <v>1728.0</v>
      </c>
      <c r="P273" s="34" t="s">
        <v>109</v>
      </c>
      <c r="Q273" s="33" t="n">
        <f>1755</f>
        <v>1755.0</v>
      </c>
      <c r="R273" s="34" t="s">
        <v>50</v>
      </c>
      <c r="S273" s="35" t="n">
        <f>1786.79</f>
        <v>1786.79</v>
      </c>
      <c r="T273" s="32" t="n">
        <f>531510</f>
        <v>531510.0</v>
      </c>
      <c r="U273" s="32" t="n">
        <f>369060</f>
        <v>369060.0</v>
      </c>
      <c r="V273" s="32" t="n">
        <f>946627440</f>
        <v>9.4662744E8</v>
      </c>
      <c r="W273" s="32" t="n">
        <f>658409040</f>
        <v>6.5840904E8</v>
      </c>
      <c r="X273" s="36" t="n">
        <f>19</f>
        <v>19.0</v>
      </c>
    </row>
    <row r="274">
      <c r="A274" s="27" t="s">
        <v>42</v>
      </c>
      <c r="B274" s="27" t="s">
        <v>874</v>
      </c>
      <c r="C274" s="27" t="s">
        <v>875</v>
      </c>
      <c r="D274" s="27" t="s">
        <v>876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10.0</v>
      </c>
      <c r="K274" s="33" t="n">
        <f>1843</f>
        <v>1843.0</v>
      </c>
      <c r="L274" s="34" t="s">
        <v>48</v>
      </c>
      <c r="M274" s="33" t="n">
        <f>1851.5</f>
        <v>1851.5</v>
      </c>
      <c r="N274" s="34" t="s">
        <v>61</v>
      </c>
      <c r="O274" s="33" t="n">
        <f>1723.5</f>
        <v>1723.5</v>
      </c>
      <c r="P274" s="34" t="s">
        <v>109</v>
      </c>
      <c r="Q274" s="33" t="n">
        <f>1755.5</f>
        <v>1755.5</v>
      </c>
      <c r="R274" s="34" t="s">
        <v>50</v>
      </c>
      <c r="S274" s="35" t="n">
        <f>1788.39</f>
        <v>1788.39</v>
      </c>
      <c r="T274" s="32" t="n">
        <f>3098100</f>
        <v>3098100.0</v>
      </c>
      <c r="U274" s="32" t="n">
        <f>1619770</f>
        <v>1619770.0</v>
      </c>
      <c r="V274" s="32" t="n">
        <f>5545660478</f>
        <v>5.545660478E9</v>
      </c>
      <c r="W274" s="32" t="n">
        <f>2911666618</f>
        <v>2.911666618E9</v>
      </c>
      <c r="X274" s="36" t="n">
        <f>19</f>
        <v>19.0</v>
      </c>
    </row>
    <row r="275">
      <c r="A275" s="27" t="s">
        <v>42</v>
      </c>
      <c r="B275" s="27" t="s">
        <v>877</v>
      </c>
      <c r="C275" s="27" t="s">
        <v>878</v>
      </c>
      <c r="D275" s="27" t="s">
        <v>879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10.0</v>
      </c>
      <c r="K275" s="33" t="n">
        <f>2562</f>
        <v>2562.0</v>
      </c>
      <c r="L275" s="34" t="s">
        <v>48</v>
      </c>
      <c r="M275" s="33" t="n">
        <f>2712</f>
        <v>2712.0</v>
      </c>
      <c r="N275" s="34" t="s">
        <v>68</v>
      </c>
      <c r="O275" s="33" t="n">
        <f>2554.5</f>
        <v>2554.5</v>
      </c>
      <c r="P275" s="34" t="s">
        <v>48</v>
      </c>
      <c r="Q275" s="33" t="n">
        <f>2701.5</f>
        <v>2701.5</v>
      </c>
      <c r="R275" s="34" t="s">
        <v>50</v>
      </c>
      <c r="S275" s="35" t="n">
        <f>2632.37</f>
        <v>2632.37</v>
      </c>
      <c r="T275" s="32" t="n">
        <f>2231180</f>
        <v>2231180.0</v>
      </c>
      <c r="U275" s="32" t="n">
        <f>74000</f>
        <v>74000.0</v>
      </c>
      <c r="V275" s="32" t="n">
        <f>5873133795</f>
        <v>5.873133795E9</v>
      </c>
      <c r="W275" s="32" t="n">
        <f>198471700</f>
        <v>1.984717E8</v>
      </c>
      <c r="X275" s="36" t="n">
        <f>19</f>
        <v>19.0</v>
      </c>
    </row>
    <row r="276">
      <c r="A276" s="27" t="s">
        <v>42</v>
      </c>
      <c r="B276" s="27" t="s">
        <v>880</v>
      </c>
      <c r="C276" s="27" t="s">
        <v>881</v>
      </c>
      <c r="D276" s="27" t="s">
        <v>882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20500</f>
        <v>20500.0</v>
      </c>
      <c r="L276" s="34" t="s">
        <v>48</v>
      </c>
      <c r="M276" s="33" t="n">
        <f>22010</f>
        <v>22010.0</v>
      </c>
      <c r="N276" s="34" t="s">
        <v>68</v>
      </c>
      <c r="O276" s="33" t="n">
        <f>20455</f>
        <v>20455.0</v>
      </c>
      <c r="P276" s="34" t="s">
        <v>48</v>
      </c>
      <c r="Q276" s="33" t="n">
        <f>21875</f>
        <v>21875.0</v>
      </c>
      <c r="R276" s="34" t="s">
        <v>50</v>
      </c>
      <c r="S276" s="35" t="n">
        <f>21455.53</f>
        <v>21455.53</v>
      </c>
      <c r="T276" s="32" t="n">
        <f>759356</f>
        <v>759356.0</v>
      </c>
      <c r="U276" s="32" t="n">
        <f>142375</f>
        <v>142375.0</v>
      </c>
      <c r="V276" s="32" t="n">
        <f>16301780885</f>
        <v>1.6301780885E10</v>
      </c>
      <c r="W276" s="32" t="n">
        <f>3072612095</f>
        <v>3.072612095E9</v>
      </c>
      <c r="X276" s="36" t="n">
        <f>19</f>
        <v>19.0</v>
      </c>
    </row>
    <row r="277">
      <c r="A277" s="27" t="s">
        <v>42</v>
      </c>
      <c r="B277" s="27" t="s">
        <v>883</v>
      </c>
      <c r="C277" s="27" t="s">
        <v>884</v>
      </c>
      <c r="D277" s="27" t="s">
        <v>885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17700</f>
        <v>17700.0</v>
      </c>
      <c r="L277" s="34" t="s">
        <v>48</v>
      </c>
      <c r="M277" s="33" t="n">
        <f>18835</f>
        <v>18835.0</v>
      </c>
      <c r="N277" s="34" t="s">
        <v>68</v>
      </c>
      <c r="O277" s="33" t="n">
        <f>17600</f>
        <v>17600.0</v>
      </c>
      <c r="P277" s="34" t="s">
        <v>48</v>
      </c>
      <c r="Q277" s="33" t="n">
        <f>18715</f>
        <v>18715.0</v>
      </c>
      <c r="R277" s="34" t="s">
        <v>50</v>
      </c>
      <c r="S277" s="35" t="n">
        <f>18363.42</f>
        <v>18363.42</v>
      </c>
      <c r="T277" s="32" t="n">
        <f>437051</f>
        <v>437051.0</v>
      </c>
      <c r="U277" s="32" t="n">
        <f>2074</f>
        <v>2074.0</v>
      </c>
      <c r="V277" s="32" t="n">
        <f>8023989346</f>
        <v>8.023989346E9</v>
      </c>
      <c r="W277" s="32" t="n">
        <f>38441521</f>
        <v>3.8441521E7</v>
      </c>
      <c r="X277" s="36" t="n">
        <f>19</f>
        <v>19.0</v>
      </c>
    </row>
    <row r="278">
      <c r="A278" s="27" t="s">
        <v>42</v>
      </c>
      <c r="B278" s="27" t="s">
        <v>886</v>
      </c>
      <c r="C278" s="27" t="s">
        <v>887</v>
      </c>
      <c r="D278" s="27" t="s">
        <v>888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33710</f>
        <v>33710.0</v>
      </c>
      <c r="L278" s="34" t="s">
        <v>48</v>
      </c>
      <c r="M278" s="33" t="n">
        <f>36760</f>
        <v>36760.0</v>
      </c>
      <c r="N278" s="34" t="s">
        <v>88</v>
      </c>
      <c r="O278" s="33" t="n">
        <f>33710</f>
        <v>33710.0</v>
      </c>
      <c r="P278" s="34" t="s">
        <v>48</v>
      </c>
      <c r="Q278" s="33" t="n">
        <f>35690</f>
        <v>35690.0</v>
      </c>
      <c r="R278" s="34" t="s">
        <v>50</v>
      </c>
      <c r="S278" s="35" t="n">
        <f>34993.33</f>
        <v>34993.33</v>
      </c>
      <c r="T278" s="32" t="n">
        <f>13</f>
        <v>13.0</v>
      </c>
      <c r="U278" s="32" t="str">
        <f>"－"</f>
        <v>－</v>
      </c>
      <c r="V278" s="32" t="n">
        <f>456130</f>
        <v>456130.0</v>
      </c>
      <c r="W278" s="32" t="str">
        <f>"－"</f>
        <v>－</v>
      </c>
      <c r="X278" s="36" t="n">
        <f>9</f>
        <v>9.0</v>
      </c>
    </row>
    <row r="279">
      <c r="A279" s="27" t="s">
        <v>42</v>
      </c>
      <c r="B279" s="27" t="s">
        <v>889</v>
      </c>
      <c r="C279" s="27" t="s">
        <v>890</v>
      </c>
      <c r="D279" s="27" t="s">
        <v>891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2428</f>
        <v>2428.0</v>
      </c>
      <c r="L279" s="34" t="s">
        <v>48</v>
      </c>
      <c r="M279" s="33" t="n">
        <f>2461</f>
        <v>2461.0</v>
      </c>
      <c r="N279" s="34" t="s">
        <v>49</v>
      </c>
      <c r="O279" s="33" t="n">
        <f>2426</f>
        <v>2426.0</v>
      </c>
      <c r="P279" s="34" t="s">
        <v>48</v>
      </c>
      <c r="Q279" s="33" t="n">
        <f>2445</f>
        <v>2445.0</v>
      </c>
      <c r="R279" s="34" t="s">
        <v>50</v>
      </c>
      <c r="S279" s="35" t="n">
        <f>2444.11</f>
        <v>2444.11</v>
      </c>
      <c r="T279" s="32" t="n">
        <f>926020</f>
        <v>926020.0</v>
      </c>
      <c r="U279" s="32" t="n">
        <f>515752</f>
        <v>515752.0</v>
      </c>
      <c r="V279" s="32" t="n">
        <f>2262469668</f>
        <v>2.262469668E9</v>
      </c>
      <c r="W279" s="32" t="n">
        <f>1262563039</f>
        <v>1.262563039E9</v>
      </c>
      <c r="X279" s="36" t="n">
        <f>19</f>
        <v>19.0</v>
      </c>
    </row>
    <row r="280">
      <c r="A280" s="27" t="s">
        <v>42</v>
      </c>
      <c r="B280" s="27" t="s">
        <v>892</v>
      </c>
      <c r="C280" s="27" t="s">
        <v>893</v>
      </c>
      <c r="D280" s="27" t="s">
        <v>894</v>
      </c>
      <c r="E280" s="28" t="s">
        <v>46</v>
      </c>
      <c r="F280" s="29" t="s">
        <v>46</v>
      </c>
      <c r="G280" s="30" t="s">
        <v>46</v>
      </c>
      <c r="H280" s="31"/>
      <c r="I280" s="31" t="s">
        <v>47</v>
      </c>
      <c r="J280" s="32" t="n">
        <v>10.0</v>
      </c>
      <c r="K280" s="33" t="n">
        <f>2988.5</f>
        <v>2988.5</v>
      </c>
      <c r="L280" s="34" t="s">
        <v>48</v>
      </c>
      <c r="M280" s="33" t="n">
        <f>3056</f>
        <v>3056.0</v>
      </c>
      <c r="N280" s="34" t="s">
        <v>68</v>
      </c>
      <c r="O280" s="33" t="n">
        <f>2987.5</f>
        <v>2987.5</v>
      </c>
      <c r="P280" s="34" t="s">
        <v>88</v>
      </c>
      <c r="Q280" s="33" t="n">
        <f>3044</f>
        <v>3044.0</v>
      </c>
      <c r="R280" s="34" t="s">
        <v>50</v>
      </c>
      <c r="S280" s="35" t="n">
        <f>3021.82</f>
        <v>3021.82</v>
      </c>
      <c r="T280" s="32" t="n">
        <f>452720</f>
        <v>452720.0</v>
      </c>
      <c r="U280" s="32" t="n">
        <f>33400</f>
        <v>33400.0</v>
      </c>
      <c r="V280" s="32" t="n">
        <f>1363576310</f>
        <v>1.36357631E9</v>
      </c>
      <c r="W280" s="32" t="n">
        <f>100215030</f>
        <v>1.0021503E8</v>
      </c>
      <c r="X280" s="36" t="n">
        <f>19</f>
        <v>19.0</v>
      </c>
    </row>
    <row r="281">
      <c r="A281" s="27" t="s">
        <v>42</v>
      </c>
      <c r="B281" s="27" t="s">
        <v>895</v>
      </c>
      <c r="C281" s="27" t="s">
        <v>896</v>
      </c>
      <c r="D281" s="27" t="s">
        <v>897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10.0</v>
      </c>
      <c r="K281" s="33" t="n">
        <f>287.8</f>
        <v>287.8</v>
      </c>
      <c r="L281" s="34" t="s">
        <v>48</v>
      </c>
      <c r="M281" s="33" t="n">
        <f>299.2</f>
        <v>299.2</v>
      </c>
      <c r="N281" s="34" t="s">
        <v>68</v>
      </c>
      <c r="O281" s="33" t="n">
        <f>287.7</f>
        <v>287.7</v>
      </c>
      <c r="P281" s="34" t="s">
        <v>48</v>
      </c>
      <c r="Q281" s="33" t="n">
        <f>298.1</f>
        <v>298.1</v>
      </c>
      <c r="R281" s="34" t="s">
        <v>50</v>
      </c>
      <c r="S281" s="35" t="n">
        <f>294.41</f>
        <v>294.41</v>
      </c>
      <c r="T281" s="32" t="n">
        <f>43525810</f>
        <v>4.352581E7</v>
      </c>
      <c r="U281" s="32" t="n">
        <f>13131530</f>
        <v>1.313153E7</v>
      </c>
      <c r="V281" s="32" t="n">
        <f>12821458527</f>
        <v>1.2821458527E10</v>
      </c>
      <c r="W281" s="32" t="n">
        <f>3873579877</f>
        <v>3.873579877E9</v>
      </c>
      <c r="X281" s="36" t="n">
        <f>19</f>
        <v>19.0</v>
      </c>
    </row>
    <row r="282">
      <c r="A282" s="27" t="s">
        <v>42</v>
      </c>
      <c r="B282" s="27" t="s">
        <v>898</v>
      </c>
      <c r="C282" s="27" t="s">
        <v>899</v>
      </c>
      <c r="D282" s="27" t="s">
        <v>900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2820</f>
        <v>2820.0</v>
      </c>
      <c r="L282" s="34" t="s">
        <v>48</v>
      </c>
      <c r="M282" s="33" t="n">
        <f>2851</f>
        <v>2851.0</v>
      </c>
      <c r="N282" s="34" t="s">
        <v>69</v>
      </c>
      <c r="O282" s="33" t="n">
        <f>2748</f>
        <v>2748.0</v>
      </c>
      <c r="P282" s="34" t="s">
        <v>92</v>
      </c>
      <c r="Q282" s="33" t="n">
        <f>2825</f>
        <v>2825.0</v>
      </c>
      <c r="R282" s="34" t="s">
        <v>50</v>
      </c>
      <c r="S282" s="35" t="n">
        <f>2804</f>
        <v>2804.0</v>
      </c>
      <c r="T282" s="32" t="n">
        <f>979402</f>
        <v>979402.0</v>
      </c>
      <c r="U282" s="32" t="n">
        <f>191066</f>
        <v>191066.0</v>
      </c>
      <c r="V282" s="32" t="n">
        <f>2741913452</f>
        <v>2.741913452E9</v>
      </c>
      <c r="W282" s="32" t="n">
        <f>532133341</f>
        <v>5.32133341E8</v>
      </c>
      <c r="X282" s="36" t="n">
        <f>19</f>
        <v>19.0</v>
      </c>
    </row>
    <row r="283">
      <c r="A283" s="27" t="s">
        <v>42</v>
      </c>
      <c r="B283" s="27" t="s">
        <v>901</v>
      </c>
      <c r="C283" s="27" t="s">
        <v>902</v>
      </c>
      <c r="D283" s="27" t="s">
        <v>903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903</f>
        <v>903.0</v>
      </c>
      <c r="L283" s="34" t="s">
        <v>48</v>
      </c>
      <c r="M283" s="33" t="n">
        <f>914</f>
        <v>914.0</v>
      </c>
      <c r="N283" s="34" t="s">
        <v>61</v>
      </c>
      <c r="O283" s="33" t="n">
        <f>833</f>
        <v>833.0</v>
      </c>
      <c r="P283" s="34" t="s">
        <v>109</v>
      </c>
      <c r="Q283" s="33" t="n">
        <f>855</f>
        <v>855.0</v>
      </c>
      <c r="R283" s="34" t="s">
        <v>50</v>
      </c>
      <c r="S283" s="35" t="n">
        <f>876.21</f>
        <v>876.21</v>
      </c>
      <c r="T283" s="32" t="n">
        <f>1109445</f>
        <v>1109445.0</v>
      </c>
      <c r="U283" s="32" t="n">
        <f>282004</f>
        <v>282004.0</v>
      </c>
      <c r="V283" s="32" t="n">
        <f>961161043</f>
        <v>9.61161043E8</v>
      </c>
      <c r="W283" s="32" t="n">
        <f>239364883</f>
        <v>2.39364883E8</v>
      </c>
      <c r="X283" s="36" t="n">
        <f>19</f>
        <v>19.0</v>
      </c>
    </row>
    <row r="284">
      <c r="A284" s="27" t="s">
        <v>42</v>
      </c>
      <c r="B284" s="27" t="s">
        <v>904</v>
      </c>
      <c r="C284" s="27" t="s">
        <v>905</v>
      </c>
      <c r="D284" s="27" t="s">
        <v>906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10.0</v>
      </c>
      <c r="K284" s="33" t="n">
        <f>1019</f>
        <v>1019.0</v>
      </c>
      <c r="L284" s="34" t="s">
        <v>48</v>
      </c>
      <c r="M284" s="33" t="n">
        <f>1022</f>
        <v>1022.0</v>
      </c>
      <c r="N284" s="34" t="s">
        <v>236</v>
      </c>
      <c r="O284" s="33" t="n">
        <f>948.8</f>
        <v>948.8</v>
      </c>
      <c r="P284" s="34" t="s">
        <v>109</v>
      </c>
      <c r="Q284" s="33" t="n">
        <f>965.4</f>
        <v>965.4</v>
      </c>
      <c r="R284" s="34" t="s">
        <v>50</v>
      </c>
      <c r="S284" s="35" t="n">
        <f>981.13</f>
        <v>981.13</v>
      </c>
      <c r="T284" s="32" t="n">
        <f>3454840</f>
        <v>3454840.0</v>
      </c>
      <c r="U284" s="32" t="n">
        <f>3302000</f>
        <v>3302000.0</v>
      </c>
      <c r="V284" s="32" t="n">
        <f>3376719172</f>
        <v>3.376719172E9</v>
      </c>
      <c r="W284" s="32" t="n">
        <f>3226902100</f>
        <v>3.2269021E9</v>
      </c>
      <c r="X284" s="36" t="n">
        <f>19</f>
        <v>19.0</v>
      </c>
    </row>
    <row r="285">
      <c r="A285" s="27" t="s">
        <v>42</v>
      </c>
      <c r="B285" s="27" t="s">
        <v>907</v>
      </c>
      <c r="C285" s="27" t="s">
        <v>908</v>
      </c>
      <c r="D285" s="27" t="s">
        <v>909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10.0</v>
      </c>
      <c r="K285" s="33" t="n">
        <f>345.9</f>
        <v>345.9</v>
      </c>
      <c r="L285" s="34" t="s">
        <v>48</v>
      </c>
      <c r="M285" s="33" t="n">
        <f>355.6</f>
        <v>355.6</v>
      </c>
      <c r="N285" s="34" t="s">
        <v>214</v>
      </c>
      <c r="O285" s="33" t="n">
        <f>332.8</f>
        <v>332.8</v>
      </c>
      <c r="P285" s="34" t="s">
        <v>210</v>
      </c>
      <c r="Q285" s="33" t="n">
        <f>352.7</f>
        <v>352.7</v>
      </c>
      <c r="R285" s="34" t="s">
        <v>50</v>
      </c>
      <c r="S285" s="35" t="n">
        <f>346.56</f>
        <v>346.56</v>
      </c>
      <c r="T285" s="32" t="n">
        <f>40220</f>
        <v>40220.0</v>
      </c>
      <c r="U285" s="32" t="str">
        <f>"－"</f>
        <v>－</v>
      </c>
      <c r="V285" s="32" t="n">
        <f>13936366</f>
        <v>1.3936366E7</v>
      </c>
      <c r="W285" s="32" t="str">
        <f>"－"</f>
        <v>－</v>
      </c>
      <c r="X285" s="36" t="n">
        <f>19</f>
        <v>19.0</v>
      </c>
    </row>
    <row r="286">
      <c r="A286" s="27" t="s">
        <v>42</v>
      </c>
      <c r="B286" s="27" t="s">
        <v>910</v>
      </c>
      <c r="C286" s="27" t="s">
        <v>911</v>
      </c>
      <c r="D286" s="27" t="s">
        <v>912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10.0</v>
      </c>
      <c r="K286" s="33" t="n">
        <f>4341</f>
        <v>4341.0</v>
      </c>
      <c r="L286" s="34" t="s">
        <v>48</v>
      </c>
      <c r="M286" s="33" t="n">
        <f>4703</f>
        <v>4703.0</v>
      </c>
      <c r="N286" s="34" t="s">
        <v>109</v>
      </c>
      <c r="O286" s="33" t="n">
        <f>4334</f>
        <v>4334.0</v>
      </c>
      <c r="P286" s="34" t="s">
        <v>48</v>
      </c>
      <c r="Q286" s="33" t="n">
        <f>4609</f>
        <v>4609.0</v>
      </c>
      <c r="R286" s="34" t="s">
        <v>50</v>
      </c>
      <c r="S286" s="35" t="n">
        <f>4547.05</f>
        <v>4547.05</v>
      </c>
      <c r="T286" s="32" t="n">
        <f>1366760</f>
        <v>1366760.0</v>
      </c>
      <c r="U286" s="32" t="n">
        <f>27100</f>
        <v>27100.0</v>
      </c>
      <c r="V286" s="32" t="n">
        <f>6218189660</f>
        <v>6.21818966E9</v>
      </c>
      <c r="W286" s="32" t="n">
        <f>123612600</f>
        <v>1.236126E8</v>
      </c>
      <c r="X286" s="36" t="n">
        <f>19</f>
        <v>19.0</v>
      </c>
    </row>
    <row r="287">
      <c r="A287" s="27" t="s">
        <v>42</v>
      </c>
      <c r="B287" s="27" t="s">
        <v>913</v>
      </c>
      <c r="C287" s="27" t="s">
        <v>914</v>
      </c>
      <c r="D287" s="27" t="s">
        <v>915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10.0</v>
      </c>
      <c r="K287" s="33" t="n">
        <f>2787</f>
        <v>2787.0</v>
      </c>
      <c r="L287" s="34" t="s">
        <v>48</v>
      </c>
      <c r="M287" s="33" t="n">
        <f>2905.5</f>
        <v>2905.5</v>
      </c>
      <c r="N287" s="34" t="s">
        <v>70</v>
      </c>
      <c r="O287" s="33" t="n">
        <f>2784.5</f>
        <v>2784.5</v>
      </c>
      <c r="P287" s="34" t="s">
        <v>48</v>
      </c>
      <c r="Q287" s="33" t="n">
        <f>2892</f>
        <v>2892.0</v>
      </c>
      <c r="R287" s="34" t="s">
        <v>50</v>
      </c>
      <c r="S287" s="35" t="n">
        <f>2869.47</f>
        <v>2869.47</v>
      </c>
      <c r="T287" s="32" t="n">
        <f>3836270</f>
        <v>3836270.0</v>
      </c>
      <c r="U287" s="32" t="n">
        <f>1579600</f>
        <v>1579600.0</v>
      </c>
      <c r="V287" s="32" t="n">
        <f>10971697136</f>
        <v>1.0971697136E10</v>
      </c>
      <c r="W287" s="32" t="n">
        <f>4518007016</f>
        <v>4.518007016E9</v>
      </c>
      <c r="X287" s="36" t="n">
        <f>19</f>
        <v>19.0</v>
      </c>
    </row>
    <row r="288">
      <c r="A288" s="27" t="s">
        <v>42</v>
      </c>
      <c r="B288" s="27" t="s">
        <v>916</v>
      </c>
      <c r="C288" s="27" t="s">
        <v>917</v>
      </c>
      <c r="D288" s="27" t="s">
        <v>918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10.0</v>
      </c>
      <c r="K288" s="33" t="n">
        <f>332.7</f>
        <v>332.7</v>
      </c>
      <c r="L288" s="34" t="s">
        <v>48</v>
      </c>
      <c r="M288" s="33" t="n">
        <f>339.2</f>
        <v>339.2</v>
      </c>
      <c r="N288" s="34" t="s">
        <v>50</v>
      </c>
      <c r="O288" s="33" t="n">
        <f>330.9</f>
        <v>330.9</v>
      </c>
      <c r="P288" s="34" t="s">
        <v>81</v>
      </c>
      <c r="Q288" s="33" t="n">
        <f>337.5</f>
        <v>337.5</v>
      </c>
      <c r="R288" s="34" t="s">
        <v>50</v>
      </c>
      <c r="S288" s="35" t="n">
        <f>336.49</f>
        <v>336.49</v>
      </c>
      <c r="T288" s="32" t="n">
        <f>49850900</f>
        <v>4.98509E7</v>
      </c>
      <c r="U288" s="32" t="n">
        <f>39078630</f>
        <v>3.907863E7</v>
      </c>
      <c r="V288" s="32" t="n">
        <f>16784497580</f>
        <v>1.678449758E10</v>
      </c>
      <c r="W288" s="32" t="n">
        <f>13166547197</f>
        <v>1.3166547197E10</v>
      </c>
      <c r="X288" s="36" t="n">
        <f>19</f>
        <v>19.0</v>
      </c>
    </row>
    <row r="289">
      <c r="A289" s="27" t="s">
        <v>42</v>
      </c>
      <c r="B289" s="27" t="s">
        <v>919</v>
      </c>
      <c r="C289" s="27" t="s">
        <v>920</v>
      </c>
      <c r="D289" s="27" t="s">
        <v>921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1316</f>
        <v>1316.0</v>
      </c>
      <c r="L289" s="34" t="s">
        <v>48</v>
      </c>
      <c r="M289" s="33" t="n">
        <f>1331</f>
        <v>1331.0</v>
      </c>
      <c r="N289" s="34" t="s">
        <v>81</v>
      </c>
      <c r="O289" s="33" t="n">
        <f>1247</f>
        <v>1247.0</v>
      </c>
      <c r="P289" s="34" t="s">
        <v>109</v>
      </c>
      <c r="Q289" s="33" t="n">
        <f>1263</f>
        <v>1263.0</v>
      </c>
      <c r="R289" s="34" t="s">
        <v>50</v>
      </c>
      <c r="S289" s="35" t="n">
        <f>1275.47</f>
        <v>1275.47</v>
      </c>
      <c r="T289" s="32" t="n">
        <f>29924335</f>
        <v>2.9924335E7</v>
      </c>
      <c r="U289" s="32" t="n">
        <f>5348</f>
        <v>5348.0</v>
      </c>
      <c r="V289" s="32" t="n">
        <f>38153393276</f>
        <v>3.8153393276E10</v>
      </c>
      <c r="W289" s="32" t="n">
        <f>6833416</f>
        <v>6833416.0</v>
      </c>
      <c r="X289" s="36" t="n">
        <f>19</f>
        <v>19.0</v>
      </c>
    </row>
    <row r="290">
      <c r="A290" s="27" t="s">
        <v>42</v>
      </c>
      <c r="B290" s="27" t="s">
        <v>922</v>
      </c>
      <c r="C290" s="27" t="s">
        <v>923</v>
      </c>
      <c r="D290" s="27" t="s">
        <v>924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1774</f>
        <v>1774.0</v>
      </c>
      <c r="L290" s="34" t="s">
        <v>48</v>
      </c>
      <c r="M290" s="33" t="n">
        <f>1783</f>
        <v>1783.0</v>
      </c>
      <c r="N290" s="34" t="s">
        <v>81</v>
      </c>
      <c r="O290" s="33" t="n">
        <f>1742</f>
        <v>1742.0</v>
      </c>
      <c r="P290" s="34" t="s">
        <v>88</v>
      </c>
      <c r="Q290" s="33" t="n">
        <f>1768</f>
        <v>1768.0</v>
      </c>
      <c r="R290" s="34" t="s">
        <v>50</v>
      </c>
      <c r="S290" s="35" t="n">
        <f>1764.05</f>
        <v>1764.05</v>
      </c>
      <c r="T290" s="32" t="n">
        <f>89028</f>
        <v>89028.0</v>
      </c>
      <c r="U290" s="32" t="n">
        <f>45580</f>
        <v>45580.0</v>
      </c>
      <c r="V290" s="32" t="n">
        <f>156794820</f>
        <v>1.5679482E8</v>
      </c>
      <c r="W290" s="32" t="n">
        <f>80184655</f>
        <v>8.0184655E7</v>
      </c>
      <c r="X290" s="36" t="n">
        <f>19</f>
        <v>19.0</v>
      </c>
    </row>
    <row r="291">
      <c r="A291" s="27" t="s">
        <v>42</v>
      </c>
      <c r="B291" s="27" t="s">
        <v>925</v>
      </c>
      <c r="C291" s="27" t="s">
        <v>926</v>
      </c>
      <c r="D291" s="27" t="s">
        <v>927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2133</f>
        <v>2133.0</v>
      </c>
      <c r="L291" s="34" t="s">
        <v>48</v>
      </c>
      <c r="M291" s="33" t="n">
        <f>2136</f>
        <v>2136.0</v>
      </c>
      <c r="N291" s="34" t="s">
        <v>81</v>
      </c>
      <c r="O291" s="33" t="n">
        <f>2101</f>
        <v>2101.0</v>
      </c>
      <c r="P291" s="34" t="s">
        <v>70</v>
      </c>
      <c r="Q291" s="33" t="n">
        <f>2103</f>
        <v>2103.0</v>
      </c>
      <c r="R291" s="34" t="s">
        <v>50</v>
      </c>
      <c r="S291" s="35" t="n">
        <f>2114.42</f>
        <v>2114.42</v>
      </c>
      <c r="T291" s="32" t="n">
        <f>474951</f>
        <v>474951.0</v>
      </c>
      <c r="U291" s="32" t="n">
        <f>471000</f>
        <v>471000.0</v>
      </c>
      <c r="V291" s="32" t="n">
        <f>1008937427</f>
        <v>1.008937427E9</v>
      </c>
      <c r="W291" s="32" t="n">
        <f>1000545300</f>
        <v>1.0005453E9</v>
      </c>
      <c r="X291" s="36" t="n">
        <f>19</f>
        <v>19.0</v>
      </c>
    </row>
    <row r="292">
      <c r="A292" s="27" t="s">
        <v>42</v>
      </c>
      <c r="B292" s="27" t="s">
        <v>928</v>
      </c>
      <c r="C292" s="27" t="s">
        <v>929</v>
      </c>
      <c r="D292" s="27" t="s">
        <v>930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3605</f>
        <v>3605.0</v>
      </c>
      <c r="L292" s="34" t="s">
        <v>48</v>
      </c>
      <c r="M292" s="33" t="n">
        <f>3955</f>
        <v>3955.0</v>
      </c>
      <c r="N292" s="34" t="s">
        <v>68</v>
      </c>
      <c r="O292" s="33" t="n">
        <f>3600</f>
        <v>3600.0</v>
      </c>
      <c r="P292" s="34" t="s">
        <v>74</v>
      </c>
      <c r="Q292" s="33" t="n">
        <f>3935</f>
        <v>3935.0</v>
      </c>
      <c r="R292" s="34" t="s">
        <v>50</v>
      </c>
      <c r="S292" s="35" t="n">
        <f>3793.68</f>
        <v>3793.68</v>
      </c>
      <c r="T292" s="32" t="n">
        <f>1369844</f>
        <v>1369844.0</v>
      </c>
      <c r="U292" s="32" t="n">
        <f>200004</f>
        <v>200004.0</v>
      </c>
      <c r="V292" s="32" t="n">
        <f>5148074446</f>
        <v>5.148074446E9</v>
      </c>
      <c r="W292" s="32" t="n">
        <f>730885181</f>
        <v>7.30885181E8</v>
      </c>
      <c r="X292" s="36" t="n">
        <f>19</f>
        <v>19.0</v>
      </c>
    </row>
    <row r="293">
      <c r="A293" s="27" t="s">
        <v>42</v>
      </c>
      <c r="B293" s="27" t="s">
        <v>931</v>
      </c>
      <c r="C293" s="27" t="s">
        <v>932</v>
      </c>
      <c r="D293" s="27" t="s">
        <v>933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2536</f>
        <v>2536.0</v>
      </c>
      <c r="L293" s="34" t="s">
        <v>48</v>
      </c>
      <c r="M293" s="33" t="n">
        <f>2696</f>
        <v>2696.0</v>
      </c>
      <c r="N293" s="34" t="s">
        <v>49</v>
      </c>
      <c r="O293" s="33" t="n">
        <f>2530</f>
        <v>2530.0</v>
      </c>
      <c r="P293" s="34" t="s">
        <v>48</v>
      </c>
      <c r="Q293" s="33" t="n">
        <f>2683</f>
        <v>2683.0</v>
      </c>
      <c r="R293" s="34" t="s">
        <v>50</v>
      </c>
      <c r="S293" s="35" t="n">
        <f>2610.84</f>
        <v>2610.84</v>
      </c>
      <c r="T293" s="32" t="n">
        <f>915098</f>
        <v>915098.0</v>
      </c>
      <c r="U293" s="32" t="n">
        <f>147000</f>
        <v>147000.0</v>
      </c>
      <c r="V293" s="32" t="n">
        <f>2397105675</f>
        <v>2.397105675E9</v>
      </c>
      <c r="W293" s="32" t="n">
        <f>386491100</f>
        <v>3.864911E8</v>
      </c>
      <c r="X293" s="36" t="n">
        <f>19</f>
        <v>19.0</v>
      </c>
    </row>
    <row r="294">
      <c r="A294" s="27" t="s">
        <v>42</v>
      </c>
      <c r="B294" s="27" t="s">
        <v>934</v>
      </c>
      <c r="C294" s="27" t="s">
        <v>935</v>
      </c>
      <c r="D294" s="27" t="s">
        <v>936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2150</f>
        <v>2150.0</v>
      </c>
      <c r="L294" s="34" t="s">
        <v>48</v>
      </c>
      <c r="M294" s="33" t="n">
        <f>2222</f>
        <v>2222.0</v>
      </c>
      <c r="N294" s="34" t="s">
        <v>109</v>
      </c>
      <c r="O294" s="33" t="n">
        <f>2138</f>
        <v>2138.0</v>
      </c>
      <c r="P294" s="34" t="s">
        <v>48</v>
      </c>
      <c r="Q294" s="33" t="n">
        <f>2213</f>
        <v>2213.0</v>
      </c>
      <c r="R294" s="34" t="s">
        <v>50</v>
      </c>
      <c r="S294" s="35" t="n">
        <f>2192.68</f>
        <v>2192.68</v>
      </c>
      <c r="T294" s="32" t="n">
        <f>56160</f>
        <v>56160.0</v>
      </c>
      <c r="U294" s="32" t="n">
        <f>1</f>
        <v>1.0</v>
      </c>
      <c r="V294" s="32" t="n">
        <f>123153337</f>
        <v>1.23153337E8</v>
      </c>
      <c r="W294" s="32" t="n">
        <f>2199</f>
        <v>2199.0</v>
      </c>
      <c r="X294" s="36" t="n">
        <f>19</f>
        <v>19.0</v>
      </c>
    </row>
    <row r="295">
      <c r="A295" s="27" t="s">
        <v>42</v>
      </c>
      <c r="B295" s="27" t="s">
        <v>937</v>
      </c>
      <c r="C295" s="27" t="s">
        <v>938</v>
      </c>
      <c r="D295" s="27" t="s">
        <v>939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1255</f>
        <v>1255.0</v>
      </c>
      <c r="L295" s="34" t="s">
        <v>48</v>
      </c>
      <c r="M295" s="33" t="n">
        <f>1299</f>
        <v>1299.0</v>
      </c>
      <c r="N295" s="34" t="s">
        <v>70</v>
      </c>
      <c r="O295" s="33" t="n">
        <f>1220</f>
        <v>1220.0</v>
      </c>
      <c r="P295" s="34" t="s">
        <v>88</v>
      </c>
      <c r="Q295" s="33" t="n">
        <f>1291</f>
        <v>1291.0</v>
      </c>
      <c r="R295" s="34" t="s">
        <v>50</v>
      </c>
      <c r="S295" s="35" t="n">
        <f>1269.95</f>
        <v>1269.95</v>
      </c>
      <c r="T295" s="32" t="n">
        <f>59849</f>
        <v>59849.0</v>
      </c>
      <c r="U295" s="32" t="str">
        <f>"－"</f>
        <v>－</v>
      </c>
      <c r="V295" s="32" t="n">
        <f>76029739</f>
        <v>7.6029739E7</v>
      </c>
      <c r="W295" s="32" t="str">
        <f>"－"</f>
        <v>－</v>
      </c>
      <c r="X295" s="36" t="n">
        <f>19</f>
        <v>19.0</v>
      </c>
    </row>
    <row r="296">
      <c r="A296" s="27" t="s">
        <v>42</v>
      </c>
      <c r="B296" s="27" t="s">
        <v>940</v>
      </c>
      <c r="C296" s="27" t="s">
        <v>941</v>
      </c>
      <c r="D296" s="27" t="s">
        <v>942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1449</f>
        <v>1449.0</v>
      </c>
      <c r="L296" s="34" t="s">
        <v>48</v>
      </c>
      <c r="M296" s="33" t="n">
        <f>1744</f>
        <v>1744.0</v>
      </c>
      <c r="N296" s="34" t="s">
        <v>74</v>
      </c>
      <c r="O296" s="33" t="n">
        <f>1410</f>
        <v>1410.0</v>
      </c>
      <c r="P296" s="34" t="s">
        <v>61</v>
      </c>
      <c r="Q296" s="33" t="n">
        <f>1692</f>
        <v>1692.0</v>
      </c>
      <c r="R296" s="34" t="s">
        <v>50</v>
      </c>
      <c r="S296" s="35" t="n">
        <f>1591.89</f>
        <v>1591.89</v>
      </c>
      <c r="T296" s="32" t="n">
        <f>93432</f>
        <v>93432.0</v>
      </c>
      <c r="U296" s="32" t="str">
        <f>"－"</f>
        <v>－</v>
      </c>
      <c r="V296" s="32" t="n">
        <f>148586188</f>
        <v>1.48586188E8</v>
      </c>
      <c r="W296" s="32" t="str">
        <f>"－"</f>
        <v>－</v>
      </c>
      <c r="X296" s="36" t="n">
        <f>19</f>
        <v>19.0</v>
      </c>
    </row>
    <row r="297">
      <c r="A297" s="27" t="s">
        <v>42</v>
      </c>
      <c r="B297" s="27" t="s">
        <v>943</v>
      </c>
      <c r="C297" s="27" t="s">
        <v>944</v>
      </c>
      <c r="D297" s="27" t="s">
        <v>945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2133</f>
        <v>2133.0</v>
      </c>
      <c r="L297" s="34" t="s">
        <v>48</v>
      </c>
      <c r="M297" s="33" t="n">
        <f>2326</f>
        <v>2326.0</v>
      </c>
      <c r="N297" s="34" t="s">
        <v>68</v>
      </c>
      <c r="O297" s="33" t="n">
        <f>2025</f>
        <v>2025.0</v>
      </c>
      <c r="P297" s="34" t="s">
        <v>61</v>
      </c>
      <c r="Q297" s="33" t="n">
        <f>2271</f>
        <v>2271.0</v>
      </c>
      <c r="R297" s="34" t="s">
        <v>50</v>
      </c>
      <c r="S297" s="35" t="n">
        <f>2210.21</f>
        <v>2210.21</v>
      </c>
      <c r="T297" s="32" t="n">
        <f>7718</f>
        <v>7718.0</v>
      </c>
      <c r="U297" s="32" t="str">
        <f>"－"</f>
        <v>－</v>
      </c>
      <c r="V297" s="32" t="n">
        <f>16759929</f>
        <v>1.6759929E7</v>
      </c>
      <c r="W297" s="32" t="str">
        <f>"－"</f>
        <v>－</v>
      </c>
      <c r="X297" s="36" t="n">
        <f>19</f>
        <v>19.0</v>
      </c>
    </row>
    <row r="298">
      <c r="A298" s="27" t="s">
        <v>42</v>
      </c>
      <c r="B298" s="27" t="s">
        <v>946</v>
      </c>
      <c r="C298" s="27" t="s">
        <v>947</v>
      </c>
      <c r="D298" s="27" t="s">
        <v>948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11350</f>
        <v>11350.0</v>
      </c>
      <c r="L298" s="34" t="s">
        <v>48</v>
      </c>
      <c r="M298" s="33" t="n">
        <f>11875</f>
        <v>11875.0</v>
      </c>
      <c r="N298" s="34" t="s">
        <v>68</v>
      </c>
      <c r="O298" s="33" t="n">
        <f>11350</f>
        <v>11350.0</v>
      </c>
      <c r="P298" s="34" t="s">
        <v>48</v>
      </c>
      <c r="Q298" s="33" t="n">
        <f>11840</f>
        <v>11840.0</v>
      </c>
      <c r="R298" s="34" t="s">
        <v>50</v>
      </c>
      <c r="S298" s="35" t="n">
        <f>11667.11</f>
        <v>11667.11</v>
      </c>
      <c r="T298" s="32" t="n">
        <f>421642</f>
        <v>421642.0</v>
      </c>
      <c r="U298" s="32" t="n">
        <f>165497</f>
        <v>165497.0</v>
      </c>
      <c r="V298" s="32" t="n">
        <f>4930279810</f>
        <v>4.93027981E9</v>
      </c>
      <c r="W298" s="32" t="n">
        <f>1947412675</f>
        <v>1.947412675E9</v>
      </c>
      <c r="X298" s="36" t="n">
        <f>19</f>
        <v>19.0</v>
      </c>
    </row>
    <row r="299">
      <c r="A299" s="27" t="s">
        <v>42</v>
      </c>
      <c r="B299" s="27" t="s">
        <v>949</v>
      </c>
      <c r="C299" s="27" t="s">
        <v>950</v>
      </c>
      <c r="D299" s="27" t="s">
        <v>951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18140</f>
        <v>18140.0</v>
      </c>
      <c r="L299" s="34" t="s">
        <v>48</v>
      </c>
      <c r="M299" s="33" t="n">
        <f>19430</f>
        <v>19430.0</v>
      </c>
      <c r="N299" s="34" t="s">
        <v>70</v>
      </c>
      <c r="O299" s="33" t="n">
        <f>18105</f>
        <v>18105.0</v>
      </c>
      <c r="P299" s="34" t="s">
        <v>48</v>
      </c>
      <c r="Q299" s="33" t="n">
        <f>19250</f>
        <v>19250.0</v>
      </c>
      <c r="R299" s="34" t="s">
        <v>50</v>
      </c>
      <c r="S299" s="35" t="n">
        <f>18998.68</f>
        <v>18998.68</v>
      </c>
      <c r="T299" s="32" t="n">
        <f>489492</f>
        <v>489492.0</v>
      </c>
      <c r="U299" s="32" t="n">
        <f>6392</f>
        <v>6392.0</v>
      </c>
      <c r="V299" s="32" t="n">
        <f>9299105960</f>
        <v>9.29910596E9</v>
      </c>
      <c r="W299" s="32" t="n">
        <f>116129070</f>
        <v>1.1612907E8</v>
      </c>
      <c r="X299" s="36" t="n">
        <f>19</f>
        <v>19.0</v>
      </c>
    </row>
    <row r="300">
      <c r="A300" s="27" t="s">
        <v>42</v>
      </c>
      <c r="B300" s="27" t="s">
        <v>952</v>
      </c>
      <c r="C300" s="27" t="s">
        <v>953</v>
      </c>
      <c r="D300" s="27" t="s">
        <v>954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11675</f>
        <v>11675.0</v>
      </c>
      <c r="L300" s="34" t="s">
        <v>48</v>
      </c>
      <c r="M300" s="33" t="n">
        <f>12170</f>
        <v>12170.0</v>
      </c>
      <c r="N300" s="34" t="s">
        <v>70</v>
      </c>
      <c r="O300" s="33" t="n">
        <f>11670</f>
        <v>11670.0</v>
      </c>
      <c r="P300" s="34" t="s">
        <v>48</v>
      </c>
      <c r="Q300" s="33" t="n">
        <f>12115</f>
        <v>12115.0</v>
      </c>
      <c r="R300" s="34" t="s">
        <v>50</v>
      </c>
      <c r="S300" s="35" t="n">
        <f>12011.05</f>
        <v>12011.05</v>
      </c>
      <c r="T300" s="32" t="n">
        <f>379528</f>
        <v>379528.0</v>
      </c>
      <c r="U300" s="32" t="n">
        <f>105613</f>
        <v>105613.0</v>
      </c>
      <c r="V300" s="32" t="n">
        <f>4555018955</f>
        <v>4.555018955E9</v>
      </c>
      <c r="W300" s="32" t="n">
        <f>1278126200</f>
        <v>1.2781262E9</v>
      </c>
      <c r="X300" s="36" t="n">
        <f>19</f>
        <v>19.0</v>
      </c>
    </row>
    <row r="301">
      <c r="A301" s="27" t="s">
        <v>42</v>
      </c>
      <c r="B301" s="27" t="s">
        <v>955</v>
      </c>
      <c r="C301" s="27" t="s">
        <v>956</v>
      </c>
      <c r="D301" s="27" t="s">
        <v>957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10.0</v>
      </c>
      <c r="K301" s="33" t="n">
        <f>329.9</f>
        <v>329.9</v>
      </c>
      <c r="L301" s="34" t="s">
        <v>48</v>
      </c>
      <c r="M301" s="33" t="n">
        <f>354.1</f>
        <v>354.1</v>
      </c>
      <c r="N301" s="34" t="s">
        <v>68</v>
      </c>
      <c r="O301" s="33" t="n">
        <f>329.1</f>
        <v>329.1</v>
      </c>
      <c r="P301" s="34" t="s">
        <v>48</v>
      </c>
      <c r="Q301" s="33" t="n">
        <f>351.9</f>
        <v>351.9</v>
      </c>
      <c r="R301" s="34" t="s">
        <v>50</v>
      </c>
      <c r="S301" s="35" t="n">
        <f>345.17</f>
        <v>345.17</v>
      </c>
      <c r="T301" s="32" t="n">
        <f>14972350</f>
        <v>1.497235E7</v>
      </c>
      <c r="U301" s="32" t="n">
        <f>2604530</f>
        <v>2604530.0</v>
      </c>
      <c r="V301" s="32" t="n">
        <f>5178056530</f>
        <v>5.17805653E9</v>
      </c>
      <c r="W301" s="32" t="n">
        <f>895976482</f>
        <v>8.95976482E8</v>
      </c>
      <c r="X301" s="36" t="n">
        <f>19</f>
        <v>19.0</v>
      </c>
    </row>
    <row r="302">
      <c r="A302" s="27" t="s">
        <v>42</v>
      </c>
      <c r="B302" s="27" t="s">
        <v>958</v>
      </c>
      <c r="C302" s="27" t="s">
        <v>959</v>
      </c>
      <c r="D302" s="27" t="s">
        <v>960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10.0</v>
      </c>
      <c r="K302" s="33" t="n">
        <f>2235.5</f>
        <v>2235.5</v>
      </c>
      <c r="L302" s="34" t="s">
        <v>48</v>
      </c>
      <c r="M302" s="33" t="n">
        <f>2340.5</f>
        <v>2340.5</v>
      </c>
      <c r="N302" s="34" t="s">
        <v>68</v>
      </c>
      <c r="O302" s="33" t="n">
        <f>2235.5</f>
        <v>2235.5</v>
      </c>
      <c r="P302" s="34" t="s">
        <v>48</v>
      </c>
      <c r="Q302" s="33" t="n">
        <f>2332</f>
        <v>2332.0</v>
      </c>
      <c r="R302" s="34" t="s">
        <v>50</v>
      </c>
      <c r="S302" s="35" t="n">
        <f>2299.39</f>
        <v>2299.39</v>
      </c>
      <c r="T302" s="32" t="n">
        <f>2098850</f>
        <v>2098850.0</v>
      </c>
      <c r="U302" s="32" t="n">
        <f>897020</f>
        <v>897020.0</v>
      </c>
      <c r="V302" s="32" t="n">
        <f>4846706518</f>
        <v>4.846706518E9</v>
      </c>
      <c r="W302" s="32" t="n">
        <f>2080115123</f>
        <v>2.080115123E9</v>
      </c>
      <c r="X302" s="36" t="n">
        <f>19</f>
        <v>19.0</v>
      </c>
    </row>
    <row r="303">
      <c r="A303" s="27" t="s">
        <v>42</v>
      </c>
      <c r="B303" s="27" t="s">
        <v>961</v>
      </c>
      <c r="C303" s="27" t="s">
        <v>962</v>
      </c>
      <c r="D303" s="27" t="s">
        <v>963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10.0</v>
      </c>
      <c r="K303" s="33" t="n">
        <f>3447</f>
        <v>3447.0</v>
      </c>
      <c r="L303" s="34" t="s">
        <v>48</v>
      </c>
      <c r="M303" s="33" t="n">
        <f>3670</f>
        <v>3670.0</v>
      </c>
      <c r="N303" s="34" t="s">
        <v>68</v>
      </c>
      <c r="O303" s="33" t="n">
        <f>3390</f>
        <v>3390.0</v>
      </c>
      <c r="P303" s="34" t="s">
        <v>81</v>
      </c>
      <c r="Q303" s="33" t="n">
        <f>3641</f>
        <v>3641.0</v>
      </c>
      <c r="R303" s="34" t="s">
        <v>50</v>
      </c>
      <c r="S303" s="35" t="n">
        <f>3576.16</f>
        <v>3576.16</v>
      </c>
      <c r="T303" s="32" t="n">
        <f>23470</f>
        <v>23470.0</v>
      </c>
      <c r="U303" s="32" t="n">
        <f>30</f>
        <v>30.0</v>
      </c>
      <c r="V303" s="32" t="n">
        <f>83253850</f>
        <v>8.325385E7</v>
      </c>
      <c r="W303" s="32" t="n">
        <f>104880</f>
        <v>104880.0</v>
      </c>
      <c r="X303" s="36" t="n">
        <f>19</f>
        <v>19.0</v>
      </c>
    </row>
    <row r="304">
      <c r="A304" s="27" t="s">
        <v>42</v>
      </c>
      <c r="B304" s="27" t="s">
        <v>964</v>
      </c>
      <c r="C304" s="27" t="s">
        <v>965</v>
      </c>
      <c r="D304" s="27" t="s">
        <v>966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3100</f>
        <v>3100.0</v>
      </c>
      <c r="L304" s="34" t="s">
        <v>48</v>
      </c>
      <c r="M304" s="33" t="n">
        <f>3300</f>
        <v>3300.0</v>
      </c>
      <c r="N304" s="34" t="s">
        <v>49</v>
      </c>
      <c r="O304" s="33" t="n">
        <f>3080</f>
        <v>3080.0</v>
      </c>
      <c r="P304" s="34" t="s">
        <v>74</v>
      </c>
      <c r="Q304" s="33" t="n">
        <f>3280</f>
        <v>3280.0</v>
      </c>
      <c r="R304" s="34" t="s">
        <v>50</v>
      </c>
      <c r="S304" s="35" t="n">
        <f>3198.16</f>
        <v>3198.16</v>
      </c>
      <c r="T304" s="32" t="n">
        <f>331110</f>
        <v>331110.0</v>
      </c>
      <c r="U304" s="32" t="n">
        <f>323000</f>
        <v>323000.0</v>
      </c>
      <c r="V304" s="32" t="n">
        <f>1022256885</f>
        <v>1.022256885E9</v>
      </c>
      <c r="W304" s="32" t="n">
        <f>996519600</f>
        <v>9.965196E8</v>
      </c>
      <c r="X304" s="36" t="n">
        <f>19</f>
        <v>19.0</v>
      </c>
    </row>
    <row r="305">
      <c r="A305" s="27" t="s">
        <v>42</v>
      </c>
      <c r="B305" s="27" t="s">
        <v>967</v>
      </c>
      <c r="C305" s="27" t="s">
        <v>968</v>
      </c>
      <c r="D305" s="27" t="s">
        <v>969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1571</f>
        <v>1571.0</v>
      </c>
      <c r="L305" s="34" t="s">
        <v>48</v>
      </c>
      <c r="M305" s="33" t="n">
        <f>1664</f>
        <v>1664.0</v>
      </c>
      <c r="N305" s="34" t="s">
        <v>70</v>
      </c>
      <c r="O305" s="33" t="n">
        <f>1551</f>
        <v>1551.0</v>
      </c>
      <c r="P305" s="34" t="s">
        <v>74</v>
      </c>
      <c r="Q305" s="33" t="n">
        <f>1659</f>
        <v>1659.0</v>
      </c>
      <c r="R305" s="34" t="s">
        <v>50</v>
      </c>
      <c r="S305" s="35" t="n">
        <f>1603.47</f>
        <v>1603.47</v>
      </c>
      <c r="T305" s="32" t="n">
        <f>30542</f>
        <v>30542.0</v>
      </c>
      <c r="U305" s="32" t="n">
        <f>2</f>
        <v>2.0</v>
      </c>
      <c r="V305" s="32" t="n">
        <f>48684491</f>
        <v>4.8684491E7</v>
      </c>
      <c r="W305" s="32" t="n">
        <f>3166</f>
        <v>3166.0</v>
      </c>
      <c r="X305" s="36" t="n">
        <f>19</f>
        <v>19.0</v>
      </c>
    </row>
    <row r="306">
      <c r="A306" s="27" t="s">
        <v>42</v>
      </c>
      <c r="B306" s="27" t="s">
        <v>970</v>
      </c>
      <c r="C306" s="27" t="s">
        <v>971</v>
      </c>
      <c r="D306" s="27" t="s">
        <v>972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2028</f>
        <v>2028.0</v>
      </c>
      <c r="L306" s="34" t="s">
        <v>48</v>
      </c>
      <c r="M306" s="33" t="n">
        <f>2185</f>
        <v>2185.0</v>
      </c>
      <c r="N306" s="34" t="s">
        <v>70</v>
      </c>
      <c r="O306" s="33" t="n">
        <f>1982</f>
        <v>1982.0</v>
      </c>
      <c r="P306" s="34" t="s">
        <v>74</v>
      </c>
      <c r="Q306" s="33" t="n">
        <f>2143</f>
        <v>2143.0</v>
      </c>
      <c r="R306" s="34" t="s">
        <v>50</v>
      </c>
      <c r="S306" s="35" t="n">
        <f>2069</f>
        <v>2069.0</v>
      </c>
      <c r="T306" s="32" t="n">
        <f>229679</f>
        <v>229679.0</v>
      </c>
      <c r="U306" s="32" t="n">
        <f>3</f>
        <v>3.0</v>
      </c>
      <c r="V306" s="32" t="n">
        <f>476457380</f>
        <v>4.7645738E8</v>
      </c>
      <c r="W306" s="32" t="n">
        <f>6519</f>
        <v>6519.0</v>
      </c>
      <c r="X306" s="36" t="n">
        <f>19</f>
        <v>19.0</v>
      </c>
    </row>
    <row r="307">
      <c r="A307" s="27" t="s">
        <v>42</v>
      </c>
      <c r="B307" s="27" t="s">
        <v>973</v>
      </c>
      <c r="C307" s="27" t="s">
        <v>974</v>
      </c>
      <c r="D307" s="27" t="s">
        <v>975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1612</f>
        <v>1612.0</v>
      </c>
      <c r="L307" s="34" t="s">
        <v>48</v>
      </c>
      <c r="M307" s="33" t="n">
        <f>1682</f>
        <v>1682.0</v>
      </c>
      <c r="N307" s="34" t="s">
        <v>70</v>
      </c>
      <c r="O307" s="33" t="n">
        <f>1573</f>
        <v>1573.0</v>
      </c>
      <c r="P307" s="34" t="s">
        <v>74</v>
      </c>
      <c r="Q307" s="33" t="n">
        <f>1679</f>
        <v>1679.0</v>
      </c>
      <c r="R307" s="34" t="s">
        <v>50</v>
      </c>
      <c r="S307" s="35" t="n">
        <f>1632.79</f>
        <v>1632.79</v>
      </c>
      <c r="T307" s="32" t="n">
        <f>58193</f>
        <v>58193.0</v>
      </c>
      <c r="U307" s="32" t="str">
        <f>"－"</f>
        <v>－</v>
      </c>
      <c r="V307" s="32" t="n">
        <f>94251522</f>
        <v>9.4251522E7</v>
      </c>
      <c r="W307" s="32" t="str">
        <f>"－"</f>
        <v>－</v>
      </c>
      <c r="X307" s="36" t="n">
        <f>19</f>
        <v>19.0</v>
      </c>
    </row>
    <row r="308">
      <c r="A308" s="27" t="s">
        <v>42</v>
      </c>
      <c r="B308" s="27" t="s">
        <v>976</v>
      </c>
      <c r="C308" s="27" t="s">
        <v>977</v>
      </c>
      <c r="D308" s="27" t="s">
        <v>978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2963</f>
        <v>2963.0</v>
      </c>
      <c r="L308" s="34" t="s">
        <v>48</v>
      </c>
      <c r="M308" s="33" t="n">
        <f>3145</f>
        <v>3145.0</v>
      </c>
      <c r="N308" s="34" t="s">
        <v>236</v>
      </c>
      <c r="O308" s="33" t="n">
        <f>2941</f>
        <v>2941.0</v>
      </c>
      <c r="P308" s="34" t="s">
        <v>48</v>
      </c>
      <c r="Q308" s="33" t="n">
        <f>2983</f>
        <v>2983.0</v>
      </c>
      <c r="R308" s="34" t="s">
        <v>50</v>
      </c>
      <c r="S308" s="35" t="n">
        <f>3023.74</f>
        <v>3023.74</v>
      </c>
      <c r="T308" s="32" t="n">
        <f>74427</f>
        <v>74427.0</v>
      </c>
      <c r="U308" s="32" t="n">
        <f>30</f>
        <v>30.0</v>
      </c>
      <c r="V308" s="32" t="n">
        <f>225898655</f>
        <v>2.25898655E8</v>
      </c>
      <c r="W308" s="32" t="n">
        <f>90900</f>
        <v>90900.0</v>
      </c>
      <c r="X308" s="36" t="n">
        <f>19</f>
        <v>19.0</v>
      </c>
    </row>
    <row r="309">
      <c r="A309" s="27" t="s">
        <v>42</v>
      </c>
      <c r="B309" s="27" t="s">
        <v>979</v>
      </c>
      <c r="C309" s="27" t="s">
        <v>980</v>
      </c>
      <c r="D309" s="27" t="s">
        <v>981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2785</f>
        <v>2785.0</v>
      </c>
      <c r="L309" s="34" t="s">
        <v>48</v>
      </c>
      <c r="M309" s="33" t="n">
        <f>3055</f>
        <v>3055.0</v>
      </c>
      <c r="N309" s="34" t="s">
        <v>210</v>
      </c>
      <c r="O309" s="33" t="n">
        <f>2752</f>
        <v>2752.0</v>
      </c>
      <c r="P309" s="34" t="s">
        <v>236</v>
      </c>
      <c r="Q309" s="33" t="n">
        <f>2973</f>
        <v>2973.0</v>
      </c>
      <c r="R309" s="34" t="s">
        <v>50</v>
      </c>
      <c r="S309" s="35" t="n">
        <f>2892.42</f>
        <v>2892.42</v>
      </c>
      <c r="T309" s="32" t="n">
        <f>741584</f>
        <v>741584.0</v>
      </c>
      <c r="U309" s="32" t="str">
        <f>"－"</f>
        <v>－</v>
      </c>
      <c r="V309" s="32" t="n">
        <f>2165389936</f>
        <v>2.165389936E9</v>
      </c>
      <c r="W309" s="32" t="str">
        <f>"－"</f>
        <v>－</v>
      </c>
      <c r="X309" s="36" t="n">
        <f>19</f>
        <v>19.0</v>
      </c>
    </row>
    <row r="310">
      <c r="A310" s="27" t="s">
        <v>42</v>
      </c>
      <c r="B310" s="27" t="s">
        <v>982</v>
      </c>
      <c r="C310" s="27" t="s">
        <v>983</v>
      </c>
      <c r="D310" s="27" t="s">
        <v>984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33630</f>
        <v>33630.0</v>
      </c>
      <c r="L310" s="34" t="s">
        <v>81</v>
      </c>
      <c r="M310" s="33" t="n">
        <f>35490</f>
        <v>35490.0</v>
      </c>
      <c r="N310" s="34" t="s">
        <v>68</v>
      </c>
      <c r="O310" s="33" t="n">
        <f>33400</f>
        <v>33400.0</v>
      </c>
      <c r="P310" s="34" t="s">
        <v>236</v>
      </c>
      <c r="Q310" s="33" t="n">
        <f>35210</f>
        <v>35210.0</v>
      </c>
      <c r="R310" s="34" t="s">
        <v>50</v>
      </c>
      <c r="S310" s="35" t="n">
        <f>34456.25</f>
        <v>34456.25</v>
      </c>
      <c r="T310" s="32" t="n">
        <f>93</f>
        <v>93.0</v>
      </c>
      <c r="U310" s="32" t="str">
        <f>"－"</f>
        <v>－</v>
      </c>
      <c r="V310" s="32" t="n">
        <f>3220330</f>
        <v>3220330.0</v>
      </c>
      <c r="W310" s="32" t="str">
        <f>"－"</f>
        <v>－</v>
      </c>
      <c r="X310" s="36" t="n">
        <f>16</f>
        <v>16.0</v>
      </c>
    </row>
    <row r="311">
      <c r="A311" s="27" t="s">
        <v>42</v>
      </c>
      <c r="B311" s="27" t="s">
        <v>985</v>
      </c>
      <c r="C311" s="27" t="s">
        <v>986</v>
      </c>
      <c r="D311" s="27" t="s">
        <v>987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2685</f>
        <v>2685.0</v>
      </c>
      <c r="L311" s="34" t="s">
        <v>48</v>
      </c>
      <c r="M311" s="33" t="n">
        <f>2794</f>
        <v>2794.0</v>
      </c>
      <c r="N311" s="34" t="s">
        <v>295</v>
      </c>
      <c r="O311" s="33" t="n">
        <f>2608</f>
        <v>2608.0</v>
      </c>
      <c r="P311" s="34" t="s">
        <v>236</v>
      </c>
      <c r="Q311" s="33" t="n">
        <f>2769</f>
        <v>2769.0</v>
      </c>
      <c r="R311" s="34" t="s">
        <v>50</v>
      </c>
      <c r="S311" s="35" t="n">
        <f>2693.63</f>
        <v>2693.63</v>
      </c>
      <c r="T311" s="32" t="n">
        <f>4612</f>
        <v>4612.0</v>
      </c>
      <c r="U311" s="32" t="str">
        <f>"－"</f>
        <v>－</v>
      </c>
      <c r="V311" s="32" t="n">
        <f>12389700</f>
        <v>1.23897E7</v>
      </c>
      <c r="W311" s="32" t="str">
        <f>"－"</f>
        <v>－</v>
      </c>
      <c r="X311" s="36" t="n">
        <f>19</f>
        <v>19.0</v>
      </c>
    </row>
    <row r="312">
      <c r="A312" s="27" t="s">
        <v>42</v>
      </c>
      <c r="B312" s="27" t="s">
        <v>988</v>
      </c>
      <c r="C312" s="27" t="s">
        <v>989</v>
      </c>
      <c r="D312" s="27" t="s">
        <v>990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4185</f>
        <v>4185.0</v>
      </c>
      <c r="L312" s="34" t="s">
        <v>48</v>
      </c>
      <c r="M312" s="33" t="n">
        <f>4965</f>
        <v>4965.0</v>
      </c>
      <c r="N312" s="34" t="s">
        <v>295</v>
      </c>
      <c r="O312" s="33" t="n">
        <f>4170</f>
        <v>4170.0</v>
      </c>
      <c r="P312" s="34" t="s">
        <v>48</v>
      </c>
      <c r="Q312" s="33" t="n">
        <f>4805</f>
        <v>4805.0</v>
      </c>
      <c r="R312" s="34" t="s">
        <v>50</v>
      </c>
      <c r="S312" s="35" t="n">
        <f>4607.63</f>
        <v>4607.63</v>
      </c>
      <c r="T312" s="32" t="n">
        <f>20183943</f>
        <v>2.0183943E7</v>
      </c>
      <c r="U312" s="32" t="n">
        <f>878485</f>
        <v>878485.0</v>
      </c>
      <c r="V312" s="32" t="n">
        <f>94504773851</f>
        <v>9.4504773851E10</v>
      </c>
      <c r="W312" s="32" t="n">
        <f>4089765136</f>
        <v>4.089765136E9</v>
      </c>
      <c r="X312" s="36" t="n">
        <f>19</f>
        <v>19.0</v>
      </c>
    </row>
    <row r="313">
      <c r="A313" s="27" t="s">
        <v>42</v>
      </c>
      <c r="B313" s="27" t="s">
        <v>991</v>
      </c>
      <c r="C313" s="27" t="s">
        <v>992</v>
      </c>
      <c r="D313" s="27" t="s">
        <v>993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2019</f>
        <v>2019.0</v>
      </c>
      <c r="L313" s="34" t="s">
        <v>48</v>
      </c>
      <c r="M313" s="33" t="n">
        <f>2115</f>
        <v>2115.0</v>
      </c>
      <c r="N313" s="34" t="s">
        <v>68</v>
      </c>
      <c r="O313" s="33" t="n">
        <f>1985</f>
        <v>1985.0</v>
      </c>
      <c r="P313" s="34" t="s">
        <v>214</v>
      </c>
      <c r="Q313" s="33" t="n">
        <f>2100</f>
        <v>2100.0</v>
      </c>
      <c r="R313" s="34" t="s">
        <v>50</v>
      </c>
      <c r="S313" s="35" t="n">
        <f>2051.16</f>
        <v>2051.16</v>
      </c>
      <c r="T313" s="32" t="n">
        <f>10950</f>
        <v>10950.0</v>
      </c>
      <c r="U313" s="32" t="str">
        <f>"－"</f>
        <v>－</v>
      </c>
      <c r="V313" s="32" t="n">
        <f>22473295</f>
        <v>2.2473295E7</v>
      </c>
      <c r="W313" s="32" t="str">
        <f>"－"</f>
        <v>－</v>
      </c>
      <c r="X313" s="36" t="n">
        <f>19</f>
        <v>19.0</v>
      </c>
    </row>
    <row r="314">
      <c r="A314" s="27" t="s">
        <v>42</v>
      </c>
      <c r="B314" s="27" t="s">
        <v>994</v>
      </c>
      <c r="C314" s="27" t="s">
        <v>995</v>
      </c>
      <c r="D314" s="27" t="s">
        <v>996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1801</f>
        <v>1801.0</v>
      </c>
      <c r="L314" s="34" t="s">
        <v>48</v>
      </c>
      <c r="M314" s="33" t="n">
        <f>1851</f>
        <v>1851.0</v>
      </c>
      <c r="N314" s="34" t="s">
        <v>49</v>
      </c>
      <c r="O314" s="33" t="n">
        <f>1775</f>
        <v>1775.0</v>
      </c>
      <c r="P314" s="34" t="s">
        <v>88</v>
      </c>
      <c r="Q314" s="33" t="n">
        <f>1824</f>
        <v>1824.0</v>
      </c>
      <c r="R314" s="34" t="s">
        <v>50</v>
      </c>
      <c r="S314" s="35" t="n">
        <f>1815.95</f>
        <v>1815.95</v>
      </c>
      <c r="T314" s="32" t="n">
        <f>7251</f>
        <v>7251.0</v>
      </c>
      <c r="U314" s="32" t="str">
        <f>"－"</f>
        <v>－</v>
      </c>
      <c r="V314" s="32" t="n">
        <f>13163998</f>
        <v>1.3163998E7</v>
      </c>
      <c r="W314" s="32" t="str">
        <f>"－"</f>
        <v>－</v>
      </c>
      <c r="X314" s="36" t="n">
        <f>19</f>
        <v>19.0</v>
      </c>
    </row>
    <row r="315">
      <c r="A315" s="27" t="s">
        <v>42</v>
      </c>
      <c r="B315" s="27" t="s">
        <v>997</v>
      </c>
      <c r="C315" s="27" t="s">
        <v>998</v>
      </c>
      <c r="D315" s="27" t="s">
        <v>999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10.0</v>
      </c>
      <c r="K315" s="33" t="n">
        <f>5574</f>
        <v>5574.0</v>
      </c>
      <c r="L315" s="34" t="s">
        <v>48</v>
      </c>
      <c r="M315" s="33" t="n">
        <f>5574</f>
        <v>5574.0</v>
      </c>
      <c r="N315" s="34" t="s">
        <v>48</v>
      </c>
      <c r="O315" s="33" t="n">
        <f>5510</f>
        <v>5510.0</v>
      </c>
      <c r="P315" s="34" t="s">
        <v>60</v>
      </c>
      <c r="Q315" s="33" t="n">
        <f>5535</f>
        <v>5535.0</v>
      </c>
      <c r="R315" s="34" t="s">
        <v>50</v>
      </c>
      <c r="S315" s="35" t="n">
        <f>5542.89</f>
        <v>5542.89</v>
      </c>
      <c r="T315" s="32" t="n">
        <f>141580</f>
        <v>141580.0</v>
      </c>
      <c r="U315" s="32" t="n">
        <f>40700</f>
        <v>40700.0</v>
      </c>
      <c r="V315" s="32" t="n">
        <f>785893590</f>
        <v>7.8589359E8</v>
      </c>
      <c r="W315" s="32" t="n">
        <f>225862860</f>
        <v>2.2586286E8</v>
      </c>
      <c r="X315" s="36" t="n">
        <f>19</f>
        <v>19.0</v>
      </c>
    </row>
    <row r="316">
      <c r="A316" s="27" t="s">
        <v>42</v>
      </c>
      <c r="B316" s="27" t="s">
        <v>1000</v>
      </c>
      <c r="C316" s="27" t="s">
        <v>1001</v>
      </c>
      <c r="D316" s="27" t="s">
        <v>1002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10.0</v>
      </c>
      <c r="K316" s="33" t="n">
        <f>3878</f>
        <v>3878.0</v>
      </c>
      <c r="L316" s="34" t="s">
        <v>48</v>
      </c>
      <c r="M316" s="33" t="n">
        <f>3899</f>
        <v>3899.0</v>
      </c>
      <c r="N316" s="34" t="s">
        <v>81</v>
      </c>
      <c r="O316" s="33" t="n">
        <f>3758</f>
        <v>3758.0</v>
      </c>
      <c r="P316" s="34" t="s">
        <v>109</v>
      </c>
      <c r="Q316" s="33" t="n">
        <f>3772</f>
        <v>3772.0</v>
      </c>
      <c r="R316" s="34" t="s">
        <v>50</v>
      </c>
      <c r="S316" s="35" t="n">
        <f>3801.42</f>
        <v>3801.42</v>
      </c>
      <c r="T316" s="32" t="n">
        <f>2063350</f>
        <v>2063350.0</v>
      </c>
      <c r="U316" s="32" t="n">
        <f>1643560</f>
        <v>1643560.0</v>
      </c>
      <c r="V316" s="32" t="n">
        <f>7809766256</f>
        <v>7.809766256E9</v>
      </c>
      <c r="W316" s="32" t="n">
        <f>6220953036</f>
        <v>6.220953036E9</v>
      </c>
      <c r="X316" s="36" t="n">
        <f>19</f>
        <v>19.0</v>
      </c>
    </row>
    <row r="317">
      <c r="A317" s="27" t="s">
        <v>42</v>
      </c>
      <c r="B317" s="27" t="s">
        <v>1003</v>
      </c>
      <c r="C317" s="27" t="s">
        <v>1004</v>
      </c>
      <c r="D317" s="27" t="s">
        <v>1005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10.0</v>
      </c>
      <c r="K317" s="33" t="n">
        <f>651.2</f>
        <v>651.2</v>
      </c>
      <c r="L317" s="34" t="s">
        <v>48</v>
      </c>
      <c r="M317" s="33" t="n">
        <f>651.3</f>
        <v>651.3</v>
      </c>
      <c r="N317" s="34" t="s">
        <v>81</v>
      </c>
      <c r="O317" s="33" t="n">
        <f>633</f>
        <v>633.0</v>
      </c>
      <c r="P317" s="34" t="s">
        <v>88</v>
      </c>
      <c r="Q317" s="33" t="n">
        <f>633.9</f>
        <v>633.9</v>
      </c>
      <c r="R317" s="34" t="s">
        <v>50</v>
      </c>
      <c r="S317" s="35" t="n">
        <f>639.4</f>
        <v>639.4</v>
      </c>
      <c r="T317" s="32" t="n">
        <f>52770</f>
        <v>52770.0</v>
      </c>
      <c r="U317" s="32" t="str">
        <f>"－"</f>
        <v>－</v>
      </c>
      <c r="V317" s="32" t="n">
        <f>33688203</f>
        <v>3.3688203E7</v>
      </c>
      <c r="W317" s="32" t="str">
        <f>"－"</f>
        <v>－</v>
      </c>
      <c r="X317" s="36" t="n">
        <f>19</f>
        <v>19.0</v>
      </c>
    </row>
    <row r="318">
      <c r="A318" s="27" t="s">
        <v>42</v>
      </c>
      <c r="B318" s="27" t="s">
        <v>1006</v>
      </c>
      <c r="C318" s="27" t="s">
        <v>1007</v>
      </c>
      <c r="D318" s="27" t="s">
        <v>1008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2347</f>
        <v>2347.0</v>
      </c>
      <c r="L318" s="34" t="s">
        <v>48</v>
      </c>
      <c r="M318" s="33" t="n">
        <f>2604</f>
        <v>2604.0</v>
      </c>
      <c r="N318" s="34" t="s">
        <v>50</v>
      </c>
      <c r="O318" s="33" t="n">
        <f>2306</f>
        <v>2306.0</v>
      </c>
      <c r="P318" s="34" t="s">
        <v>74</v>
      </c>
      <c r="Q318" s="33" t="n">
        <f>2604</f>
        <v>2604.0</v>
      </c>
      <c r="R318" s="34" t="s">
        <v>50</v>
      </c>
      <c r="S318" s="35" t="n">
        <f>2414.79</f>
        <v>2414.79</v>
      </c>
      <c r="T318" s="32" t="n">
        <f>4872</f>
        <v>4872.0</v>
      </c>
      <c r="U318" s="32" t="str">
        <f>"－"</f>
        <v>－</v>
      </c>
      <c r="V318" s="32" t="n">
        <f>11969994</f>
        <v>1.1969994E7</v>
      </c>
      <c r="W318" s="32" t="str">
        <f>"－"</f>
        <v>－</v>
      </c>
      <c r="X318" s="36" t="n">
        <f>19</f>
        <v>19.0</v>
      </c>
    </row>
    <row r="319">
      <c r="A319" s="27" t="s">
        <v>42</v>
      </c>
      <c r="B319" s="27" t="s">
        <v>1009</v>
      </c>
      <c r="C319" s="27" t="s">
        <v>1010</v>
      </c>
      <c r="D319" s="27" t="s">
        <v>1011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2171</f>
        <v>2171.0</v>
      </c>
      <c r="L319" s="34" t="s">
        <v>48</v>
      </c>
      <c r="M319" s="33" t="n">
        <f>2283</f>
        <v>2283.0</v>
      </c>
      <c r="N319" s="34" t="s">
        <v>49</v>
      </c>
      <c r="O319" s="33" t="n">
        <f>2145</f>
        <v>2145.0</v>
      </c>
      <c r="P319" s="34" t="s">
        <v>214</v>
      </c>
      <c r="Q319" s="33" t="n">
        <f>2237</f>
        <v>2237.0</v>
      </c>
      <c r="R319" s="34" t="s">
        <v>50</v>
      </c>
      <c r="S319" s="35" t="n">
        <f>2204.79</f>
        <v>2204.79</v>
      </c>
      <c r="T319" s="32" t="n">
        <f>18517</f>
        <v>18517.0</v>
      </c>
      <c r="U319" s="32" t="str">
        <f>"－"</f>
        <v>－</v>
      </c>
      <c r="V319" s="32" t="n">
        <f>41202833</f>
        <v>4.1202833E7</v>
      </c>
      <c r="W319" s="32" t="str">
        <f>"－"</f>
        <v>－</v>
      </c>
      <c r="X319" s="36" t="n">
        <f>19</f>
        <v>19.0</v>
      </c>
    </row>
    <row r="320">
      <c r="A320" s="27" t="s">
        <v>42</v>
      </c>
      <c r="B320" s="27" t="s">
        <v>1012</v>
      </c>
      <c r="C320" s="27" t="s">
        <v>1013</v>
      </c>
      <c r="D320" s="27" t="s">
        <v>1014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8328</f>
        <v>8328.0</v>
      </c>
      <c r="L320" s="34" t="s">
        <v>48</v>
      </c>
      <c r="M320" s="33" t="n">
        <f>8337</f>
        <v>8337.0</v>
      </c>
      <c r="N320" s="34" t="s">
        <v>74</v>
      </c>
      <c r="O320" s="33" t="n">
        <f>8189</f>
        <v>8189.0</v>
      </c>
      <c r="P320" s="34" t="s">
        <v>69</v>
      </c>
      <c r="Q320" s="33" t="n">
        <f>8231</f>
        <v>8231.0</v>
      </c>
      <c r="R320" s="34" t="s">
        <v>50</v>
      </c>
      <c r="S320" s="35" t="n">
        <f>8252.16</f>
        <v>8252.16</v>
      </c>
      <c r="T320" s="32" t="n">
        <f>40708</f>
        <v>40708.0</v>
      </c>
      <c r="U320" s="32" t="str">
        <f>"－"</f>
        <v>－</v>
      </c>
      <c r="V320" s="32" t="n">
        <f>336192088</f>
        <v>3.36192088E8</v>
      </c>
      <c r="W320" s="32" t="str">
        <f>"－"</f>
        <v>－</v>
      </c>
      <c r="X320" s="36" t="n">
        <f>19</f>
        <v>19.0</v>
      </c>
    </row>
    <row r="321">
      <c r="A321" s="27" t="s">
        <v>42</v>
      </c>
      <c r="B321" s="27" t="s">
        <v>1015</v>
      </c>
      <c r="C321" s="27" t="s">
        <v>1016</v>
      </c>
      <c r="D321" s="27" t="s">
        <v>1017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5774</f>
        <v>5774.0</v>
      </c>
      <c r="L321" s="34" t="s">
        <v>48</v>
      </c>
      <c r="M321" s="33" t="n">
        <f>5825</f>
        <v>5825.0</v>
      </c>
      <c r="N321" s="34" t="s">
        <v>61</v>
      </c>
      <c r="O321" s="33" t="n">
        <f>5576</f>
        <v>5576.0</v>
      </c>
      <c r="P321" s="34" t="s">
        <v>88</v>
      </c>
      <c r="Q321" s="33" t="n">
        <f>5607</f>
        <v>5607.0</v>
      </c>
      <c r="R321" s="34" t="s">
        <v>50</v>
      </c>
      <c r="S321" s="35" t="n">
        <f>5650.37</f>
        <v>5650.37</v>
      </c>
      <c r="T321" s="32" t="n">
        <f>91235</f>
        <v>91235.0</v>
      </c>
      <c r="U321" s="32" t="n">
        <f>37001</f>
        <v>37001.0</v>
      </c>
      <c r="V321" s="32" t="n">
        <f>512550693</f>
        <v>5.12550693E8</v>
      </c>
      <c r="W321" s="32" t="n">
        <f>206695020</f>
        <v>2.0669502E8</v>
      </c>
      <c r="X321" s="36" t="n">
        <f>19</f>
        <v>19.0</v>
      </c>
    </row>
    <row r="322">
      <c r="A322" s="27" t="s">
        <v>42</v>
      </c>
      <c r="B322" s="27" t="s">
        <v>1018</v>
      </c>
      <c r="C322" s="27" t="s">
        <v>1019</v>
      </c>
      <c r="D322" s="27" t="s">
        <v>1020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23460</f>
        <v>23460.0</v>
      </c>
      <c r="L322" s="34" t="s">
        <v>48</v>
      </c>
      <c r="M322" s="33" t="n">
        <f>25115</f>
        <v>25115.0</v>
      </c>
      <c r="N322" s="34" t="s">
        <v>70</v>
      </c>
      <c r="O322" s="33" t="n">
        <f>23415</f>
        <v>23415.0</v>
      </c>
      <c r="P322" s="34" t="s">
        <v>48</v>
      </c>
      <c r="Q322" s="33" t="n">
        <f>24905</f>
        <v>24905.0</v>
      </c>
      <c r="R322" s="34" t="s">
        <v>50</v>
      </c>
      <c r="S322" s="35" t="n">
        <f>24559.74</f>
        <v>24559.74</v>
      </c>
      <c r="T322" s="32" t="n">
        <f>193176</f>
        <v>193176.0</v>
      </c>
      <c r="U322" s="32" t="n">
        <f>30176</f>
        <v>30176.0</v>
      </c>
      <c r="V322" s="32" t="n">
        <f>4726999008</f>
        <v>4.726999008E9</v>
      </c>
      <c r="W322" s="32" t="n">
        <f>748101618</f>
        <v>7.48101618E8</v>
      </c>
      <c r="X322" s="36" t="n">
        <f>19</f>
        <v>19.0</v>
      </c>
    </row>
    <row r="323">
      <c r="A323" s="27" t="s">
        <v>42</v>
      </c>
      <c r="B323" s="27" t="s">
        <v>1021</v>
      </c>
      <c r="C323" s="27" t="s">
        <v>1022</v>
      </c>
      <c r="D323" s="27" t="s">
        <v>1023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11010</f>
        <v>11010.0</v>
      </c>
      <c r="L323" s="34" t="s">
        <v>48</v>
      </c>
      <c r="M323" s="33" t="n">
        <f>11470</f>
        <v>11470.0</v>
      </c>
      <c r="N323" s="34" t="s">
        <v>70</v>
      </c>
      <c r="O323" s="33" t="n">
        <f>10995</f>
        <v>10995.0</v>
      </c>
      <c r="P323" s="34" t="s">
        <v>48</v>
      </c>
      <c r="Q323" s="33" t="n">
        <f>11410</f>
        <v>11410.0</v>
      </c>
      <c r="R323" s="34" t="s">
        <v>50</v>
      </c>
      <c r="S323" s="35" t="n">
        <f>11314.21</f>
        <v>11314.21</v>
      </c>
      <c r="T323" s="32" t="n">
        <f>986865</f>
        <v>986865.0</v>
      </c>
      <c r="U323" s="32" t="n">
        <f>282414</f>
        <v>282414.0</v>
      </c>
      <c r="V323" s="32" t="n">
        <f>11156281618</f>
        <v>1.1156281618E10</v>
      </c>
      <c r="W323" s="32" t="n">
        <f>3200488008</f>
        <v>3.200488008E9</v>
      </c>
      <c r="X323" s="36" t="n">
        <f>19</f>
        <v>19.0</v>
      </c>
    </row>
    <row r="324">
      <c r="A324" s="27" t="s">
        <v>42</v>
      </c>
      <c r="B324" s="27" t="s">
        <v>1024</v>
      </c>
      <c r="C324" s="27" t="s">
        <v>1025</v>
      </c>
      <c r="D324" s="27" t="s">
        <v>1026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21410</f>
        <v>21410.0</v>
      </c>
      <c r="L324" s="34" t="s">
        <v>48</v>
      </c>
      <c r="M324" s="33" t="n">
        <f>21410</f>
        <v>21410.0</v>
      </c>
      <c r="N324" s="34" t="s">
        <v>48</v>
      </c>
      <c r="O324" s="33" t="n">
        <f>20475</f>
        <v>20475.0</v>
      </c>
      <c r="P324" s="34" t="s">
        <v>70</v>
      </c>
      <c r="Q324" s="33" t="n">
        <f>20580</f>
        <v>20580.0</v>
      </c>
      <c r="R324" s="34" t="s">
        <v>50</v>
      </c>
      <c r="S324" s="35" t="n">
        <f>20784.47</f>
        <v>20784.47</v>
      </c>
      <c r="T324" s="32" t="n">
        <f>114530</f>
        <v>114530.0</v>
      </c>
      <c r="U324" s="32" t="n">
        <f>47583</f>
        <v>47583.0</v>
      </c>
      <c r="V324" s="32" t="n">
        <f>2397667087</f>
        <v>2.397667087E9</v>
      </c>
      <c r="W324" s="32" t="n">
        <f>1000809952</f>
        <v>1.000809952E9</v>
      </c>
      <c r="X324" s="36" t="n">
        <f>19</f>
        <v>19.0</v>
      </c>
    </row>
    <row r="325">
      <c r="A325" s="27" t="s">
        <v>42</v>
      </c>
      <c r="B325" s="27" t="s">
        <v>1027</v>
      </c>
      <c r="C325" s="27" t="s">
        <v>1028</v>
      </c>
      <c r="D325" s="27" t="s">
        <v>1029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10.0</v>
      </c>
      <c r="K325" s="33" t="n">
        <f>4194</f>
        <v>4194.0</v>
      </c>
      <c r="L325" s="34" t="s">
        <v>61</v>
      </c>
      <c r="M325" s="33" t="n">
        <f>4212</f>
        <v>4212.0</v>
      </c>
      <c r="N325" s="34" t="s">
        <v>236</v>
      </c>
      <c r="O325" s="33" t="n">
        <f>4112</f>
        <v>4112.0</v>
      </c>
      <c r="P325" s="34" t="s">
        <v>88</v>
      </c>
      <c r="Q325" s="33" t="n">
        <f>4150</f>
        <v>4150.0</v>
      </c>
      <c r="R325" s="34" t="s">
        <v>70</v>
      </c>
      <c r="S325" s="35" t="n">
        <f>4167.15</f>
        <v>4167.15</v>
      </c>
      <c r="T325" s="32" t="n">
        <f>795240</f>
        <v>795240.0</v>
      </c>
      <c r="U325" s="32" t="n">
        <f>746000</f>
        <v>746000.0</v>
      </c>
      <c r="V325" s="32" t="n">
        <f>3310501250</f>
        <v>3.31050125E9</v>
      </c>
      <c r="W325" s="32" t="n">
        <f>3104044100</f>
        <v>3.1040441E9</v>
      </c>
      <c r="X325" s="36" t="n">
        <f>13</f>
        <v>13.0</v>
      </c>
    </row>
    <row r="326">
      <c r="A326" s="27" t="s">
        <v>42</v>
      </c>
      <c r="B326" s="27" t="s">
        <v>1030</v>
      </c>
      <c r="C326" s="27" t="s">
        <v>1031</v>
      </c>
      <c r="D326" s="27" t="s">
        <v>1032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10.0</v>
      </c>
      <c r="K326" s="33" t="n">
        <f>5177</f>
        <v>5177.0</v>
      </c>
      <c r="L326" s="34" t="s">
        <v>48</v>
      </c>
      <c r="M326" s="33" t="n">
        <f>5208</f>
        <v>5208.0</v>
      </c>
      <c r="N326" s="34" t="s">
        <v>68</v>
      </c>
      <c r="O326" s="33" t="n">
        <f>5036</f>
        <v>5036.0</v>
      </c>
      <c r="P326" s="34" t="s">
        <v>88</v>
      </c>
      <c r="Q326" s="33" t="n">
        <f>5136</f>
        <v>5136.0</v>
      </c>
      <c r="R326" s="34" t="s">
        <v>50</v>
      </c>
      <c r="S326" s="35" t="n">
        <f>5135.5</f>
        <v>5135.5</v>
      </c>
      <c r="T326" s="32" t="n">
        <f>862240</f>
        <v>862240.0</v>
      </c>
      <c r="U326" s="32" t="n">
        <f>828900</f>
        <v>828900.0</v>
      </c>
      <c r="V326" s="32" t="n">
        <f>4403731912</f>
        <v>4.403731912E9</v>
      </c>
      <c r="W326" s="32" t="n">
        <f>4232691052</f>
        <v>4.232691052E9</v>
      </c>
      <c r="X326" s="36" t="n">
        <f>18</f>
        <v>18.0</v>
      </c>
    </row>
    <row r="327">
      <c r="A327" s="27" t="s">
        <v>42</v>
      </c>
      <c r="B327" s="27" t="s">
        <v>1033</v>
      </c>
      <c r="C327" s="27" t="s">
        <v>1034</v>
      </c>
      <c r="D327" s="27" t="s">
        <v>1035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10.0</v>
      </c>
      <c r="K327" s="33" t="n">
        <f>2299</f>
        <v>2299.0</v>
      </c>
      <c r="L327" s="34" t="s">
        <v>48</v>
      </c>
      <c r="M327" s="33" t="n">
        <f>2391.5</f>
        <v>2391.5</v>
      </c>
      <c r="N327" s="34" t="s">
        <v>69</v>
      </c>
      <c r="O327" s="33" t="n">
        <f>2299</f>
        <v>2299.0</v>
      </c>
      <c r="P327" s="34" t="s">
        <v>48</v>
      </c>
      <c r="Q327" s="33" t="n">
        <f>2381.5</f>
        <v>2381.5</v>
      </c>
      <c r="R327" s="34" t="s">
        <v>50</v>
      </c>
      <c r="S327" s="35" t="n">
        <f>2364.11</f>
        <v>2364.11</v>
      </c>
      <c r="T327" s="32" t="n">
        <f>2728870</f>
        <v>2728870.0</v>
      </c>
      <c r="U327" s="32" t="n">
        <f>1015710</f>
        <v>1015710.0</v>
      </c>
      <c r="V327" s="32" t="n">
        <f>6442095382</f>
        <v>6.442095382E9</v>
      </c>
      <c r="W327" s="32" t="n">
        <f>2405465382</f>
        <v>2.405465382E9</v>
      </c>
      <c r="X327" s="36" t="n">
        <f>19</f>
        <v>19.0</v>
      </c>
    </row>
    <row r="328">
      <c r="A328" s="27" t="s">
        <v>42</v>
      </c>
      <c r="B328" s="27" t="s">
        <v>1036</v>
      </c>
      <c r="C328" s="27" t="s">
        <v>1037</v>
      </c>
      <c r="D328" s="27" t="s">
        <v>1038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10.0</v>
      </c>
      <c r="K328" s="33" t="n">
        <f>2073.5</f>
        <v>2073.5</v>
      </c>
      <c r="L328" s="34" t="s">
        <v>48</v>
      </c>
      <c r="M328" s="33" t="n">
        <f>2101.5</f>
        <v>2101.5</v>
      </c>
      <c r="N328" s="34" t="s">
        <v>68</v>
      </c>
      <c r="O328" s="33" t="n">
        <f>2055.5</f>
        <v>2055.5</v>
      </c>
      <c r="P328" s="34" t="s">
        <v>88</v>
      </c>
      <c r="Q328" s="33" t="n">
        <f>2093.5</f>
        <v>2093.5</v>
      </c>
      <c r="R328" s="34" t="s">
        <v>50</v>
      </c>
      <c r="S328" s="35" t="n">
        <f>2082.74</f>
        <v>2082.74</v>
      </c>
      <c r="T328" s="32" t="n">
        <f>474830</f>
        <v>474830.0</v>
      </c>
      <c r="U328" s="32" t="n">
        <f>336010</f>
        <v>336010.0</v>
      </c>
      <c r="V328" s="32" t="n">
        <f>989699528</f>
        <v>9.89699528E8</v>
      </c>
      <c r="W328" s="32" t="n">
        <f>700509503</f>
        <v>7.00509503E8</v>
      </c>
      <c r="X328" s="36" t="n">
        <f>19</f>
        <v>19.0</v>
      </c>
    </row>
    <row r="329">
      <c r="A329" s="27" t="s">
        <v>42</v>
      </c>
      <c r="B329" s="27" t="s">
        <v>1039</v>
      </c>
      <c r="C329" s="27" t="s">
        <v>1040</v>
      </c>
      <c r="D329" s="27" t="s">
        <v>1041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1870</f>
        <v>1870.0</v>
      </c>
      <c r="L329" s="34" t="s">
        <v>48</v>
      </c>
      <c r="M329" s="33" t="n">
        <f>1932</f>
        <v>1932.0</v>
      </c>
      <c r="N329" s="34" t="s">
        <v>236</v>
      </c>
      <c r="O329" s="33" t="n">
        <f>1860</f>
        <v>1860.0</v>
      </c>
      <c r="P329" s="34" t="s">
        <v>69</v>
      </c>
      <c r="Q329" s="33" t="n">
        <f>1904</f>
        <v>1904.0</v>
      </c>
      <c r="R329" s="34" t="s">
        <v>50</v>
      </c>
      <c r="S329" s="35" t="n">
        <f>1886.58</f>
        <v>1886.58</v>
      </c>
      <c r="T329" s="32" t="n">
        <f>3335</f>
        <v>3335.0</v>
      </c>
      <c r="U329" s="32" t="str">
        <f>"－"</f>
        <v>－</v>
      </c>
      <c r="V329" s="32" t="n">
        <f>6288986</f>
        <v>6288986.0</v>
      </c>
      <c r="W329" s="32" t="str">
        <f>"－"</f>
        <v>－</v>
      </c>
      <c r="X329" s="36" t="n">
        <f>19</f>
        <v>19.0</v>
      </c>
    </row>
    <row r="330">
      <c r="A330" s="27" t="s">
        <v>42</v>
      </c>
      <c r="B330" s="27" t="s">
        <v>1042</v>
      </c>
      <c r="C330" s="27" t="s">
        <v>1043</v>
      </c>
      <c r="D330" s="27" t="s">
        <v>1044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1947</f>
        <v>1947.0</v>
      </c>
      <c r="L330" s="34" t="s">
        <v>81</v>
      </c>
      <c r="M330" s="33" t="n">
        <f>2047</f>
        <v>2047.0</v>
      </c>
      <c r="N330" s="34" t="s">
        <v>68</v>
      </c>
      <c r="O330" s="33" t="n">
        <f>1907</f>
        <v>1907.0</v>
      </c>
      <c r="P330" s="34" t="s">
        <v>236</v>
      </c>
      <c r="Q330" s="33" t="n">
        <f>2040</f>
        <v>2040.0</v>
      </c>
      <c r="R330" s="34" t="s">
        <v>50</v>
      </c>
      <c r="S330" s="35" t="n">
        <f>1993.64</f>
        <v>1993.64</v>
      </c>
      <c r="T330" s="32" t="n">
        <f>6555</f>
        <v>6555.0</v>
      </c>
      <c r="U330" s="32" t="str">
        <f>"－"</f>
        <v>－</v>
      </c>
      <c r="V330" s="32" t="n">
        <f>12996278</f>
        <v>1.2996278E7</v>
      </c>
      <c r="W330" s="32" t="str">
        <f>"－"</f>
        <v>－</v>
      </c>
      <c r="X330" s="36" t="n">
        <f>14</f>
        <v>14.0</v>
      </c>
    </row>
    <row r="331">
      <c r="A331" s="27" t="s">
        <v>42</v>
      </c>
      <c r="B331" s="27" t="s">
        <v>1045</v>
      </c>
      <c r="C331" s="27" t="s">
        <v>1046</v>
      </c>
      <c r="D331" s="27" t="s">
        <v>1047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4115</f>
        <v>4115.0</v>
      </c>
      <c r="L331" s="34" t="s">
        <v>48</v>
      </c>
      <c r="M331" s="33" t="n">
        <f>4335</f>
        <v>4335.0</v>
      </c>
      <c r="N331" s="34" t="s">
        <v>68</v>
      </c>
      <c r="O331" s="33" t="n">
        <f>4080</f>
        <v>4080.0</v>
      </c>
      <c r="P331" s="34" t="s">
        <v>74</v>
      </c>
      <c r="Q331" s="33" t="n">
        <f>4310</f>
        <v>4310.0</v>
      </c>
      <c r="R331" s="34" t="s">
        <v>50</v>
      </c>
      <c r="S331" s="35" t="n">
        <f>4232.89</f>
        <v>4232.89</v>
      </c>
      <c r="T331" s="32" t="n">
        <f>12231</f>
        <v>12231.0</v>
      </c>
      <c r="U331" s="32" t="n">
        <f>3</f>
        <v>3.0</v>
      </c>
      <c r="V331" s="32" t="n">
        <f>51880080</f>
        <v>5.188008E7</v>
      </c>
      <c r="W331" s="32" t="n">
        <f>12600</f>
        <v>12600.0</v>
      </c>
      <c r="X331" s="36" t="n">
        <f>19</f>
        <v>19.0</v>
      </c>
    </row>
    <row r="332">
      <c r="A332" s="27" t="s">
        <v>42</v>
      </c>
      <c r="B332" s="27" t="s">
        <v>1048</v>
      </c>
      <c r="C332" s="27" t="s">
        <v>1049</v>
      </c>
      <c r="D332" s="27" t="s">
        <v>1050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10.0</v>
      </c>
      <c r="K332" s="33" t="n">
        <f>2535.5</f>
        <v>2535.5</v>
      </c>
      <c r="L332" s="34" t="s">
        <v>236</v>
      </c>
      <c r="M332" s="33" t="n">
        <f>2741</f>
        <v>2741.0</v>
      </c>
      <c r="N332" s="34" t="s">
        <v>49</v>
      </c>
      <c r="O332" s="33" t="n">
        <f>2523.5</f>
        <v>2523.5</v>
      </c>
      <c r="P332" s="34" t="s">
        <v>236</v>
      </c>
      <c r="Q332" s="33" t="n">
        <f>2703.5</f>
        <v>2703.5</v>
      </c>
      <c r="R332" s="34" t="s">
        <v>50</v>
      </c>
      <c r="S332" s="35" t="n">
        <f>2649.4</f>
        <v>2649.4</v>
      </c>
      <c r="T332" s="32" t="n">
        <f>2690</f>
        <v>2690.0</v>
      </c>
      <c r="U332" s="32" t="str">
        <f>"－"</f>
        <v>－</v>
      </c>
      <c r="V332" s="32" t="n">
        <f>6898535</f>
        <v>6898535.0</v>
      </c>
      <c r="W332" s="32" t="str">
        <f>"－"</f>
        <v>－</v>
      </c>
      <c r="X332" s="36" t="n">
        <f>10</f>
        <v>10.0</v>
      </c>
    </row>
    <row r="333">
      <c r="A333" s="27" t="s">
        <v>42</v>
      </c>
      <c r="B333" s="27" t="s">
        <v>1051</v>
      </c>
      <c r="C333" s="27" t="s">
        <v>1052</v>
      </c>
      <c r="D333" s="27" t="s">
        <v>1053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10.0</v>
      </c>
      <c r="K333" s="33" t="n">
        <f>242.8</f>
        <v>242.8</v>
      </c>
      <c r="L333" s="34" t="s">
        <v>48</v>
      </c>
      <c r="M333" s="33" t="n">
        <f>267.2</f>
        <v>267.2</v>
      </c>
      <c r="N333" s="34" t="s">
        <v>70</v>
      </c>
      <c r="O333" s="33" t="n">
        <f>242.8</f>
        <v>242.8</v>
      </c>
      <c r="P333" s="34" t="s">
        <v>48</v>
      </c>
      <c r="Q333" s="33" t="n">
        <f>260.2</f>
        <v>260.2</v>
      </c>
      <c r="R333" s="34" t="s">
        <v>50</v>
      </c>
      <c r="S333" s="35" t="n">
        <f>255.82</f>
        <v>255.82</v>
      </c>
      <c r="T333" s="32" t="n">
        <f>15470</f>
        <v>15470.0</v>
      </c>
      <c r="U333" s="32" t="str">
        <f>"－"</f>
        <v>－</v>
      </c>
      <c r="V333" s="32" t="n">
        <f>3962481</f>
        <v>3962481.0</v>
      </c>
      <c r="W333" s="32" t="str">
        <f>"－"</f>
        <v>－</v>
      </c>
      <c r="X333" s="36" t="n">
        <f>19</f>
        <v>19.0</v>
      </c>
    </row>
    <row r="334">
      <c r="A334" s="27" t="s">
        <v>42</v>
      </c>
      <c r="B334" s="27" t="s">
        <v>1054</v>
      </c>
      <c r="C334" s="27" t="s">
        <v>1055</v>
      </c>
      <c r="D334" s="27" t="s">
        <v>1056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10.0</v>
      </c>
      <c r="K334" s="33" t="n">
        <f>179</f>
        <v>179.0</v>
      </c>
      <c r="L334" s="34" t="s">
        <v>48</v>
      </c>
      <c r="M334" s="33" t="n">
        <f>180</f>
        <v>180.0</v>
      </c>
      <c r="N334" s="34" t="s">
        <v>236</v>
      </c>
      <c r="O334" s="33" t="n">
        <f>164.4</f>
        <v>164.4</v>
      </c>
      <c r="P334" s="34" t="s">
        <v>109</v>
      </c>
      <c r="Q334" s="33" t="n">
        <f>168</f>
        <v>168.0</v>
      </c>
      <c r="R334" s="34" t="s">
        <v>50</v>
      </c>
      <c r="S334" s="35" t="n">
        <f>171.47</f>
        <v>171.47</v>
      </c>
      <c r="T334" s="32" t="n">
        <f>122370</f>
        <v>122370.0</v>
      </c>
      <c r="U334" s="32" t="n">
        <f>55000</f>
        <v>55000.0</v>
      </c>
      <c r="V334" s="32" t="n">
        <f>21079358</f>
        <v>2.1079358E7</v>
      </c>
      <c r="W334" s="32" t="n">
        <f>9636550</f>
        <v>9636550.0</v>
      </c>
      <c r="X334" s="36" t="n">
        <f>19</f>
        <v>19.0</v>
      </c>
    </row>
    <row r="335">
      <c r="A335" s="27" t="s">
        <v>42</v>
      </c>
      <c r="B335" s="27" t="s">
        <v>1057</v>
      </c>
      <c r="C335" s="27" t="s">
        <v>1058</v>
      </c>
      <c r="D335" s="27" t="s">
        <v>1059</v>
      </c>
      <c r="E335" s="28" t="s">
        <v>46</v>
      </c>
      <c r="F335" s="29" t="s">
        <v>46</v>
      </c>
      <c r="G335" s="30" t="s">
        <v>46</v>
      </c>
      <c r="H335" s="31"/>
      <c r="I335" s="31" t="s">
        <v>47</v>
      </c>
      <c r="J335" s="32" t="n">
        <v>10.0</v>
      </c>
      <c r="K335" s="33" t="n">
        <f>689.8</f>
        <v>689.8</v>
      </c>
      <c r="L335" s="34" t="s">
        <v>81</v>
      </c>
      <c r="M335" s="33" t="n">
        <f>692.4</f>
        <v>692.4</v>
      </c>
      <c r="N335" s="34" t="s">
        <v>81</v>
      </c>
      <c r="O335" s="33" t="n">
        <f>676.2</f>
        <v>676.2</v>
      </c>
      <c r="P335" s="34" t="s">
        <v>68</v>
      </c>
      <c r="Q335" s="33" t="n">
        <f>676.3</f>
        <v>676.3</v>
      </c>
      <c r="R335" s="34" t="s">
        <v>70</v>
      </c>
      <c r="S335" s="35" t="n">
        <f>682.67</f>
        <v>682.67</v>
      </c>
      <c r="T335" s="32" t="n">
        <f>32700</f>
        <v>32700.0</v>
      </c>
      <c r="U335" s="32" t="n">
        <f>9650</f>
        <v>9650.0</v>
      </c>
      <c r="V335" s="32" t="n">
        <f>22307273</f>
        <v>2.2307273E7</v>
      </c>
      <c r="W335" s="32" t="n">
        <f>6580335</f>
        <v>6580335.0</v>
      </c>
      <c r="X335" s="36" t="n">
        <f>11</f>
        <v>11.0</v>
      </c>
    </row>
    <row r="336">
      <c r="A336" s="27" t="s">
        <v>42</v>
      </c>
      <c r="B336" s="27" t="s">
        <v>1060</v>
      </c>
      <c r="C336" s="27" t="s">
        <v>1061</v>
      </c>
      <c r="D336" s="27" t="s">
        <v>1062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1.0</v>
      </c>
      <c r="K336" s="33" t="n">
        <f>1356</f>
        <v>1356.0</v>
      </c>
      <c r="L336" s="34" t="s">
        <v>48</v>
      </c>
      <c r="M336" s="33" t="n">
        <f>1488</f>
        <v>1488.0</v>
      </c>
      <c r="N336" s="34" t="s">
        <v>92</v>
      </c>
      <c r="O336" s="33" t="n">
        <f>1354</f>
        <v>1354.0</v>
      </c>
      <c r="P336" s="34" t="s">
        <v>48</v>
      </c>
      <c r="Q336" s="33" t="n">
        <f>1455</f>
        <v>1455.0</v>
      </c>
      <c r="R336" s="34" t="s">
        <v>50</v>
      </c>
      <c r="S336" s="35" t="n">
        <f>1412.37</f>
        <v>1412.37</v>
      </c>
      <c r="T336" s="32" t="n">
        <f>540907</f>
        <v>540907.0</v>
      </c>
      <c r="U336" s="32" t="n">
        <f>5</f>
        <v>5.0</v>
      </c>
      <c r="V336" s="32" t="n">
        <f>772913200</f>
        <v>7.729132E8</v>
      </c>
      <c r="W336" s="32" t="n">
        <f>6836</f>
        <v>6836.0</v>
      </c>
      <c r="X336" s="36" t="n">
        <f>19</f>
        <v>19.0</v>
      </c>
    </row>
    <row r="337">
      <c r="A337" s="27" t="s">
        <v>42</v>
      </c>
      <c r="B337" s="27" t="s">
        <v>1063</v>
      </c>
      <c r="C337" s="27" t="s">
        <v>1064</v>
      </c>
      <c r="D337" s="27" t="s">
        <v>1065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1.0</v>
      </c>
      <c r="K337" s="33" t="n">
        <f>925</f>
        <v>925.0</v>
      </c>
      <c r="L337" s="34" t="s">
        <v>48</v>
      </c>
      <c r="M337" s="33" t="n">
        <f>941</f>
        <v>941.0</v>
      </c>
      <c r="N337" s="34" t="s">
        <v>236</v>
      </c>
      <c r="O337" s="33" t="n">
        <f>863</f>
        <v>863.0</v>
      </c>
      <c r="P337" s="34" t="s">
        <v>109</v>
      </c>
      <c r="Q337" s="33" t="n">
        <f>880</f>
        <v>880.0</v>
      </c>
      <c r="R337" s="34" t="s">
        <v>50</v>
      </c>
      <c r="S337" s="35" t="n">
        <f>898.53</f>
        <v>898.53</v>
      </c>
      <c r="T337" s="32" t="n">
        <f>20315</f>
        <v>20315.0</v>
      </c>
      <c r="U337" s="32" t="str">
        <f>"－"</f>
        <v>－</v>
      </c>
      <c r="V337" s="32" t="n">
        <f>18332695</f>
        <v>1.8332695E7</v>
      </c>
      <c r="W337" s="32" t="str">
        <f>"－"</f>
        <v>－</v>
      </c>
      <c r="X337" s="36" t="n">
        <f>19</f>
        <v>19.0</v>
      </c>
    </row>
    <row r="338">
      <c r="A338" s="27" t="s">
        <v>42</v>
      </c>
      <c r="B338" s="27" t="s">
        <v>1066</v>
      </c>
      <c r="C338" s="27" t="s">
        <v>1067</v>
      </c>
      <c r="D338" s="27" t="s">
        <v>1068</v>
      </c>
      <c r="E338" s="28" t="s">
        <v>46</v>
      </c>
      <c r="F338" s="29" t="s">
        <v>46</v>
      </c>
      <c r="G338" s="30" t="s">
        <v>46</v>
      </c>
      <c r="H338" s="31"/>
      <c r="I338" s="31" t="s">
        <v>47</v>
      </c>
      <c r="J338" s="32" t="n">
        <v>10.0</v>
      </c>
      <c r="K338" s="33" t="n">
        <f>724.8</f>
        <v>724.8</v>
      </c>
      <c r="L338" s="34" t="s">
        <v>48</v>
      </c>
      <c r="M338" s="33" t="n">
        <f>725.6</f>
        <v>725.6</v>
      </c>
      <c r="N338" s="34" t="s">
        <v>81</v>
      </c>
      <c r="O338" s="33" t="n">
        <f>707.7</f>
        <v>707.7</v>
      </c>
      <c r="P338" s="34" t="s">
        <v>88</v>
      </c>
      <c r="Q338" s="33" t="n">
        <f>709.5</f>
        <v>709.5</v>
      </c>
      <c r="R338" s="34" t="s">
        <v>50</v>
      </c>
      <c r="S338" s="35" t="n">
        <f>713.53</f>
        <v>713.53</v>
      </c>
      <c r="T338" s="32" t="n">
        <f>2637720</f>
        <v>2637720.0</v>
      </c>
      <c r="U338" s="32" t="n">
        <f>61750</f>
        <v>61750.0</v>
      </c>
      <c r="V338" s="32" t="n">
        <f>1894254109</f>
        <v>1.894254109E9</v>
      </c>
      <c r="W338" s="32" t="n">
        <f>44053005</f>
        <v>4.4053005E7</v>
      </c>
      <c r="X338" s="36" t="n">
        <f>19</f>
        <v>19.0</v>
      </c>
    </row>
    <row r="339">
      <c r="A339" s="27" t="s">
        <v>42</v>
      </c>
      <c r="B339" s="27" t="s">
        <v>1069</v>
      </c>
      <c r="C339" s="27" t="s">
        <v>1070</v>
      </c>
      <c r="D339" s="27" t="s">
        <v>1071</v>
      </c>
      <c r="E339" s="28" t="s">
        <v>46</v>
      </c>
      <c r="F339" s="29" t="s">
        <v>46</v>
      </c>
      <c r="G339" s="30" t="s">
        <v>46</v>
      </c>
      <c r="H339" s="31"/>
      <c r="I339" s="31" t="s">
        <v>47</v>
      </c>
      <c r="J339" s="32" t="n">
        <v>10.0</v>
      </c>
      <c r="K339" s="33" t="n">
        <f>709.4</f>
        <v>709.4</v>
      </c>
      <c r="L339" s="34" t="s">
        <v>48</v>
      </c>
      <c r="M339" s="33" t="n">
        <f>710.9</f>
        <v>710.9</v>
      </c>
      <c r="N339" s="34" t="s">
        <v>81</v>
      </c>
      <c r="O339" s="33" t="n">
        <f>690.3</f>
        <v>690.3</v>
      </c>
      <c r="P339" s="34" t="s">
        <v>70</v>
      </c>
      <c r="Q339" s="33" t="n">
        <f>691</f>
        <v>691.0</v>
      </c>
      <c r="R339" s="34" t="s">
        <v>50</v>
      </c>
      <c r="S339" s="35" t="n">
        <f>696.95</f>
        <v>696.95</v>
      </c>
      <c r="T339" s="32" t="n">
        <f>5200370</f>
        <v>5200370.0</v>
      </c>
      <c r="U339" s="32" t="n">
        <f>4871330</f>
        <v>4871330.0</v>
      </c>
      <c r="V339" s="32" t="n">
        <f>3636749646</f>
        <v>3.636749646E9</v>
      </c>
      <c r="W339" s="32" t="n">
        <f>3406184205</f>
        <v>3.406184205E9</v>
      </c>
      <c r="X339" s="36" t="n">
        <f>19</f>
        <v>19.0</v>
      </c>
    </row>
    <row r="340">
      <c r="A340" s="27" t="s">
        <v>42</v>
      </c>
      <c r="B340" s="27" t="s">
        <v>1072</v>
      </c>
      <c r="C340" s="27" t="s">
        <v>1073</v>
      </c>
      <c r="D340" s="27" t="s">
        <v>1074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1211</f>
        <v>1211.0</v>
      </c>
      <c r="L340" s="34" t="s">
        <v>48</v>
      </c>
      <c r="M340" s="33" t="n">
        <f>1240</f>
        <v>1240.0</v>
      </c>
      <c r="N340" s="34" t="s">
        <v>68</v>
      </c>
      <c r="O340" s="33" t="n">
        <f>1208</f>
        <v>1208.0</v>
      </c>
      <c r="P340" s="34" t="s">
        <v>88</v>
      </c>
      <c r="Q340" s="33" t="n">
        <f>1226</f>
        <v>1226.0</v>
      </c>
      <c r="R340" s="34" t="s">
        <v>50</v>
      </c>
      <c r="S340" s="35" t="n">
        <f>1221.11</f>
        <v>1221.11</v>
      </c>
      <c r="T340" s="32" t="n">
        <f>10194</f>
        <v>10194.0</v>
      </c>
      <c r="U340" s="32" t="n">
        <f>29</f>
        <v>29.0</v>
      </c>
      <c r="V340" s="32" t="n">
        <f>12442065</f>
        <v>1.2442065E7</v>
      </c>
      <c r="W340" s="32" t="n">
        <f>37742</f>
        <v>37742.0</v>
      </c>
      <c r="X340" s="36" t="n">
        <f>19</f>
        <v>19.0</v>
      </c>
    </row>
    <row r="341">
      <c r="A341" s="27" t="s">
        <v>42</v>
      </c>
      <c r="B341" s="27" t="s">
        <v>1075</v>
      </c>
      <c r="C341" s="27" t="s">
        <v>1076</v>
      </c>
      <c r="D341" s="27" t="s">
        <v>1077</v>
      </c>
      <c r="E341" s="28" t="s">
        <v>46</v>
      </c>
      <c r="F341" s="29" t="s">
        <v>46</v>
      </c>
      <c r="G341" s="30" t="s">
        <v>46</v>
      </c>
      <c r="H341" s="31"/>
      <c r="I341" s="31" t="s">
        <v>47</v>
      </c>
      <c r="J341" s="32" t="n">
        <v>10.0</v>
      </c>
      <c r="K341" s="33" t="n">
        <f>2487</f>
        <v>2487.0</v>
      </c>
      <c r="L341" s="34" t="s">
        <v>48</v>
      </c>
      <c r="M341" s="33" t="n">
        <f>2615.5</f>
        <v>2615.5</v>
      </c>
      <c r="N341" s="34" t="s">
        <v>68</v>
      </c>
      <c r="O341" s="33" t="n">
        <f>2480.5</f>
        <v>2480.5</v>
      </c>
      <c r="P341" s="34" t="s">
        <v>48</v>
      </c>
      <c r="Q341" s="33" t="n">
        <f>2606.5</f>
        <v>2606.5</v>
      </c>
      <c r="R341" s="34" t="s">
        <v>50</v>
      </c>
      <c r="S341" s="35" t="n">
        <f>2535.05</f>
        <v>2535.05</v>
      </c>
      <c r="T341" s="32" t="n">
        <f>99060</f>
        <v>99060.0</v>
      </c>
      <c r="U341" s="32" t="n">
        <f>41990</f>
        <v>41990.0</v>
      </c>
      <c r="V341" s="32" t="n">
        <f>248834427</f>
        <v>2.48834427E8</v>
      </c>
      <c r="W341" s="32" t="n">
        <f>105365507</f>
        <v>1.05365507E8</v>
      </c>
      <c r="X341" s="36" t="n">
        <f>19</f>
        <v>19.0</v>
      </c>
    </row>
    <row r="342">
      <c r="A342" s="27" t="s">
        <v>42</v>
      </c>
      <c r="B342" s="27" t="s">
        <v>1078</v>
      </c>
      <c r="C342" s="27" t="s">
        <v>1079</v>
      </c>
      <c r="D342" s="27" t="s">
        <v>1080</v>
      </c>
      <c r="E342" s="28" t="s">
        <v>46</v>
      </c>
      <c r="F342" s="29" t="s">
        <v>46</v>
      </c>
      <c r="G342" s="30" t="s">
        <v>46</v>
      </c>
      <c r="H342" s="31"/>
      <c r="I342" s="31" t="s">
        <v>47</v>
      </c>
      <c r="J342" s="32" t="n">
        <v>10.0</v>
      </c>
      <c r="K342" s="33" t="n">
        <f>2419.5</f>
        <v>2419.5</v>
      </c>
      <c r="L342" s="34" t="s">
        <v>48</v>
      </c>
      <c r="M342" s="33" t="n">
        <f>2537.5</f>
        <v>2537.5</v>
      </c>
      <c r="N342" s="34" t="s">
        <v>68</v>
      </c>
      <c r="O342" s="33" t="n">
        <f>2410</f>
        <v>2410.0</v>
      </c>
      <c r="P342" s="34" t="s">
        <v>88</v>
      </c>
      <c r="Q342" s="33" t="n">
        <f>2515</f>
        <v>2515.0</v>
      </c>
      <c r="R342" s="34" t="s">
        <v>50</v>
      </c>
      <c r="S342" s="35" t="n">
        <f>2446.82</f>
        <v>2446.82</v>
      </c>
      <c r="T342" s="32" t="n">
        <f>582480</f>
        <v>582480.0</v>
      </c>
      <c r="U342" s="32" t="str">
        <f>"－"</f>
        <v>－</v>
      </c>
      <c r="V342" s="32" t="n">
        <f>1434711930</f>
        <v>1.43471193E9</v>
      </c>
      <c r="W342" s="32" t="str">
        <f>"－"</f>
        <v>－</v>
      </c>
      <c r="X342" s="36" t="n">
        <f>19</f>
        <v>19.0</v>
      </c>
    </row>
    <row r="343">
      <c r="A343" s="27" t="s">
        <v>42</v>
      </c>
      <c r="B343" s="27" t="s">
        <v>1081</v>
      </c>
      <c r="C343" s="27" t="s">
        <v>1082</v>
      </c>
      <c r="D343" s="27" t="s">
        <v>1083</v>
      </c>
      <c r="E343" s="28" t="s">
        <v>46</v>
      </c>
      <c r="F343" s="29" t="s">
        <v>46</v>
      </c>
      <c r="G343" s="30" t="s">
        <v>46</v>
      </c>
      <c r="H343" s="31"/>
      <c r="I343" s="31" t="s">
        <v>47</v>
      </c>
      <c r="J343" s="32" t="n">
        <v>10.0</v>
      </c>
      <c r="K343" s="33" t="n">
        <f>5359</f>
        <v>5359.0</v>
      </c>
      <c r="L343" s="34" t="s">
        <v>81</v>
      </c>
      <c r="M343" s="33" t="n">
        <f>5439</f>
        <v>5439.0</v>
      </c>
      <c r="N343" s="34" t="s">
        <v>68</v>
      </c>
      <c r="O343" s="33" t="n">
        <f>5255</f>
        <v>5255.0</v>
      </c>
      <c r="P343" s="34" t="s">
        <v>214</v>
      </c>
      <c r="Q343" s="33" t="n">
        <f>5327</f>
        <v>5327.0</v>
      </c>
      <c r="R343" s="34" t="s">
        <v>50</v>
      </c>
      <c r="S343" s="35" t="n">
        <f>5331.53</f>
        <v>5331.53</v>
      </c>
      <c r="T343" s="32" t="n">
        <f>4480</f>
        <v>4480.0</v>
      </c>
      <c r="U343" s="32" t="str">
        <f>"－"</f>
        <v>－</v>
      </c>
      <c r="V343" s="32" t="n">
        <f>23792800</f>
        <v>2.37928E7</v>
      </c>
      <c r="W343" s="32" t="str">
        <f>"－"</f>
        <v>－</v>
      </c>
      <c r="X343" s="36" t="n">
        <f>17</f>
        <v>17.0</v>
      </c>
    </row>
    <row r="344">
      <c r="A344" s="27" t="s">
        <v>42</v>
      </c>
      <c r="B344" s="27" t="s">
        <v>1084</v>
      </c>
      <c r="C344" s="27" t="s">
        <v>1085</v>
      </c>
      <c r="D344" s="27" t="s">
        <v>1086</v>
      </c>
      <c r="E344" s="28" t="s">
        <v>46</v>
      </c>
      <c r="F344" s="29" t="s">
        <v>46</v>
      </c>
      <c r="G344" s="30" t="s">
        <v>46</v>
      </c>
      <c r="H344" s="31"/>
      <c r="I344" s="31" t="s">
        <v>47</v>
      </c>
      <c r="J344" s="32" t="n">
        <v>10.0</v>
      </c>
      <c r="K344" s="33" t="n">
        <f>4390</f>
        <v>4390.0</v>
      </c>
      <c r="L344" s="34" t="s">
        <v>61</v>
      </c>
      <c r="M344" s="33" t="n">
        <f>4431</f>
        <v>4431.0</v>
      </c>
      <c r="N344" s="34" t="s">
        <v>236</v>
      </c>
      <c r="O344" s="33" t="n">
        <f>4290</f>
        <v>4290.0</v>
      </c>
      <c r="P344" s="34" t="s">
        <v>68</v>
      </c>
      <c r="Q344" s="33" t="n">
        <f>4318</f>
        <v>4318.0</v>
      </c>
      <c r="R344" s="34" t="s">
        <v>49</v>
      </c>
      <c r="S344" s="35" t="n">
        <f>4339</f>
        <v>4339.0</v>
      </c>
      <c r="T344" s="32" t="n">
        <f>262720</f>
        <v>262720.0</v>
      </c>
      <c r="U344" s="32" t="n">
        <f>220840</f>
        <v>220840.0</v>
      </c>
      <c r="V344" s="32" t="n">
        <f>1138025508</f>
        <v>1.138025508E9</v>
      </c>
      <c r="W344" s="32" t="n">
        <f>956441848</f>
        <v>9.56441848E8</v>
      </c>
      <c r="X344" s="36" t="n">
        <f>11</f>
        <v>11.0</v>
      </c>
    </row>
    <row r="345">
      <c r="A345" s="27" t="s">
        <v>42</v>
      </c>
      <c r="B345" s="27" t="s">
        <v>1087</v>
      </c>
      <c r="C345" s="27" t="s">
        <v>1088</v>
      </c>
      <c r="D345" s="27" t="s">
        <v>1089</v>
      </c>
      <c r="E345" s="28" t="s">
        <v>46</v>
      </c>
      <c r="F345" s="29" t="s">
        <v>46</v>
      </c>
      <c r="G345" s="30" t="s">
        <v>46</v>
      </c>
      <c r="H345" s="31"/>
      <c r="I345" s="31" t="s">
        <v>47</v>
      </c>
      <c r="J345" s="32" t="n">
        <v>10.0</v>
      </c>
      <c r="K345" s="33" t="n">
        <f>1933</f>
        <v>1933.0</v>
      </c>
      <c r="L345" s="34" t="s">
        <v>48</v>
      </c>
      <c r="M345" s="33" t="n">
        <f>1944.5</f>
        <v>1944.5</v>
      </c>
      <c r="N345" s="34" t="s">
        <v>81</v>
      </c>
      <c r="O345" s="33" t="n">
        <f>1873</f>
        <v>1873.0</v>
      </c>
      <c r="P345" s="34" t="s">
        <v>92</v>
      </c>
      <c r="Q345" s="33" t="n">
        <f>1912.5</f>
        <v>1912.5</v>
      </c>
      <c r="R345" s="34" t="s">
        <v>49</v>
      </c>
      <c r="S345" s="35" t="n">
        <f>1921.39</f>
        <v>1921.39</v>
      </c>
      <c r="T345" s="32" t="n">
        <f>2400</f>
        <v>2400.0</v>
      </c>
      <c r="U345" s="32" t="str">
        <f>"－"</f>
        <v>－</v>
      </c>
      <c r="V345" s="32" t="n">
        <f>4598930</f>
        <v>4598930.0</v>
      </c>
      <c r="W345" s="32" t="str">
        <f>"－"</f>
        <v>－</v>
      </c>
      <c r="X345" s="36" t="n">
        <f>14</f>
        <v>14.0</v>
      </c>
    </row>
    <row r="346">
      <c r="A346" s="27" t="s">
        <v>42</v>
      </c>
      <c r="B346" s="27" t="s">
        <v>1090</v>
      </c>
      <c r="C346" s="27" t="s">
        <v>1091</v>
      </c>
      <c r="D346" s="27" t="s">
        <v>1092</v>
      </c>
      <c r="E346" s="28" t="s">
        <v>46</v>
      </c>
      <c r="F346" s="29" t="s">
        <v>46</v>
      </c>
      <c r="G346" s="30" t="s">
        <v>46</v>
      </c>
      <c r="H346" s="31"/>
      <c r="I346" s="31" t="s">
        <v>47</v>
      </c>
      <c r="J346" s="32" t="n">
        <v>1.0</v>
      </c>
      <c r="K346" s="33" t="n">
        <f>1244</f>
        <v>1244.0</v>
      </c>
      <c r="L346" s="34" t="s">
        <v>48</v>
      </c>
      <c r="M346" s="33" t="n">
        <f>1364</f>
        <v>1364.0</v>
      </c>
      <c r="N346" s="34" t="s">
        <v>109</v>
      </c>
      <c r="O346" s="33" t="n">
        <f>1244</f>
        <v>1244.0</v>
      </c>
      <c r="P346" s="34" t="s">
        <v>48</v>
      </c>
      <c r="Q346" s="33" t="n">
        <f>1324</f>
        <v>1324.0</v>
      </c>
      <c r="R346" s="34" t="s">
        <v>50</v>
      </c>
      <c r="S346" s="35" t="n">
        <f>1307.26</f>
        <v>1307.26</v>
      </c>
      <c r="T346" s="32" t="n">
        <f>5022</f>
        <v>5022.0</v>
      </c>
      <c r="U346" s="32" t="str">
        <f>"－"</f>
        <v>－</v>
      </c>
      <c r="V346" s="32" t="n">
        <f>6486191</f>
        <v>6486191.0</v>
      </c>
      <c r="W346" s="32" t="str">
        <f>"－"</f>
        <v>－</v>
      </c>
      <c r="X346" s="36" t="n">
        <f>19</f>
        <v>19.0</v>
      </c>
    </row>
    <row r="347">
      <c r="A347" s="27" t="s">
        <v>42</v>
      </c>
      <c r="B347" s="27" t="s">
        <v>1093</v>
      </c>
      <c r="C347" s="27" t="s">
        <v>1094</v>
      </c>
      <c r="D347" s="27" t="s">
        <v>1095</v>
      </c>
      <c r="E347" s="28" t="s">
        <v>46</v>
      </c>
      <c r="F347" s="29" t="s">
        <v>46</v>
      </c>
      <c r="G347" s="30" t="s">
        <v>46</v>
      </c>
      <c r="H347" s="31"/>
      <c r="I347" s="31" t="s">
        <v>47</v>
      </c>
      <c r="J347" s="32" t="n">
        <v>1.0</v>
      </c>
      <c r="K347" s="33" t="n">
        <f>1140</f>
        <v>1140.0</v>
      </c>
      <c r="L347" s="34" t="s">
        <v>48</v>
      </c>
      <c r="M347" s="33" t="n">
        <f>1196</f>
        <v>1196.0</v>
      </c>
      <c r="N347" s="34" t="s">
        <v>74</v>
      </c>
      <c r="O347" s="33" t="n">
        <f>1132</f>
        <v>1132.0</v>
      </c>
      <c r="P347" s="34" t="s">
        <v>48</v>
      </c>
      <c r="Q347" s="33" t="n">
        <f>1181</f>
        <v>1181.0</v>
      </c>
      <c r="R347" s="34" t="s">
        <v>50</v>
      </c>
      <c r="S347" s="35" t="n">
        <f>1162.21</f>
        <v>1162.21</v>
      </c>
      <c r="T347" s="32" t="n">
        <f>1770197</f>
        <v>1770197.0</v>
      </c>
      <c r="U347" s="32" t="n">
        <f>431542</f>
        <v>431542.0</v>
      </c>
      <c r="V347" s="32" t="n">
        <f>2056126107</f>
        <v>2.056126107E9</v>
      </c>
      <c r="W347" s="32" t="n">
        <f>499777445</f>
        <v>4.99777445E8</v>
      </c>
      <c r="X347" s="36" t="n">
        <f>19</f>
        <v>19.0</v>
      </c>
    </row>
    <row r="348">
      <c r="A348" s="27" t="s">
        <v>42</v>
      </c>
      <c r="B348" s="27" t="s">
        <v>1096</v>
      </c>
      <c r="C348" s="27" t="s">
        <v>1097</v>
      </c>
      <c r="D348" s="27" t="s">
        <v>1098</v>
      </c>
      <c r="E348" s="28" t="s">
        <v>46</v>
      </c>
      <c r="F348" s="29" t="s">
        <v>46</v>
      </c>
      <c r="G348" s="30" t="s">
        <v>46</v>
      </c>
      <c r="H348" s="31"/>
      <c r="I348" s="31" t="s">
        <v>47</v>
      </c>
      <c r="J348" s="32" t="n">
        <v>1.0</v>
      </c>
      <c r="K348" s="33" t="n">
        <f>997</f>
        <v>997.0</v>
      </c>
      <c r="L348" s="34" t="s">
        <v>48</v>
      </c>
      <c r="M348" s="33" t="n">
        <f>1018</f>
        <v>1018.0</v>
      </c>
      <c r="N348" s="34" t="s">
        <v>68</v>
      </c>
      <c r="O348" s="33" t="n">
        <f>986</f>
        <v>986.0</v>
      </c>
      <c r="P348" s="34" t="s">
        <v>74</v>
      </c>
      <c r="Q348" s="33" t="n">
        <f>1010</f>
        <v>1010.0</v>
      </c>
      <c r="R348" s="34" t="s">
        <v>50</v>
      </c>
      <c r="S348" s="35" t="n">
        <f>1002.32</f>
        <v>1002.32</v>
      </c>
      <c r="T348" s="32" t="n">
        <f>664545</f>
        <v>664545.0</v>
      </c>
      <c r="U348" s="32" t="n">
        <f>30</f>
        <v>30.0</v>
      </c>
      <c r="V348" s="32" t="n">
        <f>665458069</f>
        <v>6.65458069E8</v>
      </c>
      <c r="W348" s="32" t="n">
        <f>30285</f>
        <v>30285.0</v>
      </c>
      <c r="X348" s="36" t="n">
        <f>19</f>
        <v>19.0</v>
      </c>
    </row>
    <row r="349">
      <c r="A349" s="27" t="s">
        <v>42</v>
      </c>
      <c r="B349" s="27" t="s">
        <v>1099</v>
      </c>
      <c r="C349" s="27" t="s">
        <v>1100</v>
      </c>
      <c r="D349" s="27" t="s">
        <v>1101</v>
      </c>
      <c r="E349" s="28" t="s">
        <v>46</v>
      </c>
      <c r="F349" s="29" t="s">
        <v>46</v>
      </c>
      <c r="G349" s="30" t="s">
        <v>46</v>
      </c>
      <c r="H349" s="31"/>
      <c r="I349" s="31" t="s">
        <v>47</v>
      </c>
      <c r="J349" s="32" t="n">
        <v>1.0</v>
      </c>
      <c r="K349" s="33" t="n">
        <f>1071</f>
        <v>1071.0</v>
      </c>
      <c r="L349" s="34" t="s">
        <v>48</v>
      </c>
      <c r="M349" s="33" t="n">
        <f>1147</f>
        <v>1147.0</v>
      </c>
      <c r="N349" s="34" t="s">
        <v>210</v>
      </c>
      <c r="O349" s="33" t="n">
        <f>1064</f>
        <v>1064.0</v>
      </c>
      <c r="P349" s="34" t="s">
        <v>48</v>
      </c>
      <c r="Q349" s="33" t="n">
        <f>1133</f>
        <v>1133.0</v>
      </c>
      <c r="R349" s="34" t="s">
        <v>50</v>
      </c>
      <c r="S349" s="35" t="n">
        <f>1115.16</f>
        <v>1115.16</v>
      </c>
      <c r="T349" s="32" t="n">
        <f>25254</f>
        <v>25254.0</v>
      </c>
      <c r="U349" s="32" t="str">
        <f>"－"</f>
        <v>－</v>
      </c>
      <c r="V349" s="32" t="n">
        <f>27926187</f>
        <v>2.7926187E7</v>
      </c>
      <c r="W349" s="32" t="str">
        <f>"－"</f>
        <v>－</v>
      </c>
      <c r="X349" s="36" t="n">
        <f>19</f>
        <v>19.0</v>
      </c>
    </row>
    <row r="350">
      <c r="A350" s="27" t="s">
        <v>42</v>
      </c>
      <c r="B350" s="27" t="s">
        <v>1102</v>
      </c>
      <c r="C350" s="27" t="s">
        <v>1103</v>
      </c>
      <c r="D350" s="27" t="s">
        <v>1104</v>
      </c>
      <c r="E350" s="28" t="s">
        <v>46</v>
      </c>
      <c r="F350" s="29" t="s">
        <v>46</v>
      </c>
      <c r="G350" s="30" t="s">
        <v>46</v>
      </c>
      <c r="H350" s="31"/>
      <c r="I350" s="31" t="s">
        <v>47</v>
      </c>
      <c r="J350" s="32" t="n">
        <v>1.0</v>
      </c>
      <c r="K350" s="33" t="n">
        <f>1012</f>
        <v>1012.0</v>
      </c>
      <c r="L350" s="34" t="s">
        <v>48</v>
      </c>
      <c r="M350" s="33" t="n">
        <f>1050</f>
        <v>1050.0</v>
      </c>
      <c r="N350" s="34" t="s">
        <v>105</v>
      </c>
      <c r="O350" s="33" t="n">
        <f>1008</f>
        <v>1008.0</v>
      </c>
      <c r="P350" s="34" t="s">
        <v>48</v>
      </c>
      <c r="Q350" s="33" t="n">
        <f>1040</f>
        <v>1040.0</v>
      </c>
      <c r="R350" s="34" t="s">
        <v>50</v>
      </c>
      <c r="S350" s="35" t="n">
        <f>1029.79</f>
        <v>1029.79</v>
      </c>
      <c r="T350" s="32" t="n">
        <f>233446</f>
        <v>233446.0</v>
      </c>
      <c r="U350" s="32" t="n">
        <f>104</f>
        <v>104.0</v>
      </c>
      <c r="V350" s="32" t="n">
        <f>240311856</f>
        <v>2.40311856E8</v>
      </c>
      <c r="W350" s="32" t="n">
        <f>109198</f>
        <v>109198.0</v>
      </c>
      <c r="X350" s="36" t="n">
        <f>19</f>
        <v>19.0</v>
      </c>
    </row>
    <row r="351">
      <c r="A351" s="27" t="s">
        <v>42</v>
      </c>
      <c r="B351" s="27" t="s">
        <v>1105</v>
      </c>
      <c r="C351" s="27" t="s">
        <v>1106</v>
      </c>
      <c r="D351" s="27" t="s">
        <v>1107</v>
      </c>
      <c r="E351" s="28" t="s">
        <v>46</v>
      </c>
      <c r="F351" s="29" t="s">
        <v>46</v>
      </c>
      <c r="G351" s="30" t="s">
        <v>46</v>
      </c>
      <c r="H351" s="31"/>
      <c r="I351" s="31" t="s">
        <v>47</v>
      </c>
      <c r="J351" s="32" t="n">
        <v>1.0</v>
      </c>
      <c r="K351" s="33" t="n">
        <f>35670</f>
        <v>35670.0</v>
      </c>
      <c r="L351" s="34" t="s">
        <v>48</v>
      </c>
      <c r="M351" s="33" t="n">
        <f>38630</f>
        <v>38630.0</v>
      </c>
      <c r="N351" s="34" t="s">
        <v>70</v>
      </c>
      <c r="O351" s="33" t="n">
        <f>35630</f>
        <v>35630.0</v>
      </c>
      <c r="P351" s="34" t="s">
        <v>48</v>
      </c>
      <c r="Q351" s="33" t="n">
        <f>38220</f>
        <v>38220.0</v>
      </c>
      <c r="R351" s="34" t="s">
        <v>50</v>
      </c>
      <c r="S351" s="35" t="n">
        <f>37694.21</f>
        <v>37694.21</v>
      </c>
      <c r="T351" s="32" t="n">
        <f>266704</f>
        <v>266704.0</v>
      </c>
      <c r="U351" s="32" t="n">
        <f>89</f>
        <v>89.0</v>
      </c>
      <c r="V351" s="32" t="n">
        <f>10035378540</f>
        <v>1.003537854E10</v>
      </c>
      <c r="W351" s="32" t="n">
        <f>3335600</f>
        <v>3335600.0</v>
      </c>
      <c r="X351" s="36" t="n">
        <f>19</f>
        <v>19.0</v>
      </c>
    </row>
    <row r="352">
      <c r="A352" s="27" t="s">
        <v>42</v>
      </c>
      <c r="B352" s="27" t="s">
        <v>1108</v>
      </c>
      <c r="C352" s="27" t="s">
        <v>1109</v>
      </c>
      <c r="D352" s="27" t="s">
        <v>1110</v>
      </c>
      <c r="E352" s="28" t="s">
        <v>46</v>
      </c>
      <c r="F352" s="29" t="s">
        <v>46</v>
      </c>
      <c r="G352" s="30" t="s">
        <v>46</v>
      </c>
      <c r="H352" s="31"/>
      <c r="I352" s="31" t="s">
        <v>47</v>
      </c>
      <c r="J352" s="32" t="n">
        <v>1.0</v>
      </c>
      <c r="K352" s="33" t="n">
        <f>26820</f>
        <v>26820.0</v>
      </c>
      <c r="L352" s="34" t="s">
        <v>48</v>
      </c>
      <c r="M352" s="33" t="n">
        <f>26820</f>
        <v>26820.0</v>
      </c>
      <c r="N352" s="34" t="s">
        <v>48</v>
      </c>
      <c r="O352" s="33" t="n">
        <f>24480</f>
        <v>24480.0</v>
      </c>
      <c r="P352" s="34" t="s">
        <v>70</v>
      </c>
      <c r="Q352" s="33" t="n">
        <f>24735</f>
        <v>24735.0</v>
      </c>
      <c r="R352" s="34" t="s">
        <v>50</v>
      </c>
      <c r="S352" s="35" t="n">
        <f>25261.05</f>
        <v>25261.05</v>
      </c>
      <c r="T352" s="32" t="n">
        <f>171683</f>
        <v>171683.0</v>
      </c>
      <c r="U352" s="32" t="n">
        <f>11</f>
        <v>11.0</v>
      </c>
      <c r="V352" s="32" t="n">
        <f>4344342865</f>
        <v>4.344342865E9</v>
      </c>
      <c r="W352" s="32" t="n">
        <f>259490</f>
        <v>259490.0</v>
      </c>
      <c r="X352" s="36" t="n">
        <f>19</f>
        <v>19.0</v>
      </c>
    </row>
    <row r="353">
      <c r="A353" s="27" t="s">
        <v>42</v>
      </c>
      <c r="B353" s="27" t="s">
        <v>1111</v>
      </c>
      <c r="C353" s="27" t="s">
        <v>1112</v>
      </c>
      <c r="D353" s="27" t="s">
        <v>1113</v>
      </c>
      <c r="E353" s="28" t="s">
        <v>46</v>
      </c>
      <c r="F353" s="29" t="s">
        <v>46</v>
      </c>
      <c r="G353" s="30" t="s">
        <v>46</v>
      </c>
      <c r="H353" s="31"/>
      <c r="I353" s="31" t="s">
        <v>47</v>
      </c>
      <c r="J353" s="32" t="n">
        <v>1.0</v>
      </c>
      <c r="K353" s="33" t="n">
        <f>118300</f>
        <v>118300.0</v>
      </c>
      <c r="L353" s="34" t="s">
        <v>48</v>
      </c>
      <c r="M353" s="33" t="n">
        <f>120300</f>
        <v>120300.0</v>
      </c>
      <c r="N353" s="34" t="s">
        <v>74</v>
      </c>
      <c r="O353" s="33" t="n">
        <f>113700</f>
        <v>113700.0</v>
      </c>
      <c r="P353" s="34" t="s">
        <v>109</v>
      </c>
      <c r="Q353" s="33" t="n">
        <f>115400</f>
        <v>115400.0</v>
      </c>
      <c r="R353" s="34" t="s">
        <v>50</v>
      </c>
      <c r="S353" s="35" t="n">
        <f>116973.68</f>
        <v>116973.68</v>
      </c>
      <c r="T353" s="32" t="n">
        <f>23047</f>
        <v>23047.0</v>
      </c>
      <c r="U353" s="32" t="n">
        <f>2783</f>
        <v>2783.0</v>
      </c>
      <c r="V353" s="32" t="n">
        <f>2692211995</f>
        <v>2.692211995E9</v>
      </c>
      <c r="W353" s="32" t="n">
        <f>323880495</f>
        <v>3.23880495E8</v>
      </c>
      <c r="X353" s="36" t="n">
        <f>19</f>
        <v>19.0</v>
      </c>
    </row>
    <row r="354">
      <c r="A354" s="27" t="s">
        <v>42</v>
      </c>
      <c r="B354" s="27" t="s">
        <v>1114</v>
      </c>
      <c r="C354" s="27" t="s">
        <v>1115</v>
      </c>
      <c r="D354" s="27" t="s">
        <v>1116</v>
      </c>
      <c r="E354" s="28" t="s">
        <v>46</v>
      </c>
      <c r="F354" s="29" t="s">
        <v>46</v>
      </c>
      <c r="G354" s="30" t="s">
        <v>46</v>
      </c>
      <c r="H354" s="31"/>
      <c r="I354" s="31" t="s">
        <v>588</v>
      </c>
      <c r="J354" s="32" t="n">
        <v>1.0</v>
      </c>
      <c r="K354" s="33" t="n">
        <f>93800</f>
        <v>93800.0</v>
      </c>
      <c r="L354" s="34" t="s">
        <v>48</v>
      </c>
      <c r="M354" s="33" t="n">
        <f>94000</f>
        <v>94000.0</v>
      </c>
      <c r="N354" s="34" t="s">
        <v>48</v>
      </c>
      <c r="O354" s="33" t="n">
        <f>83300</f>
        <v>83300.0</v>
      </c>
      <c r="P354" s="34" t="s">
        <v>50</v>
      </c>
      <c r="Q354" s="33" t="n">
        <f>84800</f>
        <v>84800.0</v>
      </c>
      <c r="R354" s="34" t="s">
        <v>50</v>
      </c>
      <c r="S354" s="35" t="n">
        <f>89589.47</f>
        <v>89589.47</v>
      </c>
      <c r="T354" s="32" t="n">
        <f>44264</f>
        <v>44264.0</v>
      </c>
      <c r="U354" s="32" t="n">
        <f>7309</f>
        <v>7309.0</v>
      </c>
      <c r="V354" s="32" t="n">
        <f>3939794622</f>
        <v>3.939794622E9</v>
      </c>
      <c r="W354" s="32" t="n">
        <f>655339422</f>
        <v>6.55339422E8</v>
      </c>
      <c r="X354" s="36" t="n">
        <f>19</f>
        <v>19.0</v>
      </c>
    </row>
    <row r="355">
      <c r="A355" s="27" t="s">
        <v>42</v>
      </c>
      <c r="B355" s="27" t="s">
        <v>1117</v>
      </c>
      <c r="C355" s="27" t="s">
        <v>1118</v>
      </c>
      <c r="D355" s="27" t="s">
        <v>1119</v>
      </c>
      <c r="E355" s="28" t="s">
        <v>46</v>
      </c>
      <c r="F355" s="29" t="s">
        <v>46</v>
      </c>
      <c r="G355" s="30" t="s">
        <v>46</v>
      </c>
      <c r="H355" s="31"/>
      <c r="I355" s="31" t="s">
        <v>47</v>
      </c>
      <c r="J355" s="32" t="n">
        <v>1.0</v>
      </c>
      <c r="K355" s="33" t="n">
        <f>119000</f>
        <v>119000.0</v>
      </c>
      <c r="L355" s="34" t="s">
        <v>48</v>
      </c>
      <c r="M355" s="33" t="n">
        <f>119400</f>
        <v>119400.0</v>
      </c>
      <c r="N355" s="34" t="s">
        <v>48</v>
      </c>
      <c r="O355" s="33" t="n">
        <f>110800</f>
        <v>110800.0</v>
      </c>
      <c r="P355" s="34" t="s">
        <v>109</v>
      </c>
      <c r="Q355" s="33" t="n">
        <f>113600</f>
        <v>113600.0</v>
      </c>
      <c r="R355" s="34" t="s">
        <v>50</v>
      </c>
      <c r="S355" s="35" t="n">
        <f>115078.95</f>
        <v>115078.95</v>
      </c>
      <c r="T355" s="32" t="n">
        <f>64510</f>
        <v>64510.0</v>
      </c>
      <c r="U355" s="32" t="n">
        <f>7057</f>
        <v>7057.0</v>
      </c>
      <c r="V355" s="32" t="n">
        <f>7393978969</f>
        <v>7.393978969E9</v>
      </c>
      <c r="W355" s="32" t="n">
        <f>809266169</f>
        <v>8.09266169E8</v>
      </c>
      <c r="X355" s="36" t="n">
        <f>19</f>
        <v>19.0</v>
      </c>
    </row>
    <row r="356">
      <c r="A356" s="27" t="s">
        <v>42</v>
      </c>
      <c r="B356" s="27" t="s">
        <v>1120</v>
      </c>
      <c r="C356" s="27" t="s">
        <v>1121</v>
      </c>
      <c r="D356" s="27" t="s">
        <v>1122</v>
      </c>
      <c r="E356" s="28" t="s">
        <v>46</v>
      </c>
      <c r="F356" s="29" t="s">
        <v>46</v>
      </c>
      <c r="G356" s="30" t="s">
        <v>46</v>
      </c>
      <c r="H356" s="31"/>
      <c r="I356" s="31" t="s">
        <v>588</v>
      </c>
      <c r="J356" s="32" t="n">
        <v>1.0</v>
      </c>
      <c r="K356" s="33" t="n">
        <f>123700</f>
        <v>123700.0</v>
      </c>
      <c r="L356" s="34" t="s">
        <v>48</v>
      </c>
      <c r="M356" s="33" t="n">
        <f>130100</f>
        <v>130100.0</v>
      </c>
      <c r="N356" s="34" t="s">
        <v>88</v>
      </c>
      <c r="O356" s="33" t="n">
        <f>122000</f>
        <v>122000.0</v>
      </c>
      <c r="P356" s="34" t="s">
        <v>50</v>
      </c>
      <c r="Q356" s="33" t="n">
        <f>122500</f>
        <v>122500.0</v>
      </c>
      <c r="R356" s="34" t="s">
        <v>50</v>
      </c>
      <c r="S356" s="35" t="n">
        <f>125436.84</f>
        <v>125436.84</v>
      </c>
      <c r="T356" s="32" t="n">
        <f>54508</f>
        <v>54508.0</v>
      </c>
      <c r="U356" s="32" t="n">
        <f>9054</f>
        <v>9054.0</v>
      </c>
      <c r="V356" s="32" t="n">
        <f>6833040623</f>
        <v>6.833040623E9</v>
      </c>
      <c r="W356" s="32" t="n">
        <f>1131757923</f>
        <v>1.131757923E9</v>
      </c>
      <c r="X356" s="36" t="n">
        <f>19</f>
        <v>19.0</v>
      </c>
    </row>
    <row r="357">
      <c r="A357" s="27" t="s">
        <v>42</v>
      </c>
      <c r="B357" s="27" t="s">
        <v>1123</v>
      </c>
      <c r="C357" s="27" t="s">
        <v>1124</v>
      </c>
      <c r="D357" s="27" t="s">
        <v>1125</v>
      </c>
      <c r="E357" s="28" t="s">
        <v>46</v>
      </c>
      <c r="F357" s="29" t="s">
        <v>46</v>
      </c>
      <c r="G357" s="30" t="s">
        <v>46</v>
      </c>
      <c r="H357" s="31"/>
      <c r="I357" s="31" t="s">
        <v>47</v>
      </c>
      <c r="J357" s="32" t="n">
        <v>1.0</v>
      </c>
      <c r="K357" s="33" t="n">
        <f>610000</f>
        <v>610000.0</v>
      </c>
      <c r="L357" s="34" t="s">
        <v>48</v>
      </c>
      <c r="M357" s="33" t="n">
        <f>617000</f>
        <v>617000.0</v>
      </c>
      <c r="N357" s="34" t="s">
        <v>74</v>
      </c>
      <c r="O357" s="33" t="n">
        <f>566000</f>
        <v>566000.0</v>
      </c>
      <c r="P357" s="34" t="s">
        <v>50</v>
      </c>
      <c r="Q357" s="33" t="n">
        <f>568000</f>
        <v>568000.0</v>
      </c>
      <c r="R357" s="34" t="s">
        <v>50</v>
      </c>
      <c r="S357" s="35" t="n">
        <f>593157.89</f>
        <v>593157.89</v>
      </c>
      <c r="T357" s="32" t="n">
        <f>31820</f>
        <v>31820.0</v>
      </c>
      <c r="U357" s="32" t="n">
        <f>6035</f>
        <v>6035.0</v>
      </c>
      <c r="V357" s="32" t="n">
        <f>18818662518</f>
        <v>1.8818662518E10</v>
      </c>
      <c r="W357" s="32" t="n">
        <f>3571635518</f>
        <v>3.571635518E9</v>
      </c>
      <c r="X357" s="36" t="n">
        <f>19</f>
        <v>19.0</v>
      </c>
    </row>
    <row r="358">
      <c r="A358" s="27" t="s">
        <v>42</v>
      </c>
      <c r="B358" s="27" t="s">
        <v>1126</v>
      </c>
      <c r="C358" s="27" t="s">
        <v>1127</v>
      </c>
      <c r="D358" s="27" t="s">
        <v>1128</v>
      </c>
      <c r="E358" s="28" t="s">
        <v>46</v>
      </c>
      <c r="F358" s="29" t="s">
        <v>46</v>
      </c>
      <c r="G358" s="30" t="s">
        <v>46</v>
      </c>
      <c r="H358" s="31"/>
      <c r="I358" s="31" t="s">
        <v>47</v>
      </c>
      <c r="J358" s="32" t="n">
        <v>1.0</v>
      </c>
      <c r="K358" s="33" t="n">
        <f>137100</f>
        <v>137100.0</v>
      </c>
      <c r="L358" s="34" t="s">
        <v>48</v>
      </c>
      <c r="M358" s="33" t="n">
        <f>137500</f>
        <v>137500.0</v>
      </c>
      <c r="N358" s="34" t="s">
        <v>61</v>
      </c>
      <c r="O358" s="33" t="n">
        <f>128100</f>
        <v>128100.0</v>
      </c>
      <c r="P358" s="34" t="s">
        <v>109</v>
      </c>
      <c r="Q358" s="33" t="n">
        <f>131100</f>
        <v>131100.0</v>
      </c>
      <c r="R358" s="34" t="s">
        <v>50</v>
      </c>
      <c r="S358" s="35" t="n">
        <f>132278.95</f>
        <v>132278.95</v>
      </c>
      <c r="T358" s="32" t="n">
        <f>121985</f>
        <v>121985.0</v>
      </c>
      <c r="U358" s="32" t="n">
        <f>24101</f>
        <v>24101.0</v>
      </c>
      <c r="V358" s="32" t="n">
        <f>16074158400</f>
        <v>1.60741584E10</v>
      </c>
      <c r="W358" s="32" t="n">
        <f>3162029100</f>
        <v>3.1620291E9</v>
      </c>
      <c r="X358" s="36" t="n">
        <f>19</f>
        <v>19.0</v>
      </c>
    </row>
    <row r="359">
      <c r="A359" s="27" t="s">
        <v>42</v>
      </c>
      <c r="B359" s="27" t="s">
        <v>1129</v>
      </c>
      <c r="C359" s="27" t="s">
        <v>1130</v>
      </c>
      <c r="D359" s="27" t="s">
        <v>1131</v>
      </c>
      <c r="E359" s="28" t="s">
        <v>46</v>
      </c>
      <c r="F359" s="29" t="s">
        <v>46</v>
      </c>
      <c r="G359" s="30" t="s">
        <v>46</v>
      </c>
      <c r="H359" s="31"/>
      <c r="I359" s="31" t="s">
        <v>47</v>
      </c>
      <c r="J359" s="32" t="n">
        <v>1.0</v>
      </c>
      <c r="K359" s="33" t="n">
        <f>133200</f>
        <v>133200.0</v>
      </c>
      <c r="L359" s="34" t="s">
        <v>48</v>
      </c>
      <c r="M359" s="33" t="n">
        <f>134600</f>
        <v>134600.0</v>
      </c>
      <c r="N359" s="34" t="s">
        <v>61</v>
      </c>
      <c r="O359" s="33" t="n">
        <f>120000</f>
        <v>120000.0</v>
      </c>
      <c r="P359" s="34" t="s">
        <v>109</v>
      </c>
      <c r="Q359" s="33" t="n">
        <f>126000</f>
        <v>126000.0</v>
      </c>
      <c r="R359" s="34" t="s">
        <v>50</v>
      </c>
      <c r="S359" s="35" t="n">
        <f>129131.58</f>
        <v>129131.58</v>
      </c>
      <c r="T359" s="32" t="n">
        <f>830659</f>
        <v>830659.0</v>
      </c>
      <c r="U359" s="32" t="n">
        <f>115059</f>
        <v>115059.0</v>
      </c>
      <c r="V359" s="32" t="n">
        <f>104934761484</f>
        <v>1.04934761484E11</v>
      </c>
      <c r="W359" s="32" t="n">
        <f>14755721184</f>
        <v>1.4755721184E10</v>
      </c>
      <c r="X359" s="36" t="n">
        <f>19</f>
        <v>19.0</v>
      </c>
    </row>
    <row r="360">
      <c r="A360" s="27" t="s">
        <v>42</v>
      </c>
      <c r="B360" s="27" t="s">
        <v>1132</v>
      </c>
      <c r="C360" s="27" t="s">
        <v>1133</v>
      </c>
      <c r="D360" s="27" t="s">
        <v>1134</v>
      </c>
      <c r="E360" s="28" t="s">
        <v>46</v>
      </c>
      <c r="F360" s="29" t="s">
        <v>46</v>
      </c>
      <c r="G360" s="30" t="s">
        <v>46</v>
      </c>
      <c r="H360" s="31"/>
      <c r="I360" s="31" t="s">
        <v>47</v>
      </c>
      <c r="J360" s="32" t="n">
        <v>1.0</v>
      </c>
      <c r="K360" s="33" t="n">
        <f>323500</f>
        <v>323500.0</v>
      </c>
      <c r="L360" s="34" t="s">
        <v>48</v>
      </c>
      <c r="M360" s="33" t="n">
        <f>331500</f>
        <v>331500.0</v>
      </c>
      <c r="N360" s="34" t="s">
        <v>74</v>
      </c>
      <c r="O360" s="33" t="n">
        <f>301000</f>
        <v>301000.0</v>
      </c>
      <c r="P360" s="34" t="s">
        <v>105</v>
      </c>
      <c r="Q360" s="33" t="n">
        <f>306000</f>
        <v>306000.0</v>
      </c>
      <c r="R360" s="34" t="s">
        <v>50</v>
      </c>
      <c r="S360" s="35" t="n">
        <f>314342.11</f>
        <v>314342.11</v>
      </c>
      <c r="T360" s="32" t="n">
        <f>106799</f>
        <v>106799.0</v>
      </c>
      <c r="U360" s="32" t="n">
        <f>29305</f>
        <v>29305.0</v>
      </c>
      <c r="V360" s="32" t="n">
        <f>33485519786</f>
        <v>3.3485519786E10</v>
      </c>
      <c r="W360" s="32" t="n">
        <f>9155691786</f>
        <v>9.155691786E9</v>
      </c>
      <c r="X360" s="36" t="n">
        <f>19</f>
        <v>19.0</v>
      </c>
    </row>
    <row r="361">
      <c r="A361" s="27" t="s">
        <v>42</v>
      </c>
      <c r="B361" s="27" t="s">
        <v>1135</v>
      </c>
      <c r="C361" s="27" t="s">
        <v>1136</v>
      </c>
      <c r="D361" s="27" t="s">
        <v>1137</v>
      </c>
      <c r="E361" s="28" t="s">
        <v>46</v>
      </c>
      <c r="F361" s="29" t="s">
        <v>46</v>
      </c>
      <c r="G361" s="30" t="s">
        <v>46</v>
      </c>
      <c r="H361" s="31"/>
      <c r="I361" s="31" t="s">
        <v>47</v>
      </c>
      <c r="J361" s="32" t="n">
        <v>1.0</v>
      </c>
      <c r="K361" s="33" t="n">
        <f>398500</f>
        <v>398500.0</v>
      </c>
      <c r="L361" s="34" t="s">
        <v>48</v>
      </c>
      <c r="M361" s="33" t="n">
        <f>406500</f>
        <v>406500.0</v>
      </c>
      <c r="N361" s="34" t="s">
        <v>61</v>
      </c>
      <c r="O361" s="33" t="n">
        <f>379000</f>
        <v>379000.0</v>
      </c>
      <c r="P361" s="34" t="s">
        <v>109</v>
      </c>
      <c r="Q361" s="33" t="n">
        <f>389500</f>
        <v>389500.0</v>
      </c>
      <c r="R361" s="34" t="s">
        <v>50</v>
      </c>
      <c r="S361" s="35" t="n">
        <f>392736.84</f>
        <v>392736.84</v>
      </c>
      <c r="T361" s="32" t="n">
        <f>68584</f>
        <v>68584.0</v>
      </c>
      <c r="U361" s="32" t="n">
        <f>13261</f>
        <v>13261.0</v>
      </c>
      <c r="V361" s="32" t="n">
        <f>26913532673</f>
        <v>2.6913532673E10</v>
      </c>
      <c r="W361" s="32" t="n">
        <f>5206007173</f>
        <v>5.206007173E9</v>
      </c>
      <c r="X361" s="36" t="n">
        <f>19</f>
        <v>19.0</v>
      </c>
    </row>
    <row r="362">
      <c r="A362" s="27" t="s">
        <v>42</v>
      </c>
      <c r="B362" s="27" t="s">
        <v>1138</v>
      </c>
      <c r="C362" s="27" t="s">
        <v>1139</v>
      </c>
      <c r="D362" s="27" t="s">
        <v>1140</v>
      </c>
      <c r="E362" s="28" t="s">
        <v>46</v>
      </c>
      <c r="F362" s="29" t="s">
        <v>46</v>
      </c>
      <c r="G362" s="30" t="s">
        <v>46</v>
      </c>
      <c r="H362" s="31"/>
      <c r="I362" s="31" t="s">
        <v>47</v>
      </c>
      <c r="J362" s="32" t="n">
        <v>1.0</v>
      </c>
      <c r="K362" s="33" t="n">
        <f>130300</f>
        <v>130300.0</v>
      </c>
      <c r="L362" s="34" t="s">
        <v>48</v>
      </c>
      <c r="M362" s="33" t="n">
        <f>131900</f>
        <v>131900.0</v>
      </c>
      <c r="N362" s="34" t="s">
        <v>61</v>
      </c>
      <c r="O362" s="33" t="n">
        <f>117500</f>
        <v>117500.0</v>
      </c>
      <c r="P362" s="34" t="s">
        <v>109</v>
      </c>
      <c r="Q362" s="33" t="n">
        <f>118900</f>
        <v>118900.0</v>
      </c>
      <c r="R362" s="34" t="s">
        <v>50</v>
      </c>
      <c r="S362" s="35" t="n">
        <f>124842.11</f>
        <v>124842.11</v>
      </c>
      <c r="T362" s="32" t="n">
        <f>564211</f>
        <v>564211.0</v>
      </c>
      <c r="U362" s="32" t="n">
        <f>109703</f>
        <v>109703.0</v>
      </c>
      <c r="V362" s="32" t="n">
        <f>70072235796</f>
        <v>7.0072235796E10</v>
      </c>
      <c r="W362" s="32" t="n">
        <f>13680241196</f>
        <v>1.3680241196E10</v>
      </c>
      <c r="X362" s="36" t="n">
        <f>19</f>
        <v>19.0</v>
      </c>
    </row>
    <row r="363">
      <c r="A363" s="27" t="s">
        <v>42</v>
      </c>
      <c r="B363" s="27" t="s">
        <v>1141</v>
      </c>
      <c r="C363" s="27" t="s">
        <v>1142</v>
      </c>
      <c r="D363" s="27" t="s">
        <v>1143</v>
      </c>
      <c r="E363" s="28" t="s">
        <v>46</v>
      </c>
      <c r="F363" s="29" t="s">
        <v>46</v>
      </c>
      <c r="G363" s="30" t="s">
        <v>46</v>
      </c>
      <c r="H363" s="31"/>
      <c r="I363" s="31" t="s">
        <v>47</v>
      </c>
      <c r="J363" s="32" t="n">
        <v>1.0</v>
      </c>
      <c r="K363" s="33" t="n">
        <f>306500</f>
        <v>306500.0</v>
      </c>
      <c r="L363" s="34" t="s">
        <v>48</v>
      </c>
      <c r="M363" s="33" t="n">
        <f>313000</f>
        <v>313000.0</v>
      </c>
      <c r="N363" s="34" t="s">
        <v>74</v>
      </c>
      <c r="O363" s="33" t="n">
        <f>285900</f>
        <v>285900.0</v>
      </c>
      <c r="P363" s="34" t="s">
        <v>50</v>
      </c>
      <c r="Q363" s="33" t="n">
        <f>286700</f>
        <v>286700.0</v>
      </c>
      <c r="R363" s="34" t="s">
        <v>50</v>
      </c>
      <c r="S363" s="35" t="n">
        <f>297884.21</f>
        <v>297884.21</v>
      </c>
      <c r="T363" s="32" t="n">
        <f>45409</f>
        <v>45409.0</v>
      </c>
      <c r="U363" s="32" t="n">
        <f>9435</f>
        <v>9435.0</v>
      </c>
      <c r="V363" s="32" t="n">
        <f>13505834646</f>
        <v>1.3505834646E10</v>
      </c>
      <c r="W363" s="32" t="n">
        <f>2798281646</f>
        <v>2.798281646E9</v>
      </c>
      <c r="X363" s="36" t="n">
        <f>19</f>
        <v>19.0</v>
      </c>
    </row>
    <row r="364">
      <c r="A364" s="27" t="s">
        <v>42</v>
      </c>
      <c r="B364" s="27" t="s">
        <v>1144</v>
      </c>
      <c r="C364" s="27" t="s">
        <v>1145</v>
      </c>
      <c r="D364" s="27" t="s">
        <v>1146</v>
      </c>
      <c r="E364" s="28" t="s">
        <v>46</v>
      </c>
      <c r="F364" s="29" t="s">
        <v>46</v>
      </c>
      <c r="G364" s="30" t="s">
        <v>46</v>
      </c>
      <c r="H364" s="31"/>
      <c r="I364" s="31" t="s">
        <v>47</v>
      </c>
      <c r="J364" s="32" t="n">
        <v>1.0</v>
      </c>
      <c r="K364" s="33" t="n">
        <f>260200</f>
        <v>260200.0</v>
      </c>
      <c r="L364" s="34" t="s">
        <v>48</v>
      </c>
      <c r="M364" s="33" t="n">
        <f>270000</f>
        <v>270000.0</v>
      </c>
      <c r="N364" s="34" t="s">
        <v>214</v>
      </c>
      <c r="O364" s="33" t="n">
        <f>248800</f>
        <v>248800.0</v>
      </c>
      <c r="P364" s="34" t="s">
        <v>109</v>
      </c>
      <c r="Q364" s="33" t="n">
        <f>250600</f>
        <v>250600.0</v>
      </c>
      <c r="R364" s="34" t="s">
        <v>50</v>
      </c>
      <c r="S364" s="35" t="n">
        <f>259352.63</f>
        <v>259352.63</v>
      </c>
      <c r="T364" s="32" t="n">
        <f>170021</f>
        <v>170021.0</v>
      </c>
      <c r="U364" s="32" t="n">
        <f>35379</f>
        <v>35379.0</v>
      </c>
      <c r="V364" s="32" t="n">
        <f>44002546461</f>
        <v>4.4002546461E10</v>
      </c>
      <c r="W364" s="32" t="n">
        <f>9154135861</f>
        <v>9.154135861E9</v>
      </c>
      <c r="X364" s="36" t="n">
        <f>19</f>
        <v>19.0</v>
      </c>
    </row>
    <row r="365">
      <c r="A365" s="27" t="s">
        <v>42</v>
      </c>
      <c r="B365" s="27" t="s">
        <v>1147</v>
      </c>
      <c r="C365" s="27" t="s">
        <v>1148</v>
      </c>
      <c r="D365" s="27" t="s">
        <v>1149</v>
      </c>
      <c r="E365" s="28" t="s">
        <v>46</v>
      </c>
      <c r="F365" s="29" t="s">
        <v>46</v>
      </c>
      <c r="G365" s="30" t="s">
        <v>46</v>
      </c>
      <c r="H365" s="31"/>
      <c r="I365" s="31" t="s">
        <v>47</v>
      </c>
      <c r="J365" s="32" t="n">
        <v>1.0</v>
      </c>
      <c r="K365" s="33" t="n">
        <f>513000</f>
        <v>513000.0</v>
      </c>
      <c r="L365" s="34" t="s">
        <v>48</v>
      </c>
      <c r="M365" s="33" t="n">
        <f>556000</f>
        <v>556000.0</v>
      </c>
      <c r="N365" s="34" t="s">
        <v>49</v>
      </c>
      <c r="O365" s="33" t="n">
        <f>504000</f>
        <v>504000.0</v>
      </c>
      <c r="P365" s="34" t="s">
        <v>48</v>
      </c>
      <c r="Q365" s="33" t="n">
        <f>550000</f>
        <v>550000.0</v>
      </c>
      <c r="R365" s="34" t="s">
        <v>50</v>
      </c>
      <c r="S365" s="35" t="n">
        <f>531157.89</f>
        <v>531157.89</v>
      </c>
      <c r="T365" s="32" t="n">
        <f>29256</f>
        <v>29256.0</v>
      </c>
      <c r="U365" s="32" t="n">
        <f>6883</f>
        <v>6883.0</v>
      </c>
      <c r="V365" s="32" t="n">
        <f>15584060784</f>
        <v>1.5584060784E10</v>
      </c>
      <c r="W365" s="32" t="n">
        <f>3653192784</f>
        <v>3.653192784E9</v>
      </c>
      <c r="X365" s="36" t="n">
        <f>19</f>
        <v>19.0</v>
      </c>
    </row>
    <row r="366">
      <c r="A366" s="27" t="s">
        <v>42</v>
      </c>
      <c r="B366" s="27" t="s">
        <v>1150</v>
      </c>
      <c r="C366" s="27" t="s">
        <v>1151</v>
      </c>
      <c r="D366" s="27" t="s">
        <v>1152</v>
      </c>
      <c r="E366" s="28" t="s">
        <v>46</v>
      </c>
      <c r="F366" s="29" t="s">
        <v>46</v>
      </c>
      <c r="G366" s="30" t="s">
        <v>46</v>
      </c>
      <c r="H366" s="31"/>
      <c r="I366" s="31" t="s">
        <v>47</v>
      </c>
      <c r="J366" s="32" t="n">
        <v>1.0</v>
      </c>
      <c r="K366" s="33" t="n">
        <f>271200</f>
        <v>271200.0</v>
      </c>
      <c r="L366" s="34" t="s">
        <v>48</v>
      </c>
      <c r="M366" s="33" t="n">
        <f>273500</f>
        <v>273500.0</v>
      </c>
      <c r="N366" s="34" t="s">
        <v>61</v>
      </c>
      <c r="O366" s="33" t="n">
        <f>254100</f>
        <v>254100.0</v>
      </c>
      <c r="P366" s="34" t="s">
        <v>70</v>
      </c>
      <c r="Q366" s="33" t="n">
        <f>254600</f>
        <v>254600.0</v>
      </c>
      <c r="R366" s="34" t="s">
        <v>50</v>
      </c>
      <c r="S366" s="35" t="n">
        <f>265868.42</f>
        <v>265868.42</v>
      </c>
      <c r="T366" s="32" t="n">
        <f>29277</f>
        <v>29277.0</v>
      </c>
      <c r="U366" s="32" t="n">
        <f>2843</f>
        <v>2843.0</v>
      </c>
      <c r="V366" s="32" t="n">
        <f>7739473064</f>
        <v>7.739473064E9</v>
      </c>
      <c r="W366" s="32" t="n">
        <f>751786264</f>
        <v>7.51786264E8</v>
      </c>
      <c r="X366" s="36" t="n">
        <f>19</f>
        <v>19.0</v>
      </c>
    </row>
    <row r="367">
      <c r="A367" s="27" t="s">
        <v>42</v>
      </c>
      <c r="B367" s="27" t="s">
        <v>1153</v>
      </c>
      <c r="C367" s="27" t="s">
        <v>1154</v>
      </c>
      <c r="D367" s="27" t="s">
        <v>1155</v>
      </c>
      <c r="E367" s="28" t="s">
        <v>46</v>
      </c>
      <c r="F367" s="29" t="s">
        <v>46</v>
      </c>
      <c r="G367" s="30" t="s">
        <v>46</v>
      </c>
      <c r="H367" s="31"/>
      <c r="I367" s="31" t="s">
        <v>47</v>
      </c>
      <c r="J367" s="32" t="n">
        <v>1.0</v>
      </c>
      <c r="K367" s="33" t="n">
        <f>138500</f>
        <v>138500.0</v>
      </c>
      <c r="L367" s="34" t="s">
        <v>48</v>
      </c>
      <c r="M367" s="33" t="n">
        <f>138800</f>
        <v>138800.0</v>
      </c>
      <c r="N367" s="34" t="s">
        <v>48</v>
      </c>
      <c r="O367" s="33" t="n">
        <f>130600</f>
        <v>130600.0</v>
      </c>
      <c r="P367" s="34" t="s">
        <v>109</v>
      </c>
      <c r="Q367" s="33" t="n">
        <f>131500</f>
        <v>131500.0</v>
      </c>
      <c r="R367" s="34" t="s">
        <v>50</v>
      </c>
      <c r="S367" s="35" t="n">
        <f>134278.95</f>
        <v>134278.95</v>
      </c>
      <c r="T367" s="32" t="n">
        <f>130825</f>
        <v>130825.0</v>
      </c>
      <c r="U367" s="32" t="n">
        <f>21024</f>
        <v>21024.0</v>
      </c>
      <c r="V367" s="32" t="n">
        <f>17520737878</f>
        <v>1.7520737878E10</v>
      </c>
      <c r="W367" s="32" t="n">
        <f>2810936578</f>
        <v>2.810936578E9</v>
      </c>
      <c r="X367" s="36" t="n">
        <f>19</f>
        <v>19.0</v>
      </c>
    </row>
    <row r="368">
      <c r="A368" s="27" t="s">
        <v>42</v>
      </c>
      <c r="B368" s="27" t="s">
        <v>1156</v>
      </c>
      <c r="C368" s="27" t="s">
        <v>1157</v>
      </c>
      <c r="D368" s="27" t="s">
        <v>1158</v>
      </c>
      <c r="E368" s="28" t="s">
        <v>46</v>
      </c>
      <c r="F368" s="29" t="s">
        <v>46</v>
      </c>
      <c r="G368" s="30" t="s">
        <v>46</v>
      </c>
      <c r="H368" s="31"/>
      <c r="I368" s="31" t="s">
        <v>47</v>
      </c>
      <c r="J368" s="32" t="n">
        <v>1.0</v>
      </c>
      <c r="K368" s="33" t="n">
        <f>154100</f>
        <v>154100.0</v>
      </c>
      <c r="L368" s="34" t="s">
        <v>48</v>
      </c>
      <c r="M368" s="33" t="n">
        <f>156900</f>
        <v>156900.0</v>
      </c>
      <c r="N368" s="34" t="s">
        <v>61</v>
      </c>
      <c r="O368" s="33" t="n">
        <f>146000</f>
        <v>146000.0</v>
      </c>
      <c r="P368" s="34" t="s">
        <v>50</v>
      </c>
      <c r="Q368" s="33" t="n">
        <f>146400</f>
        <v>146400.0</v>
      </c>
      <c r="R368" s="34" t="s">
        <v>50</v>
      </c>
      <c r="S368" s="35" t="n">
        <f>151747.37</f>
        <v>151747.37</v>
      </c>
      <c r="T368" s="32" t="n">
        <f>89786</f>
        <v>89786.0</v>
      </c>
      <c r="U368" s="32" t="n">
        <f>15702</f>
        <v>15702.0</v>
      </c>
      <c r="V368" s="32" t="n">
        <f>13610706580</f>
        <v>1.361070658E10</v>
      </c>
      <c r="W368" s="32" t="n">
        <f>2385279680</f>
        <v>2.38527968E9</v>
      </c>
      <c r="X368" s="36" t="n">
        <f>19</f>
        <v>19.0</v>
      </c>
    </row>
    <row r="369">
      <c r="A369" s="27" t="s">
        <v>42</v>
      </c>
      <c r="B369" s="27" t="s">
        <v>1159</v>
      </c>
      <c r="C369" s="27" t="s">
        <v>1160</v>
      </c>
      <c r="D369" s="27" t="s">
        <v>1161</v>
      </c>
      <c r="E369" s="28" t="s">
        <v>46</v>
      </c>
      <c r="F369" s="29" t="s">
        <v>46</v>
      </c>
      <c r="G369" s="30" t="s">
        <v>46</v>
      </c>
      <c r="H369" s="31"/>
      <c r="I369" s="31" t="s">
        <v>47</v>
      </c>
      <c r="J369" s="32" t="n">
        <v>1.0</v>
      </c>
      <c r="K369" s="33" t="n">
        <f>341000</f>
        <v>341000.0</v>
      </c>
      <c r="L369" s="34" t="s">
        <v>48</v>
      </c>
      <c r="M369" s="33" t="n">
        <f>342500</f>
        <v>342500.0</v>
      </c>
      <c r="N369" s="34" t="s">
        <v>81</v>
      </c>
      <c r="O369" s="33" t="n">
        <f>319500</f>
        <v>319500.0</v>
      </c>
      <c r="P369" s="34" t="s">
        <v>105</v>
      </c>
      <c r="Q369" s="33" t="n">
        <f>328000</f>
        <v>328000.0</v>
      </c>
      <c r="R369" s="34" t="s">
        <v>50</v>
      </c>
      <c r="S369" s="35" t="n">
        <f>331394.74</f>
        <v>331394.74</v>
      </c>
      <c r="T369" s="32" t="n">
        <f>29204</f>
        <v>29204.0</v>
      </c>
      <c r="U369" s="32" t="n">
        <f>5850</f>
        <v>5850.0</v>
      </c>
      <c r="V369" s="32" t="n">
        <f>9654777587</f>
        <v>9.654777587E9</v>
      </c>
      <c r="W369" s="32" t="n">
        <f>1931083587</f>
        <v>1.931083587E9</v>
      </c>
      <c r="X369" s="36" t="n">
        <f>19</f>
        <v>19.0</v>
      </c>
    </row>
    <row r="370">
      <c r="A370" s="27" t="s">
        <v>42</v>
      </c>
      <c r="B370" s="27" t="s">
        <v>1162</v>
      </c>
      <c r="C370" s="27" t="s">
        <v>1163</v>
      </c>
      <c r="D370" s="27" t="s">
        <v>1164</v>
      </c>
      <c r="E370" s="28" t="s">
        <v>46</v>
      </c>
      <c r="F370" s="29" t="s">
        <v>46</v>
      </c>
      <c r="G370" s="30" t="s">
        <v>46</v>
      </c>
      <c r="H370" s="31"/>
      <c r="I370" s="31" t="s">
        <v>47</v>
      </c>
      <c r="J370" s="32" t="n">
        <v>1.0</v>
      </c>
      <c r="K370" s="33" t="n">
        <f>77900</f>
        <v>77900.0</v>
      </c>
      <c r="L370" s="34" t="s">
        <v>48</v>
      </c>
      <c r="M370" s="33" t="n">
        <f>79200</f>
        <v>79200.0</v>
      </c>
      <c r="N370" s="34" t="s">
        <v>61</v>
      </c>
      <c r="O370" s="33" t="n">
        <f>72500</f>
        <v>72500.0</v>
      </c>
      <c r="P370" s="34" t="s">
        <v>109</v>
      </c>
      <c r="Q370" s="33" t="n">
        <f>74100</f>
        <v>74100.0</v>
      </c>
      <c r="R370" s="34" t="s">
        <v>50</v>
      </c>
      <c r="S370" s="35" t="n">
        <f>75815.79</f>
        <v>75815.79</v>
      </c>
      <c r="T370" s="32" t="n">
        <f>314504</f>
        <v>314504.0</v>
      </c>
      <c r="U370" s="32" t="n">
        <f>87623</f>
        <v>87623.0</v>
      </c>
      <c r="V370" s="32" t="n">
        <f>23697590257</f>
        <v>2.3697590257E10</v>
      </c>
      <c r="W370" s="32" t="n">
        <f>6595673557</f>
        <v>6.595673557E9</v>
      </c>
      <c r="X370" s="36" t="n">
        <f>19</f>
        <v>19.0</v>
      </c>
    </row>
    <row r="371">
      <c r="A371" s="27" t="s">
        <v>42</v>
      </c>
      <c r="B371" s="27" t="s">
        <v>1165</v>
      </c>
      <c r="C371" s="27" t="s">
        <v>1166</v>
      </c>
      <c r="D371" s="27" t="s">
        <v>1167</v>
      </c>
      <c r="E371" s="28" t="s">
        <v>46</v>
      </c>
      <c r="F371" s="29" t="s">
        <v>46</v>
      </c>
      <c r="G371" s="30" t="s">
        <v>46</v>
      </c>
      <c r="H371" s="31"/>
      <c r="I371" s="31" t="s">
        <v>588</v>
      </c>
      <c r="J371" s="32" t="n">
        <v>1.0</v>
      </c>
      <c r="K371" s="33" t="n">
        <f>142200</f>
        <v>142200.0</v>
      </c>
      <c r="L371" s="34" t="s">
        <v>48</v>
      </c>
      <c r="M371" s="33" t="n">
        <f>142200</f>
        <v>142200.0</v>
      </c>
      <c r="N371" s="34" t="s">
        <v>48</v>
      </c>
      <c r="O371" s="33" t="n">
        <f>135800</f>
        <v>135800.0</v>
      </c>
      <c r="P371" s="34" t="s">
        <v>109</v>
      </c>
      <c r="Q371" s="33" t="n">
        <f>137900</f>
        <v>137900.0</v>
      </c>
      <c r="R371" s="34" t="s">
        <v>50</v>
      </c>
      <c r="S371" s="35" t="n">
        <f>139089.47</f>
        <v>139089.47</v>
      </c>
      <c r="T371" s="32" t="n">
        <f>20348</f>
        <v>20348.0</v>
      </c>
      <c r="U371" s="32" t="n">
        <f>2971</f>
        <v>2971.0</v>
      </c>
      <c r="V371" s="32" t="n">
        <f>2826409121</f>
        <v>2.826409121E9</v>
      </c>
      <c r="W371" s="32" t="n">
        <f>413948421</f>
        <v>4.13948421E8</v>
      </c>
      <c r="X371" s="36" t="n">
        <f>19</f>
        <v>19.0</v>
      </c>
    </row>
    <row r="372">
      <c r="A372" s="27" t="s">
        <v>42</v>
      </c>
      <c r="B372" s="27" t="s">
        <v>1168</v>
      </c>
      <c r="C372" s="27" t="s">
        <v>1169</v>
      </c>
      <c r="D372" s="27" t="s">
        <v>1170</v>
      </c>
      <c r="E372" s="28" t="s">
        <v>46</v>
      </c>
      <c r="F372" s="29" t="s">
        <v>46</v>
      </c>
      <c r="G372" s="30" t="s">
        <v>46</v>
      </c>
      <c r="H372" s="31"/>
      <c r="I372" s="31" t="s">
        <v>47</v>
      </c>
      <c r="J372" s="32" t="n">
        <v>1.0</v>
      </c>
      <c r="K372" s="33" t="n">
        <f>132000</f>
        <v>132000.0</v>
      </c>
      <c r="L372" s="34" t="s">
        <v>48</v>
      </c>
      <c r="M372" s="33" t="n">
        <f>134500</f>
        <v>134500.0</v>
      </c>
      <c r="N372" s="34" t="s">
        <v>61</v>
      </c>
      <c r="O372" s="33" t="n">
        <f>127300</f>
        <v>127300.0</v>
      </c>
      <c r="P372" s="34" t="s">
        <v>109</v>
      </c>
      <c r="Q372" s="33" t="n">
        <f>130200</f>
        <v>130200.0</v>
      </c>
      <c r="R372" s="34" t="s">
        <v>50</v>
      </c>
      <c r="S372" s="35" t="n">
        <f>130852.63</f>
        <v>130852.63</v>
      </c>
      <c r="T372" s="32" t="n">
        <f>29033</f>
        <v>29033.0</v>
      </c>
      <c r="U372" s="32" t="n">
        <f>4855</f>
        <v>4855.0</v>
      </c>
      <c r="V372" s="32" t="n">
        <f>3789901615</f>
        <v>3.789901615E9</v>
      </c>
      <c r="W372" s="32" t="n">
        <f>632391415</f>
        <v>6.32391415E8</v>
      </c>
      <c r="X372" s="36" t="n">
        <f>19</f>
        <v>19.0</v>
      </c>
    </row>
    <row r="373">
      <c r="A373" s="27" t="s">
        <v>42</v>
      </c>
      <c r="B373" s="27" t="s">
        <v>1171</v>
      </c>
      <c r="C373" s="27" t="s">
        <v>1172</v>
      </c>
      <c r="D373" s="27" t="s">
        <v>1173</v>
      </c>
      <c r="E373" s="28" t="s">
        <v>46</v>
      </c>
      <c r="F373" s="29" t="s">
        <v>46</v>
      </c>
      <c r="G373" s="30" t="s">
        <v>46</v>
      </c>
      <c r="H373" s="31"/>
      <c r="I373" s="31" t="s">
        <v>47</v>
      </c>
      <c r="J373" s="32" t="n">
        <v>1.0</v>
      </c>
      <c r="K373" s="33" t="n">
        <f>107300</f>
        <v>107300.0</v>
      </c>
      <c r="L373" s="34" t="s">
        <v>48</v>
      </c>
      <c r="M373" s="33" t="n">
        <f>108000</f>
        <v>108000.0</v>
      </c>
      <c r="N373" s="34" t="s">
        <v>61</v>
      </c>
      <c r="O373" s="33" t="n">
        <f>100700</f>
        <v>100700.0</v>
      </c>
      <c r="P373" s="34" t="s">
        <v>50</v>
      </c>
      <c r="Q373" s="33" t="n">
        <f>101900</f>
        <v>101900.0</v>
      </c>
      <c r="R373" s="34" t="s">
        <v>50</v>
      </c>
      <c r="S373" s="35" t="n">
        <f>104505.26</f>
        <v>104505.26</v>
      </c>
      <c r="T373" s="32" t="n">
        <f>37338</f>
        <v>37338.0</v>
      </c>
      <c r="U373" s="32" t="n">
        <f>4160</f>
        <v>4160.0</v>
      </c>
      <c r="V373" s="32" t="n">
        <f>3891328016</f>
        <v>3.891328016E9</v>
      </c>
      <c r="W373" s="32" t="n">
        <f>433065616</f>
        <v>4.33065616E8</v>
      </c>
      <c r="X373" s="36" t="n">
        <f>19</f>
        <v>19.0</v>
      </c>
    </row>
    <row r="374">
      <c r="A374" s="27" t="s">
        <v>42</v>
      </c>
      <c r="B374" s="27" t="s">
        <v>1174</v>
      </c>
      <c r="C374" s="27" t="s">
        <v>1175</v>
      </c>
      <c r="D374" s="27" t="s">
        <v>1176</v>
      </c>
      <c r="E374" s="28" t="s">
        <v>46</v>
      </c>
      <c r="F374" s="29" t="s">
        <v>46</v>
      </c>
      <c r="G374" s="30" t="s">
        <v>46</v>
      </c>
      <c r="H374" s="31"/>
      <c r="I374" s="31" t="s">
        <v>47</v>
      </c>
      <c r="J374" s="32" t="n">
        <v>1.0</v>
      </c>
      <c r="K374" s="33" t="n">
        <f>159900</f>
        <v>159900.0</v>
      </c>
      <c r="L374" s="34" t="s">
        <v>48</v>
      </c>
      <c r="M374" s="33" t="n">
        <f>160400</f>
        <v>160400.0</v>
      </c>
      <c r="N374" s="34" t="s">
        <v>61</v>
      </c>
      <c r="O374" s="33" t="n">
        <f>146500</f>
        <v>146500.0</v>
      </c>
      <c r="P374" s="34" t="s">
        <v>50</v>
      </c>
      <c r="Q374" s="33" t="n">
        <f>148900</f>
        <v>148900.0</v>
      </c>
      <c r="R374" s="34" t="s">
        <v>50</v>
      </c>
      <c r="S374" s="35" t="n">
        <f>153426.32</f>
        <v>153426.32</v>
      </c>
      <c r="T374" s="32" t="n">
        <f>361475</f>
        <v>361475.0</v>
      </c>
      <c r="U374" s="32" t="n">
        <f>74076</f>
        <v>74076.0</v>
      </c>
      <c r="V374" s="32" t="n">
        <f>55157739936</f>
        <v>5.5157739936E10</v>
      </c>
      <c r="W374" s="32" t="n">
        <f>11274718136</f>
        <v>1.1274718136E10</v>
      </c>
      <c r="X374" s="36" t="n">
        <f>19</f>
        <v>19.0</v>
      </c>
    </row>
    <row r="375">
      <c r="A375" s="27" t="s">
        <v>42</v>
      </c>
      <c r="B375" s="27" t="s">
        <v>1177</v>
      </c>
      <c r="C375" s="27" t="s">
        <v>1178</v>
      </c>
      <c r="D375" s="27" t="s">
        <v>1179</v>
      </c>
      <c r="E375" s="28" t="s">
        <v>46</v>
      </c>
      <c r="F375" s="29" t="s">
        <v>46</v>
      </c>
      <c r="G375" s="30" t="s">
        <v>46</v>
      </c>
      <c r="H375" s="31"/>
      <c r="I375" s="31" t="s">
        <v>588</v>
      </c>
      <c r="J375" s="32" t="n">
        <v>1.0</v>
      </c>
      <c r="K375" s="33" t="n">
        <f>114000</f>
        <v>114000.0</v>
      </c>
      <c r="L375" s="34" t="s">
        <v>48</v>
      </c>
      <c r="M375" s="33" t="n">
        <f>115100</f>
        <v>115100.0</v>
      </c>
      <c r="N375" s="34" t="s">
        <v>48</v>
      </c>
      <c r="O375" s="33" t="n">
        <f>106100</f>
        <v>106100.0</v>
      </c>
      <c r="P375" s="34" t="s">
        <v>50</v>
      </c>
      <c r="Q375" s="33" t="n">
        <f>107000</f>
        <v>107000.0</v>
      </c>
      <c r="R375" s="34" t="s">
        <v>50</v>
      </c>
      <c r="S375" s="35" t="n">
        <f>111747.37</f>
        <v>111747.37</v>
      </c>
      <c r="T375" s="32" t="n">
        <f>35567</f>
        <v>35567.0</v>
      </c>
      <c r="U375" s="32" t="n">
        <f>4747</f>
        <v>4747.0</v>
      </c>
      <c r="V375" s="32" t="n">
        <f>3953447374</f>
        <v>3.953447374E9</v>
      </c>
      <c r="W375" s="32" t="n">
        <f>526236674</f>
        <v>5.26236674E8</v>
      </c>
      <c r="X375" s="36" t="n">
        <f>19</f>
        <v>19.0</v>
      </c>
    </row>
    <row r="376">
      <c r="A376" s="27" t="s">
        <v>42</v>
      </c>
      <c r="B376" s="27" t="s">
        <v>1180</v>
      </c>
      <c r="C376" s="27" t="s">
        <v>1181</v>
      </c>
      <c r="D376" s="27" t="s">
        <v>1182</v>
      </c>
      <c r="E376" s="28" t="s">
        <v>46</v>
      </c>
      <c r="F376" s="29" t="s">
        <v>46</v>
      </c>
      <c r="G376" s="30" t="s">
        <v>46</v>
      </c>
      <c r="H376" s="31"/>
      <c r="I376" s="31" t="s">
        <v>47</v>
      </c>
      <c r="J376" s="32" t="n">
        <v>1.0</v>
      </c>
      <c r="K376" s="33" t="n">
        <f>148900</f>
        <v>148900.0</v>
      </c>
      <c r="L376" s="34" t="s">
        <v>48</v>
      </c>
      <c r="M376" s="33" t="n">
        <f>150800</f>
        <v>150800.0</v>
      </c>
      <c r="N376" s="34" t="s">
        <v>74</v>
      </c>
      <c r="O376" s="33" t="n">
        <f>140500</f>
        <v>140500.0</v>
      </c>
      <c r="P376" s="34" t="s">
        <v>50</v>
      </c>
      <c r="Q376" s="33" t="n">
        <f>140900</f>
        <v>140900.0</v>
      </c>
      <c r="R376" s="34" t="s">
        <v>50</v>
      </c>
      <c r="S376" s="35" t="n">
        <f>146142.11</f>
        <v>146142.11</v>
      </c>
      <c r="T376" s="32" t="n">
        <f>132079</f>
        <v>132079.0</v>
      </c>
      <c r="U376" s="32" t="n">
        <f>20122</f>
        <v>20122.0</v>
      </c>
      <c r="V376" s="32" t="n">
        <f>19248802169</f>
        <v>1.9248802169E10</v>
      </c>
      <c r="W376" s="32" t="n">
        <f>2934092369</f>
        <v>2.934092369E9</v>
      </c>
      <c r="X376" s="36" t="n">
        <f>19</f>
        <v>19.0</v>
      </c>
    </row>
    <row r="377">
      <c r="A377" s="27" t="s">
        <v>42</v>
      </c>
      <c r="B377" s="27" t="s">
        <v>1183</v>
      </c>
      <c r="C377" s="27" t="s">
        <v>1184</v>
      </c>
      <c r="D377" s="27" t="s">
        <v>1185</v>
      </c>
      <c r="E377" s="28" t="s">
        <v>46</v>
      </c>
      <c r="F377" s="29" t="s">
        <v>46</v>
      </c>
      <c r="G377" s="30" t="s">
        <v>46</v>
      </c>
      <c r="H377" s="31"/>
      <c r="I377" s="31" t="s">
        <v>47</v>
      </c>
      <c r="J377" s="32" t="n">
        <v>1.0</v>
      </c>
      <c r="K377" s="33" t="n">
        <f>57500</f>
        <v>57500.0</v>
      </c>
      <c r="L377" s="34" t="s">
        <v>48</v>
      </c>
      <c r="M377" s="33" t="n">
        <f>58900</f>
        <v>58900.0</v>
      </c>
      <c r="N377" s="34" t="s">
        <v>69</v>
      </c>
      <c r="O377" s="33" t="n">
        <f>54900</f>
        <v>54900.0</v>
      </c>
      <c r="P377" s="34" t="s">
        <v>109</v>
      </c>
      <c r="Q377" s="33" t="n">
        <f>55500</f>
        <v>55500.0</v>
      </c>
      <c r="R377" s="34" t="s">
        <v>50</v>
      </c>
      <c r="S377" s="35" t="n">
        <f>57084.21</f>
        <v>57084.21</v>
      </c>
      <c r="T377" s="32" t="n">
        <f>167288</f>
        <v>167288.0</v>
      </c>
      <c r="U377" s="32" t="n">
        <f>32384</f>
        <v>32384.0</v>
      </c>
      <c r="V377" s="32" t="n">
        <f>9516548682</f>
        <v>9.516548682E9</v>
      </c>
      <c r="W377" s="32" t="n">
        <f>1846586782</f>
        <v>1.846586782E9</v>
      </c>
      <c r="X377" s="36" t="n">
        <f>19</f>
        <v>19.0</v>
      </c>
    </row>
    <row r="378">
      <c r="A378" s="27" t="s">
        <v>42</v>
      </c>
      <c r="B378" s="27" t="s">
        <v>1186</v>
      </c>
      <c r="C378" s="27" t="s">
        <v>1187</v>
      </c>
      <c r="D378" s="27" t="s">
        <v>1188</v>
      </c>
      <c r="E378" s="28" t="s">
        <v>46</v>
      </c>
      <c r="F378" s="29" t="s">
        <v>46</v>
      </c>
      <c r="G378" s="30" t="s">
        <v>46</v>
      </c>
      <c r="H378" s="31"/>
      <c r="I378" s="31" t="s">
        <v>588</v>
      </c>
      <c r="J378" s="32" t="n">
        <v>1.0</v>
      </c>
      <c r="K378" s="33" t="n">
        <f>126000</f>
        <v>126000.0</v>
      </c>
      <c r="L378" s="34" t="s">
        <v>48</v>
      </c>
      <c r="M378" s="33" t="n">
        <f>126800</f>
        <v>126800.0</v>
      </c>
      <c r="N378" s="34" t="s">
        <v>48</v>
      </c>
      <c r="O378" s="33" t="n">
        <f>118800</f>
        <v>118800.0</v>
      </c>
      <c r="P378" s="34" t="s">
        <v>50</v>
      </c>
      <c r="Q378" s="33" t="n">
        <f>119700</f>
        <v>119700.0</v>
      </c>
      <c r="R378" s="34" t="s">
        <v>50</v>
      </c>
      <c r="S378" s="35" t="n">
        <f>122757.89</f>
        <v>122757.89</v>
      </c>
      <c r="T378" s="32" t="n">
        <f>19689</f>
        <v>19689.0</v>
      </c>
      <c r="U378" s="32" t="n">
        <f>2272</f>
        <v>2272.0</v>
      </c>
      <c r="V378" s="32" t="n">
        <f>2405388075</f>
        <v>2.405388075E9</v>
      </c>
      <c r="W378" s="32" t="n">
        <f>279168775</f>
        <v>2.79168775E8</v>
      </c>
      <c r="X378" s="36" t="n">
        <f>19</f>
        <v>19.0</v>
      </c>
    </row>
    <row r="379">
      <c r="A379" s="27" t="s">
        <v>42</v>
      </c>
      <c r="B379" s="27" t="s">
        <v>1189</v>
      </c>
      <c r="C379" s="27" t="s">
        <v>1190</v>
      </c>
      <c r="D379" s="27" t="s">
        <v>1191</v>
      </c>
      <c r="E379" s="28" t="s">
        <v>46</v>
      </c>
      <c r="F379" s="29" t="s">
        <v>46</v>
      </c>
      <c r="G379" s="30" t="s">
        <v>46</v>
      </c>
      <c r="H379" s="31"/>
      <c r="I379" s="31" t="s">
        <v>47</v>
      </c>
      <c r="J379" s="32" t="n">
        <v>1.0</v>
      </c>
      <c r="K379" s="33" t="n">
        <f>440000</f>
        <v>440000.0</v>
      </c>
      <c r="L379" s="34" t="s">
        <v>48</v>
      </c>
      <c r="M379" s="33" t="n">
        <f>456500</f>
        <v>456500.0</v>
      </c>
      <c r="N379" s="34" t="s">
        <v>61</v>
      </c>
      <c r="O379" s="33" t="n">
        <f>415000</f>
        <v>415000.0</v>
      </c>
      <c r="P379" s="34" t="s">
        <v>109</v>
      </c>
      <c r="Q379" s="33" t="n">
        <f>424500</f>
        <v>424500.0</v>
      </c>
      <c r="R379" s="34" t="s">
        <v>50</v>
      </c>
      <c r="S379" s="35" t="n">
        <f>437263.16</f>
        <v>437263.16</v>
      </c>
      <c r="T379" s="32" t="n">
        <f>49381</f>
        <v>49381.0</v>
      </c>
      <c r="U379" s="32" t="n">
        <f>9326</f>
        <v>9326.0</v>
      </c>
      <c r="V379" s="32" t="n">
        <f>21432930302</f>
        <v>2.1432930302E10</v>
      </c>
      <c r="W379" s="32" t="n">
        <f>4044661302</f>
        <v>4.044661302E9</v>
      </c>
      <c r="X379" s="36" t="n">
        <f>19</f>
        <v>19.0</v>
      </c>
    </row>
    <row r="380">
      <c r="A380" s="27" t="s">
        <v>42</v>
      </c>
      <c r="B380" s="27" t="s">
        <v>1192</v>
      </c>
      <c r="C380" s="27" t="s">
        <v>1193</v>
      </c>
      <c r="D380" s="27" t="s">
        <v>1194</v>
      </c>
      <c r="E380" s="28" t="s">
        <v>46</v>
      </c>
      <c r="F380" s="29" t="s">
        <v>46</v>
      </c>
      <c r="G380" s="30" t="s">
        <v>46</v>
      </c>
      <c r="H380" s="31"/>
      <c r="I380" s="31" t="s">
        <v>588</v>
      </c>
      <c r="J380" s="32" t="n">
        <v>1.0</v>
      </c>
      <c r="K380" s="33" t="n">
        <f>75300</f>
        <v>75300.0</v>
      </c>
      <c r="L380" s="34" t="s">
        <v>48</v>
      </c>
      <c r="M380" s="33" t="n">
        <f>77400</f>
        <v>77400.0</v>
      </c>
      <c r="N380" s="34" t="s">
        <v>70</v>
      </c>
      <c r="O380" s="33" t="n">
        <f>72200</f>
        <v>72200.0</v>
      </c>
      <c r="P380" s="34" t="s">
        <v>69</v>
      </c>
      <c r="Q380" s="33" t="n">
        <f>75200</f>
        <v>75200.0</v>
      </c>
      <c r="R380" s="34" t="s">
        <v>50</v>
      </c>
      <c r="S380" s="35" t="n">
        <f>74389.47</f>
        <v>74389.47</v>
      </c>
      <c r="T380" s="32" t="n">
        <f>26644</f>
        <v>26644.0</v>
      </c>
      <c r="U380" s="32" t="n">
        <f>4798</f>
        <v>4798.0</v>
      </c>
      <c r="V380" s="32" t="n">
        <f>1987397487</f>
        <v>1.987397487E9</v>
      </c>
      <c r="W380" s="32" t="n">
        <f>356956187</f>
        <v>3.56956187E8</v>
      </c>
      <c r="X380" s="36" t="n">
        <f>19</f>
        <v>19.0</v>
      </c>
    </row>
    <row r="381">
      <c r="A381" s="27" t="s">
        <v>42</v>
      </c>
      <c r="B381" s="27" t="s">
        <v>1195</v>
      </c>
      <c r="C381" s="27" t="s">
        <v>1196</v>
      </c>
      <c r="D381" s="27" t="s">
        <v>1197</v>
      </c>
      <c r="E381" s="28" t="s">
        <v>46</v>
      </c>
      <c r="F381" s="29" t="s">
        <v>46</v>
      </c>
      <c r="G381" s="30" t="s">
        <v>46</v>
      </c>
      <c r="H381" s="31"/>
      <c r="I381" s="31" t="s">
        <v>47</v>
      </c>
      <c r="J381" s="32" t="n">
        <v>1.0</v>
      </c>
      <c r="K381" s="33" t="n">
        <f>45050</f>
        <v>45050.0</v>
      </c>
      <c r="L381" s="34" t="s">
        <v>48</v>
      </c>
      <c r="M381" s="33" t="n">
        <f>45100</f>
        <v>45100.0</v>
      </c>
      <c r="N381" s="34" t="s">
        <v>48</v>
      </c>
      <c r="O381" s="33" t="n">
        <f>43650</f>
        <v>43650.0</v>
      </c>
      <c r="P381" s="34" t="s">
        <v>295</v>
      </c>
      <c r="Q381" s="33" t="n">
        <f>44200</f>
        <v>44200.0</v>
      </c>
      <c r="R381" s="34" t="s">
        <v>50</v>
      </c>
      <c r="S381" s="35" t="n">
        <f>44368.42</f>
        <v>44368.42</v>
      </c>
      <c r="T381" s="32" t="n">
        <f>147900</f>
        <v>147900.0</v>
      </c>
      <c r="U381" s="32" t="n">
        <f>23725</f>
        <v>23725.0</v>
      </c>
      <c r="V381" s="32" t="n">
        <f>6561194664</f>
        <v>6.561194664E9</v>
      </c>
      <c r="W381" s="32" t="n">
        <f>1052827814</f>
        <v>1.052827814E9</v>
      </c>
      <c r="X381" s="36" t="n">
        <f>19</f>
        <v>19.0</v>
      </c>
    </row>
    <row r="382">
      <c r="A382" s="27" t="s">
        <v>42</v>
      </c>
      <c r="B382" s="27" t="s">
        <v>1198</v>
      </c>
      <c r="C382" s="27" t="s">
        <v>1199</v>
      </c>
      <c r="D382" s="27" t="s">
        <v>1200</v>
      </c>
      <c r="E382" s="28" t="s">
        <v>46</v>
      </c>
      <c r="F382" s="29" t="s">
        <v>46</v>
      </c>
      <c r="G382" s="30" t="s">
        <v>46</v>
      </c>
      <c r="H382" s="31"/>
      <c r="I382" s="31" t="s">
        <v>47</v>
      </c>
      <c r="J382" s="32" t="n">
        <v>1.0</v>
      </c>
      <c r="K382" s="33" t="n">
        <f>370000</f>
        <v>370000.0</v>
      </c>
      <c r="L382" s="34" t="s">
        <v>48</v>
      </c>
      <c r="M382" s="33" t="n">
        <f>374000</f>
        <v>374000.0</v>
      </c>
      <c r="N382" s="34" t="s">
        <v>61</v>
      </c>
      <c r="O382" s="33" t="n">
        <f>342500</f>
        <v>342500.0</v>
      </c>
      <c r="P382" s="34" t="s">
        <v>50</v>
      </c>
      <c r="Q382" s="33" t="n">
        <f>349500</f>
        <v>349500.0</v>
      </c>
      <c r="R382" s="34" t="s">
        <v>50</v>
      </c>
      <c r="S382" s="35" t="n">
        <f>358789.47</f>
        <v>358789.47</v>
      </c>
      <c r="T382" s="32" t="n">
        <f>52087</f>
        <v>52087.0</v>
      </c>
      <c r="U382" s="32" t="n">
        <f>7766</f>
        <v>7766.0</v>
      </c>
      <c r="V382" s="32" t="n">
        <f>18624578686</f>
        <v>1.8624578686E10</v>
      </c>
      <c r="W382" s="32" t="n">
        <f>2785498686</f>
        <v>2.785498686E9</v>
      </c>
      <c r="X382" s="36" t="n">
        <f>19</f>
        <v>19.0</v>
      </c>
    </row>
    <row r="383">
      <c r="A383" s="27" t="s">
        <v>42</v>
      </c>
      <c r="B383" s="27" t="s">
        <v>1201</v>
      </c>
      <c r="C383" s="27" t="s">
        <v>1202</v>
      </c>
      <c r="D383" s="27" t="s">
        <v>1203</v>
      </c>
      <c r="E383" s="28" t="s">
        <v>46</v>
      </c>
      <c r="F383" s="29" t="s">
        <v>46</v>
      </c>
      <c r="G383" s="30" t="s">
        <v>46</v>
      </c>
      <c r="H383" s="31"/>
      <c r="I383" s="31" t="s">
        <v>47</v>
      </c>
      <c r="J383" s="32" t="n">
        <v>1.0</v>
      </c>
      <c r="K383" s="33" t="n">
        <f>152800</f>
        <v>152800.0</v>
      </c>
      <c r="L383" s="34" t="s">
        <v>48</v>
      </c>
      <c r="M383" s="33" t="n">
        <f>156000</f>
        <v>156000.0</v>
      </c>
      <c r="N383" s="34" t="s">
        <v>61</v>
      </c>
      <c r="O383" s="33" t="n">
        <f>140000</f>
        <v>140000.0</v>
      </c>
      <c r="P383" s="34" t="s">
        <v>109</v>
      </c>
      <c r="Q383" s="33" t="n">
        <f>142500</f>
        <v>142500.0</v>
      </c>
      <c r="R383" s="34" t="s">
        <v>50</v>
      </c>
      <c r="S383" s="35" t="n">
        <f>148068.42</f>
        <v>148068.42</v>
      </c>
      <c r="T383" s="32" t="n">
        <f>68597</f>
        <v>68597.0</v>
      </c>
      <c r="U383" s="32" t="n">
        <f>11812</f>
        <v>11812.0</v>
      </c>
      <c r="V383" s="32" t="n">
        <f>10096674707</f>
        <v>1.0096674707E10</v>
      </c>
      <c r="W383" s="32" t="n">
        <f>1736696407</f>
        <v>1.736696407E9</v>
      </c>
      <c r="X383" s="36" t="n">
        <f>19</f>
        <v>19.0</v>
      </c>
    </row>
    <row r="384">
      <c r="A384" s="27" t="s">
        <v>42</v>
      </c>
      <c r="B384" s="27" t="s">
        <v>1204</v>
      </c>
      <c r="C384" s="27" t="s">
        <v>1205</v>
      </c>
      <c r="D384" s="27" t="s">
        <v>1206</v>
      </c>
      <c r="E384" s="28" t="s">
        <v>46</v>
      </c>
      <c r="F384" s="29" t="s">
        <v>46</v>
      </c>
      <c r="G384" s="30" t="s">
        <v>46</v>
      </c>
      <c r="H384" s="31"/>
      <c r="I384" s="31" t="s">
        <v>588</v>
      </c>
      <c r="J384" s="32" t="n">
        <v>1.0</v>
      </c>
      <c r="K384" s="33" t="n">
        <f>121000</f>
        <v>121000.0</v>
      </c>
      <c r="L384" s="34" t="s">
        <v>48</v>
      </c>
      <c r="M384" s="33" t="n">
        <f>122400</f>
        <v>122400.0</v>
      </c>
      <c r="N384" s="34" t="s">
        <v>81</v>
      </c>
      <c r="O384" s="33" t="n">
        <f>113000</f>
        <v>113000.0</v>
      </c>
      <c r="P384" s="34" t="s">
        <v>70</v>
      </c>
      <c r="Q384" s="33" t="n">
        <f>114000</f>
        <v>114000.0</v>
      </c>
      <c r="R384" s="34" t="s">
        <v>50</v>
      </c>
      <c r="S384" s="35" t="n">
        <f>117878.95</f>
        <v>117878.95</v>
      </c>
      <c r="T384" s="32" t="n">
        <f>38785</f>
        <v>38785.0</v>
      </c>
      <c r="U384" s="32" t="n">
        <f>3231</f>
        <v>3231.0</v>
      </c>
      <c r="V384" s="32" t="n">
        <f>4542486119</f>
        <v>4.542486119E9</v>
      </c>
      <c r="W384" s="32" t="n">
        <f>376147119</f>
        <v>3.76147119E8</v>
      </c>
      <c r="X384" s="36" t="n">
        <f>19</f>
        <v>19.0</v>
      </c>
    </row>
    <row r="385">
      <c r="A385" s="27" t="s">
        <v>42</v>
      </c>
      <c r="B385" s="27" t="s">
        <v>1207</v>
      </c>
      <c r="C385" s="27" t="s">
        <v>1208</v>
      </c>
      <c r="D385" s="27" t="s">
        <v>1209</v>
      </c>
      <c r="E385" s="28" t="s">
        <v>46</v>
      </c>
      <c r="F385" s="29" t="s">
        <v>46</v>
      </c>
      <c r="G385" s="30" t="s">
        <v>46</v>
      </c>
      <c r="H385" s="31"/>
      <c r="I385" s="31" t="s">
        <v>47</v>
      </c>
      <c r="J385" s="32" t="n">
        <v>1.0</v>
      </c>
      <c r="K385" s="33" t="n">
        <f>104900</f>
        <v>104900.0</v>
      </c>
      <c r="L385" s="34" t="s">
        <v>48</v>
      </c>
      <c r="M385" s="33" t="n">
        <f>105300</f>
        <v>105300.0</v>
      </c>
      <c r="N385" s="34" t="s">
        <v>214</v>
      </c>
      <c r="O385" s="33" t="n">
        <f>93800</f>
        <v>93800.0</v>
      </c>
      <c r="P385" s="34" t="s">
        <v>50</v>
      </c>
      <c r="Q385" s="33" t="n">
        <f>95500</f>
        <v>95500.0</v>
      </c>
      <c r="R385" s="34" t="s">
        <v>50</v>
      </c>
      <c r="S385" s="35" t="n">
        <f>100831.58</f>
        <v>100831.58</v>
      </c>
      <c r="T385" s="32" t="n">
        <f>180075</f>
        <v>180075.0</v>
      </c>
      <c r="U385" s="32" t="n">
        <f>11815</f>
        <v>11815.0</v>
      </c>
      <c r="V385" s="32" t="n">
        <f>17707296805</f>
        <v>1.7707296805E10</v>
      </c>
      <c r="W385" s="32" t="n">
        <f>1157337605</f>
        <v>1.157337605E9</v>
      </c>
      <c r="X385" s="36" t="n">
        <f>19</f>
        <v>19.0</v>
      </c>
    </row>
    <row r="386">
      <c r="A386" s="27" t="s">
        <v>42</v>
      </c>
      <c r="B386" s="27" t="s">
        <v>1210</v>
      </c>
      <c r="C386" s="27" t="s">
        <v>1211</v>
      </c>
      <c r="D386" s="27" t="s">
        <v>1212</v>
      </c>
      <c r="E386" s="28" t="s">
        <v>46</v>
      </c>
      <c r="F386" s="29" t="s">
        <v>46</v>
      </c>
      <c r="G386" s="30" t="s">
        <v>46</v>
      </c>
      <c r="H386" s="31"/>
      <c r="I386" s="31" t="s">
        <v>47</v>
      </c>
      <c r="J386" s="32" t="n">
        <v>1.0</v>
      </c>
      <c r="K386" s="33" t="n">
        <f>127100</f>
        <v>127100.0</v>
      </c>
      <c r="L386" s="34" t="s">
        <v>48</v>
      </c>
      <c r="M386" s="33" t="n">
        <f>128200</f>
        <v>128200.0</v>
      </c>
      <c r="N386" s="34" t="s">
        <v>74</v>
      </c>
      <c r="O386" s="33" t="n">
        <f>116100</f>
        <v>116100.0</v>
      </c>
      <c r="P386" s="34" t="s">
        <v>50</v>
      </c>
      <c r="Q386" s="33" t="n">
        <f>117600</f>
        <v>117600.0</v>
      </c>
      <c r="R386" s="34" t="s">
        <v>50</v>
      </c>
      <c r="S386" s="35" t="n">
        <f>123215.79</f>
        <v>123215.79</v>
      </c>
      <c r="T386" s="32" t="n">
        <f>41976</f>
        <v>41976.0</v>
      </c>
      <c r="U386" s="32" t="n">
        <f>6255</f>
        <v>6255.0</v>
      </c>
      <c r="V386" s="32" t="n">
        <f>5119255337</f>
        <v>5.119255337E9</v>
      </c>
      <c r="W386" s="32" t="n">
        <f>764692137</f>
        <v>7.64692137E8</v>
      </c>
      <c r="X386" s="36" t="n">
        <f>19</f>
        <v>19.0</v>
      </c>
    </row>
    <row r="387">
      <c r="A387" s="27" t="s">
        <v>42</v>
      </c>
      <c r="B387" s="27" t="s">
        <v>1213</v>
      </c>
      <c r="C387" s="27" t="s">
        <v>1214</v>
      </c>
      <c r="D387" s="27" t="s">
        <v>1215</v>
      </c>
      <c r="E387" s="28" t="s">
        <v>46</v>
      </c>
      <c r="F387" s="29" t="s">
        <v>46</v>
      </c>
      <c r="G387" s="30" t="s">
        <v>46</v>
      </c>
      <c r="H387" s="31"/>
      <c r="I387" s="31" t="s">
        <v>47</v>
      </c>
      <c r="J387" s="32" t="n">
        <v>1.0</v>
      </c>
      <c r="K387" s="33" t="n">
        <f>593000</f>
        <v>593000.0</v>
      </c>
      <c r="L387" s="34" t="s">
        <v>48</v>
      </c>
      <c r="M387" s="33" t="n">
        <f>605000</f>
        <v>605000.0</v>
      </c>
      <c r="N387" s="34" t="s">
        <v>61</v>
      </c>
      <c r="O387" s="33" t="n">
        <f>564000</f>
        <v>564000.0</v>
      </c>
      <c r="P387" s="34" t="s">
        <v>109</v>
      </c>
      <c r="Q387" s="33" t="n">
        <f>577000</f>
        <v>577000.0</v>
      </c>
      <c r="R387" s="34" t="s">
        <v>50</v>
      </c>
      <c r="S387" s="35" t="n">
        <f>584473.68</f>
        <v>584473.68</v>
      </c>
      <c r="T387" s="32" t="n">
        <f>131494</f>
        <v>131494.0</v>
      </c>
      <c r="U387" s="32" t="n">
        <f>30933</f>
        <v>30933.0</v>
      </c>
      <c r="V387" s="32" t="n">
        <f>76678353052</f>
        <v>7.6678353052E10</v>
      </c>
      <c r="W387" s="32" t="n">
        <f>18005551052</f>
        <v>1.8005551052E10</v>
      </c>
      <c r="X387" s="36" t="n">
        <f>19</f>
        <v>19.0</v>
      </c>
    </row>
    <row r="388">
      <c r="A388" s="27" t="s">
        <v>42</v>
      </c>
      <c r="B388" s="27" t="s">
        <v>1216</v>
      </c>
      <c r="C388" s="27" t="s">
        <v>1217</v>
      </c>
      <c r="D388" s="27" t="s">
        <v>1218</v>
      </c>
      <c r="E388" s="28" t="s">
        <v>46</v>
      </c>
      <c r="F388" s="29" t="s">
        <v>46</v>
      </c>
      <c r="G388" s="30" t="s">
        <v>46</v>
      </c>
      <c r="H388" s="31"/>
      <c r="I388" s="31" t="s">
        <v>47</v>
      </c>
      <c r="J388" s="32" t="n">
        <v>1.0</v>
      </c>
      <c r="K388" s="33" t="n">
        <f>562000</f>
        <v>562000.0</v>
      </c>
      <c r="L388" s="34" t="s">
        <v>48</v>
      </c>
      <c r="M388" s="33" t="n">
        <f>573000</f>
        <v>573000.0</v>
      </c>
      <c r="N388" s="34" t="s">
        <v>61</v>
      </c>
      <c r="O388" s="33" t="n">
        <f>523000</f>
        <v>523000.0</v>
      </c>
      <c r="P388" s="34" t="s">
        <v>109</v>
      </c>
      <c r="Q388" s="33" t="n">
        <f>540000</f>
        <v>540000.0</v>
      </c>
      <c r="R388" s="34" t="s">
        <v>50</v>
      </c>
      <c r="S388" s="35" t="n">
        <f>546578.95</f>
        <v>546578.95</v>
      </c>
      <c r="T388" s="32" t="n">
        <f>119679</f>
        <v>119679.0</v>
      </c>
      <c r="U388" s="32" t="n">
        <f>25464</f>
        <v>25464.0</v>
      </c>
      <c r="V388" s="32" t="n">
        <f>65180701567</f>
        <v>6.5180701567E10</v>
      </c>
      <c r="W388" s="32" t="n">
        <f>13840886567</f>
        <v>1.3840886567E10</v>
      </c>
      <c r="X388" s="36" t="n">
        <f>19</f>
        <v>19.0</v>
      </c>
    </row>
    <row r="389">
      <c r="A389" s="27" t="s">
        <v>42</v>
      </c>
      <c r="B389" s="27" t="s">
        <v>1219</v>
      </c>
      <c r="C389" s="27" t="s">
        <v>1220</v>
      </c>
      <c r="D389" s="27" t="s">
        <v>1221</v>
      </c>
      <c r="E389" s="28" t="s">
        <v>46</v>
      </c>
      <c r="F389" s="29" t="s">
        <v>46</v>
      </c>
      <c r="G389" s="30" t="s">
        <v>46</v>
      </c>
      <c r="H389" s="31"/>
      <c r="I389" s="31" t="s">
        <v>47</v>
      </c>
      <c r="J389" s="32" t="n">
        <v>1.0</v>
      </c>
      <c r="K389" s="33" t="n">
        <f>99500</f>
        <v>99500.0</v>
      </c>
      <c r="L389" s="34" t="s">
        <v>48</v>
      </c>
      <c r="M389" s="33" t="n">
        <f>101000</f>
        <v>101000.0</v>
      </c>
      <c r="N389" s="34" t="s">
        <v>61</v>
      </c>
      <c r="O389" s="33" t="n">
        <f>87700</f>
        <v>87700.0</v>
      </c>
      <c r="P389" s="34" t="s">
        <v>50</v>
      </c>
      <c r="Q389" s="33" t="n">
        <f>88300</f>
        <v>88300.0</v>
      </c>
      <c r="R389" s="34" t="s">
        <v>50</v>
      </c>
      <c r="S389" s="35" t="n">
        <f>94505.26</f>
        <v>94505.26</v>
      </c>
      <c r="T389" s="32" t="n">
        <f>647707</f>
        <v>647707.0</v>
      </c>
      <c r="U389" s="32" t="n">
        <f>149287</f>
        <v>149287.0</v>
      </c>
      <c r="V389" s="32" t="n">
        <f>60753842265</f>
        <v>6.0753842265E10</v>
      </c>
      <c r="W389" s="32" t="n">
        <f>13929027565</f>
        <v>1.3929027565E10</v>
      </c>
      <c r="X389" s="36" t="n">
        <f>19</f>
        <v>19.0</v>
      </c>
    </row>
    <row r="390">
      <c r="A390" s="27" t="s">
        <v>42</v>
      </c>
      <c r="B390" s="27" t="s">
        <v>1222</v>
      </c>
      <c r="C390" s="27" t="s">
        <v>1223</v>
      </c>
      <c r="D390" s="27" t="s">
        <v>1224</v>
      </c>
      <c r="E390" s="28" t="s">
        <v>46</v>
      </c>
      <c r="F390" s="29" t="s">
        <v>46</v>
      </c>
      <c r="G390" s="30" t="s">
        <v>46</v>
      </c>
      <c r="H390" s="31"/>
      <c r="I390" s="31" t="s">
        <v>47</v>
      </c>
      <c r="J390" s="32" t="n">
        <v>1.0</v>
      </c>
      <c r="K390" s="33" t="n">
        <f>169000</f>
        <v>169000.0</v>
      </c>
      <c r="L390" s="34" t="s">
        <v>48</v>
      </c>
      <c r="M390" s="33" t="n">
        <f>173300</f>
        <v>173300.0</v>
      </c>
      <c r="N390" s="34" t="s">
        <v>61</v>
      </c>
      <c r="O390" s="33" t="n">
        <f>155700</f>
        <v>155700.0</v>
      </c>
      <c r="P390" s="34" t="s">
        <v>50</v>
      </c>
      <c r="Q390" s="33" t="n">
        <f>158100</f>
        <v>158100.0</v>
      </c>
      <c r="R390" s="34" t="s">
        <v>50</v>
      </c>
      <c r="S390" s="35" t="n">
        <f>164126.32</f>
        <v>164126.32</v>
      </c>
      <c r="T390" s="32" t="n">
        <f>193185</f>
        <v>193185.0</v>
      </c>
      <c r="U390" s="32" t="n">
        <f>29491</f>
        <v>29491.0</v>
      </c>
      <c r="V390" s="32" t="n">
        <f>31616015889</f>
        <v>3.1616015889E10</v>
      </c>
      <c r="W390" s="32" t="n">
        <f>4818465889</f>
        <v>4.818465889E9</v>
      </c>
      <c r="X390" s="36" t="n">
        <f>19</f>
        <v>19.0</v>
      </c>
    </row>
    <row r="391">
      <c r="A391" s="27" t="s">
        <v>42</v>
      </c>
      <c r="B391" s="27" t="s">
        <v>1225</v>
      </c>
      <c r="C391" s="27" t="s">
        <v>1226</v>
      </c>
      <c r="D391" s="27" t="s">
        <v>1227</v>
      </c>
      <c r="E391" s="28" t="s">
        <v>46</v>
      </c>
      <c r="F391" s="29" t="s">
        <v>46</v>
      </c>
      <c r="G391" s="30" t="s">
        <v>46</v>
      </c>
      <c r="H391" s="31"/>
      <c r="I391" s="31" t="s">
        <v>47</v>
      </c>
      <c r="J391" s="32" t="n">
        <v>1.0</v>
      </c>
      <c r="K391" s="33" t="n">
        <f>350000</f>
        <v>350000.0</v>
      </c>
      <c r="L391" s="34" t="s">
        <v>48</v>
      </c>
      <c r="M391" s="33" t="n">
        <f>351500</f>
        <v>351500.0</v>
      </c>
      <c r="N391" s="34" t="s">
        <v>81</v>
      </c>
      <c r="O391" s="33" t="n">
        <f>321500</f>
        <v>321500.0</v>
      </c>
      <c r="P391" s="34" t="s">
        <v>109</v>
      </c>
      <c r="Q391" s="33" t="n">
        <f>328500</f>
        <v>328500.0</v>
      </c>
      <c r="R391" s="34" t="s">
        <v>50</v>
      </c>
      <c r="S391" s="35" t="n">
        <f>335631.58</f>
        <v>335631.58</v>
      </c>
      <c r="T391" s="32" t="n">
        <f>60064</f>
        <v>60064.0</v>
      </c>
      <c r="U391" s="32" t="n">
        <f>12905</f>
        <v>12905.0</v>
      </c>
      <c r="V391" s="32" t="n">
        <f>20126762513</f>
        <v>2.0126762513E10</v>
      </c>
      <c r="W391" s="32" t="n">
        <f>4312520013</f>
        <v>4.312520013E9</v>
      </c>
      <c r="X391" s="36" t="n">
        <f>19</f>
        <v>19.0</v>
      </c>
    </row>
    <row r="392">
      <c r="A392" s="27" t="s">
        <v>42</v>
      </c>
      <c r="B392" s="27" t="s">
        <v>1228</v>
      </c>
      <c r="C392" s="27" t="s">
        <v>1229</v>
      </c>
      <c r="D392" s="27" t="s">
        <v>1230</v>
      </c>
      <c r="E392" s="28" t="s">
        <v>46</v>
      </c>
      <c r="F392" s="29" t="s">
        <v>46</v>
      </c>
      <c r="G392" s="30" t="s">
        <v>46</v>
      </c>
      <c r="H392" s="31"/>
      <c r="I392" s="31" t="s">
        <v>47</v>
      </c>
      <c r="J392" s="32" t="n">
        <v>1.0</v>
      </c>
      <c r="K392" s="33" t="n">
        <f>125000</f>
        <v>125000.0</v>
      </c>
      <c r="L392" s="34" t="s">
        <v>48</v>
      </c>
      <c r="M392" s="33" t="n">
        <f>125600</f>
        <v>125600.0</v>
      </c>
      <c r="N392" s="34" t="s">
        <v>61</v>
      </c>
      <c r="O392" s="33" t="n">
        <f>118200</f>
        <v>118200.0</v>
      </c>
      <c r="P392" s="34" t="s">
        <v>109</v>
      </c>
      <c r="Q392" s="33" t="n">
        <f>118700</f>
        <v>118700.0</v>
      </c>
      <c r="R392" s="34" t="s">
        <v>50</v>
      </c>
      <c r="S392" s="35" t="n">
        <f>121757.89</f>
        <v>121757.89</v>
      </c>
      <c r="T392" s="32" t="n">
        <f>92190</f>
        <v>92190.0</v>
      </c>
      <c r="U392" s="32" t="n">
        <f>17831</f>
        <v>17831.0</v>
      </c>
      <c r="V392" s="32" t="n">
        <f>11192307488</f>
        <v>1.1192307488E10</v>
      </c>
      <c r="W392" s="32" t="n">
        <f>2160107788</f>
        <v>2.160107788E9</v>
      </c>
      <c r="X392" s="36" t="n">
        <f>19</f>
        <v>19.0</v>
      </c>
    </row>
    <row r="393">
      <c r="A393" s="27" t="s">
        <v>42</v>
      </c>
      <c r="B393" s="27" t="s">
        <v>1231</v>
      </c>
      <c r="C393" s="27" t="s">
        <v>1232</v>
      </c>
      <c r="D393" s="27" t="s">
        <v>1233</v>
      </c>
      <c r="E393" s="28" t="s">
        <v>46</v>
      </c>
      <c r="F393" s="29" t="s">
        <v>46</v>
      </c>
      <c r="G393" s="30" t="s">
        <v>46</v>
      </c>
      <c r="H393" s="31"/>
      <c r="I393" s="31" t="s">
        <v>47</v>
      </c>
      <c r="J393" s="32" t="n">
        <v>1.0</v>
      </c>
      <c r="K393" s="33" t="n">
        <f>171400</f>
        <v>171400.0</v>
      </c>
      <c r="L393" s="34" t="s">
        <v>48</v>
      </c>
      <c r="M393" s="33" t="n">
        <f>171900</f>
        <v>171900.0</v>
      </c>
      <c r="N393" s="34" t="s">
        <v>48</v>
      </c>
      <c r="O393" s="33" t="n">
        <f>159800</f>
        <v>159800.0</v>
      </c>
      <c r="P393" s="34" t="s">
        <v>50</v>
      </c>
      <c r="Q393" s="33" t="n">
        <f>162300</f>
        <v>162300.0</v>
      </c>
      <c r="R393" s="34" t="s">
        <v>50</v>
      </c>
      <c r="S393" s="35" t="n">
        <f>164978.95</f>
        <v>164978.95</v>
      </c>
      <c r="T393" s="32" t="n">
        <f>57130</f>
        <v>57130.0</v>
      </c>
      <c r="U393" s="32" t="n">
        <f>8480</f>
        <v>8480.0</v>
      </c>
      <c r="V393" s="32" t="n">
        <f>9421738701</f>
        <v>9.421738701E9</v>
      </c>
      <c r="W393" s="32" t="n">
        <f>1396750901</f>
        <v>1.396750901E9</v>
      </c>
      <c r="X393" s="36" t="n">
        <f>19</f>
        <v>19.0</v>
      </c>
    </row>
    <row r="394">
      <c r="A394" s="27" t="s">
        <v>42</v>
      </c>
      <c r="B394" s="27" t="s">
        <v>1234</v>
      </c>
      <c r="C394" s="27" t="s">
        <v>1235</v>
      </c>
      <c r="D394" s="27" t="s">
        <v>1236</v>
      </c>
      <c r="E394" s="28" t="s">
        <v>46</v>
      </c>
      <c r="F394" s="29" t="s">
        <v>46</v>
      </c>
      <c r="G394" s="30" t="s">
        <v>46</v>
      </c>
      <c r="H394" s="31"/>
      <c r="I394" s="31" t="s">
        <v>47</v>
      </c>
      <c r="J394" s="32" t="n">
        <v>1.0</v>
      </c>
      <c r="K394" s="33" t="n">
        <f>109900</f>
        <v>109900.0</v>
      </c>
      <c r="L394" s="34" t="s">
        <v>48</v>
      </c>
      <c r="M394" s="33" t="n">
        <f>110000</f>
        <v>110000.0</v>
      </c>
      <c r="N394" s="34" t="s">
        <v>48</v>
      </c>
      <c r="O394" s="33" t="n">
        <f>104200</f>
        <v>104200.0</v>
      </c>
      <c r="P394" s="34" t="s">
        <v>295</v>
      </c>
      <c r="Q394" s="33" t="n">
        <f>106500</f>
        <v>106500.0</v>
      </c>
      <c r="R394" s="34" t="s">
        <v>50</v>
      </c>
      <c r="S394" s="35" t="n">
        <f>107094.74</f>
        <v>107094.74</v>
      </c>
      <c r="T394" s="32" t="n">
        <f>77841</f>
        <v>77841.0</v>
      </c>
      <c r="U394" s="32" t="n">
        <f>15217</f>
        <v>15217.0</v>
      </c>
      <c r="V394" s="32" t="n">
        <f>8326220288</f>
        <v>8.326220288E9</v>
      </c>
      <c r="W394" s="32" t="n">
        <f>1628724188</f>
        <v>1.628724188E9</v>
      </c>
      <c r="X394" s="36" t="n">
        <f>19</f>
        <v>19.0</v>
      </c>
    </row>
    <row r="395">
      <c r="A395" s="27" t="s">
        <v>42</v>
      </c>
      <c r="B395" s="27" t="s">
        <v>1237</v>
      </c>
      <c r="C395" s="27" t="s">
        <v>1238</v>
      </c>
      <c r="D395" s="27" t="s">
        <v>1239</v>
      </c>
      <c r="E395" s="28" t="s">
        <v>46</v>
      </c>
      <c r="F395" s="29" t="s">
        <v>46</v>
      </c>
      <c r="G395" s="30" t="s">
        <v>46</v>
      </c>
      <c r="H395" s="31"/>
      <c r="I395" s="31" t="s">
        <v>47</v>
      </c>
      <c r="J395" s="32" t="n">
        <v>1.0</v>
      </c>
      <c r="K395" s="33" t="n">
        <f>148300</f>
        <v>148300.0</v>
      </c>
      <c r="L395" s="34" t="s">
        <v>48</v>
      </c>
      <c r="M395" s="33" t="n">
        <f>150000</f>
        <v>150000.0</v>
      </c>
      <c r="N395" s="34" t="s">
        <v>81</v>
      </c>
      <c r="O395" s="33" t="n">
        <f>138900</f>
        <v>138900.0</v>
      </c>
      <c r="P395" s="34" t="s">
        <v>105</v>
      </c>
      <c r="Q395" s="33" t="n">
        <f>141500</f>
        <v>141500.0</v>
      </c>
      <c r="R395" s="34" t="s">
        <v>50</v>
      </c>
      <c r="S395" s="35" t="n">
        <f>143642.11</f>
        <v>143642.11</v>
      </c>
      <c r="T395" s="32" t="n">
        <f>186047</f>
        <v>186047.0</v>
      </c>
      <c r="U395" s="32" t="n">
        <f>39459</f>
        <v>39459.0</v>
      </c>
      <c r="V395" s="32" t="n">
        <f>26697870808</f>
        <v>2.6697870808E10</v>
      </c>
      <c r="W395" s="32" t="n">
        <f>5649885208</f>
        <v>5.649885208E9</v>
      </c>
      <c r="X395" s="36" t="n">
        <f>19</f>
        <v>19.0</v>
      </c>
    </row>
    <row r="396">
      <c r="A396" s="27" t="s">
        <v>42</v>
      </c>
      <c r="B396" s="27" t="s">
        <v>1240</v>
      </c>
      <c r="C396" s="27" t="s">
        <v>1241</v>
      </c>
      <c r="D396" s="27" t="s">
        <v>1242</v>
      </c>
      <c r="E396" s="28" t="s">
        <v>46</v>
      </c>
      <c r="F396" s="29" t="s">
        <v>46</v>
      </c>
      <c r="G396" s="30" t="s">
        <v>46</v>
      </c>
      <c r="H396" s="31"/>
      <c r="I396" s="31" t="s">
        <v>47</v>
      </c>
      <c r="J396" s="32" t="n">
        <v>1.0</v>
      </c>
      <c r="K396" s="33" t="n">
        <f>74500</f>
        <v>74500.0</v>
      </c>
      <c r="L396" s="34" t="s">
        <v>48</v>
      </c>
      <c r="M396" s="33" t="n">
        <f>74700</f>
        <v>74700.0</v>
      </c>
      <c r="N396" s="34" t="s">
        <v>48</v>
      </c>
      <c r="O396" s="33" t="n">
        <f>68600</f>
        <v>68600.0</v>
      </c>
      <c r="P396" s="34" t="s">
        <v>50</v>
      </c>
      <c r="Q396" s="33" t="n">
        <f>69700</f>
        <v>69700.0</v>
      </c>
      <c r="R396" s="34" t="s">
        <v>50</v>
      </c>
      <c r="S396" s="35" t="n">
        <f>71684.21</f>
        <v>71684.21</v>
      </c>
      <c r="T396" s="32" t="n">
        <f>154954</f>
        <v>154954.0</v>
      </c>
      <c r="U396" s="32" t="n">
        <f>24613</f>
        <v>24613.0</v>
      </c>
      <c r="V396" s="32" t="n">
        <f>11068528940</f>
        <v>1.106852894E10</v>
      </c>
      <c r="W396" s="32" t="n">
        <f>1762193640</f>
        <v>1.76219364E9</v>
      </c>
      <c r="X396" s="36" t="n">
        <f>19</f>
        <v>19.0</v>
      </c>
    </row>
    <row r="397">
      <c r="A397" s="27" t="s">
        <v>42</v>
      </c>
      <c r="B397" s="27" t="s">
        <v>1243</v>
      </c>
      <c r="C397" s="27" t="s">
        <v>1244</v>
      </c>
      <c r="D397" s="27" t="s">
        <v>1245</v>
      </c>
      <c r="E397" s="28" t="s">
        <v>46</v>
      </c>
      <c r="F397" s="29" t="s">
        <v>46</v>
      </c>
      <c r="G397" s="30" t="s">
        <v>46</v>
      </c>
      <c r="H397" s="31"/>
      <c r="I397" s="31" t="s">
        <v>47</v>
      </c>
      <c r="J397" s="32" t="n">
        <v>1.0</v>
      </c>
      <c r="K397" s="33" t="n">
        <f>60200</f>
        <v>60200.0</v>
      </c>
      <c r="L397" s="34" t="s">
        <v>48</v>
      </c>
      <c r="M397" s="33" t="n">
        <f>65300</f>
        <v>65300.0</v>
      </c>
      <c r="N397" s="34" t="s">
        <v>70</v>
      </c>
      <c r="O397" s="33" t="n">
        <f>59800</f>
        <v>59800.0</v>
      </c>
      <c r="P397" s="34" t="s">
        <v>48</v>
      </c>
      <c r="Q397" s="33" t="n">
        <f>61500</f>
        <v>61500.0</v>
      </c>
      <c r="R397" s="34" t="s">
        <v>50</v>
      </c>
      <c r="S397" s="35" t="n">
        <f>61478.95</f>
        <v>61478.95</v>
      </c>
      <c r="T397" s="32" t="n">
        <f>673649</f>
        <v>673649.0</v>
      </c>
      <c r="U397" s="32" t="n">
        <f>135653</f>
        <v>135653.0</v>
      </c>
      <c r="V397" s="32" t="n">
        <f>41648164654</f>
        <v>4.1648164654E10</v>
      </c>
      <c r="W397" s="32" t="n">
        <f>8351204854</f>
        <v>8.351204854E9</v>
      </c>
      <c r="X397" s="36" t="n">
        <f>19</f>
        <v>19.0</v>
      </c>
    </row>
    <row r="398">
      <c r="A398" s="27" t="s">
        <v>42</v>
      </c>
      <c r="B398" s="27" t="s">
        <v>1246</v>
      </c>
      <c r="C398" s="27" t="s">
        <v>1247</v>
      </c>
      <c r="D398" s="27" t="s">
        <v>1248</v>
      </c>
      <c r="E398" s="28" t="s">
        <v>46</v>
      </c>
      <c r="F398" s="29" t="s">
        <v>46</v>
      </c>
      <c r="G398" s="30" t="s">
        <v>46</v>
      </c>
      <c r="H398" s="31"/>
      <c r="I398" s="31" t="s">
        <v>47</v>
      </c>
      <c r="J398" s="32" t="n">
        <v>1.0</v>
      </c>
      <c r="K398" s="33" t="n">
        <f>434000</f>
        <v>434000.0</v>
      </c>
      <c r="L398" s="34" t="s">
        <v>48</v>
      </c>
      <c r="M398" s="33" t="n">
        <f>436500</f>
        <v>436500.0</v>
      </c>
      <c r="N398" s="34" t="s">
        <v>81</v>
      </c>
      <c r="O398" s="33" t="n">
        <f>413000</f>
        <v>413000.0</v>
      </c>
      <c r="P398" s="34" t="s">
        <v>109</v>
      </c>
      <c r="Q398" s="33" t="n">
        <f>429500</f>
        <v>429500.0</v>
      </c>
      <c r="R398" s="34" t="s">
        <v>50</v>
      </c>
      <c r="S398" s="35" t="n">
        <f>425157.89</f>
        <v>425157.89</v>
      </c>
      <c r="T398" s="32" t="n">
        <f>40110</f>
        <v>40110.0</v>
      </c>
      <c r="U398" s="32" t="n">
        <f>6903</f>
        <v>6903.0</v>
      </c>
      <c r="V398" s="32" t="n">
        <f>17052896775</f>
        <v>1.7052896775E10</v>
      </c>
      <c r="W398" s="32" t="n">
        <f>2939888275</f>
        <v>2.939888275E9</v>
      </c>
      <c r="X398" s="36" t="n">
        <f>19</f>
        <v>19.0</v>
      </c>
    </row>
    <row r="399">
      <c r="A399" s="27" t="s">
        <v>42</v>
      </c>
      <c r="B399" s="27" t="s">
        <v>1249</v>
      </c>
      <c r="C399" s="27" t="s">
        <v>1250</v>
      </c>
      <c r="D399" s="27" t="s">
        <v>1251</v>
      </c>
      <c r="E399" s="28" t="s">
        <v>46</v>
      </c>
      <c r="F399" s="29" t="s">
        <v>46</v>
      </c>
      <c r="G399" s="30" t="s">
        <v>46</v>
      </c>
      <c r="H399" s="31"/>
      <c r="I399" s="31" t="s">
        <v>47</v>
      </c>
      <c r="J399" s="32" t="n">
        <v>1.0</v>
      </c>
      <c r="K399" s="33" t="n">
        <f>136500</f>
        <v>136500.0</v>
      </c>
      <c r="L399" s="34" t="s">
        <v>48</v>
      </c>
      <c r="M399" s="33" t="n">
        <f>137700</f>
        <v>137700.0</v>
      </c>
      <c r="N399" s="34" t="s">
        <v>69</v>
      </c>
      <c r="O399" s="33" t="n">
        <f>131000</f>
        <v>131000.0</v>
      </c>
      <c r="P399" s="34" t="s">
        <v>105</v>
      </c>
      <c r="Q399" s="33" t="n">
        <f>135600</f>
        <v>135600.0</v>
      </c>
      <c r="R399" s="34" t="s">
        <v>50</v>
      </c>
      <c r="S399" s="35" t="n">
        <f>134684.21</f>
        <v>134684.21</v>
      </c>
      <c r="T399" s="32" t="n">
        <f>63082</f>
        <v>63082.0</v>
      </c>
      <c r="U399" s="32" t="n">
        <f>11733</f>
        <v>11733.0</v>
      </c>
      <c r="V399" s="32" t="n">
        <f>8491949184</f>
        <v>8.491949184E9</v>
      </c>
      <c r="W399" s="32" t="n">
        <f>1578360584</f>
        <v>1.578360584E9</v>
      </c>
      <c r="X399" s="36" t="n">
        <f>19</f>
        <v>19.0</v>
      </c>
    </row>
    <row r="400">
      <c r="A400" s="27" t="s">
        <v>42</v>
      </c>
      <c r="B400" s="27" t="s">
        <v>1252</v>
      </c>
      <c r="C400" s="27" t="s">
        <v>1253</v>
      </c>
      <c r="D400" s="27" t="s">
        <v>1254</v>
      </c>
      <c r="E400" s="28" t="s">
        <v>46</v>
      </c>
      <c r="F400" s="29" t="s">
        <v>46</v>
      </c>
      <c r="G400" s="30" t="s">
        <v>46</v>
      </c>
      <c r="H400" s="31"/>
      <c r="I400" s="31" t="s">
        <v>47</v>
      </c>
      <c r="J400" s="32" t="n">
        <v>1.0</v>
      </c>
      <c r="K400" s="33" t="n">
        <f>270300</f>
        <v>270300.0</v>
      </c>
      <c r="L400" s="34" t="s">
        <v>48</v>
      </c>
      <c r="M400" s="33" t="n">
        <f>275800</f>
        <v>275800.0</v>
      </c>
      <c r="N400" s="34" t="s">
        <v>61</v>
      </c>
      <c r="O400" s="33" t="n">
        <f>251800</f>
        <v>251800.0</v>
      </c>
      <c r="P400" s="34" t="s">
        <v>109</v>
      </c>
      <c r="Q400" s="33" t="n">
        <f>255900</f>
        <v>255900.0</v>
      </c>
      <c r="R400" s="34" t="s">
        <v>50</v>
      </c>
      <c r="S400" s="35" t="n">
        <f>265189.47</f>
        <v>265189.47</v>
      </c>
      <c r="T400" s="32" t="n">
        <f>71131</f>
        <v>71131.0</v>
      </c>
      <c r="U400" s="32" t="n">
        <f>16812</f>
        <v>16812.0</v>
      </c>
      <c r="V400" s="32" t="n">
        <f>18777877889</f>
        <v>1.8777877889E10</v>
      </c>
      <c r="W400" s="32" t="n">
        <f>4448471589</f>
        <v>4.448471589E9</v>
      </c>
      <c r="X400" s="36" t="n">
        <f>19</f>
        <v>19.0</v>
      </c>
    </row>
    <row r="401">
      <c r="A401" s="27" t="s">
        <v>42</v>
      </c>
      <c r="B401" s="27" t="s">
        <v>1255</v>
      </c>
      <c r="C401" s="27" t="s">
        <v>1256</v>
      </c>
      <c r="D401" s="27" t="s">
        <v>1257</v>
      </c>
      <c r="E401" s="28" t="s">
        <v>46</v>
      </c>
      <c r="F401" s="29" t="s">
        <v>46</v>
      </c>
      <c r="G401" s="30" t="s">
        <v>46</v>
      </c>
      <c r="H401" s="31"/>
      <c r="I401" s="31" t="s">
        <v>47</v>
      </c>
      <c r="J401" s="32" t="n">
        <v>1.0</v>
      </c>
      <c r="K401" s="33" t="n">
        <f>173400</f>
        <v>173400.0</v>
      </c>
      <c r="L401" s="34" t="s">
        <v>48</v>
      </c>
      <c r="M401" s="33" t="n">
        <f>174900</f>
        <v>174900.0</v>
      </c>
      <c r="N401" s="34" t="s">
        <v>61</v>
      </c>
      <c r="O401" s="33" t="n">
        <f>163500</f>
        <v>163500.0</v>
      </c>
      <c r="P401" s="34" t="s">
        <v>50</v>
      </c>
      <c r="Q401" s="33" t="n">
        <f>165700</f>
        <v>165700.0</v>
      </c>
      <c r="R401" s="34" t="s">
        <v>50</v>
      </c>
      <c r="S401" s="35" t="n">
        <f>169721.05</f>
        <v>169721.05</v>
      </c>
      <c r="T401" s="32" t="n">
        <f>42406</f>
        <v>42406.0</v>
      </c>
      <c r="U401" s="32" t="n">
        <f>6473</f>
        <v>6473.0</v>
      </c>
      <c r="V401" s="32" t="n">
        <f>7173244428</f>
        <v>7.173244428E9</v>
      </c>
      <c r="W401" s="32" t="n">
        <f>1094173428</f>
        <v>1.094173428E9</v>
      </c>
      <c r="X401" s="36" t="n">
        <f>19</f>
        <v>19.0</v>
      </c>
    </row>
    <row r="402">
      <c r="A402" s="27" t="s">
        <v>42</v>
      </c>
      <c r="B402" s="27" t="s">
        <v>1258</v>
      </c>
      <c r="C402" s="27" t="s">
        <v>1259</v>
      </c>
      <c r="D402" s="27" t="s">
        <v>1260</v>
      </c>
      <c r="E402" s="28" t="s">
        <v>46</v>
      </c>
      <c r="F402" s="29" t="s">
        <v>46</v>
      </c>
      <c r="G402" s="30" t="s">
        <v>46</v>
      </c>
      <c r="H402" s="31"/>
      <c r="I402" s="31" t="s">
        <v>47</v>
      </c>
      <c r="J402" s="32" t="n">
        <v>1.0</v>
      </c>
      <c r="K402" s="33" t="n">
        <f>158500</f>
        <v>158500.0</v>
      </c>
      <c r="L402" s="34" t="s">
        <v>48</v>
      </c>
      <c r="M402" s="33" t="n">
        <f>160300</f>
        <v>160300.0</v>
      </c>
      <c r="N402" s="34" t="s">
        <v>48</v>
      </c>
      <c r="O402" s="33" t="n">
        <f>145500</f>
        <v>145500.0</v>
      </c>
      <c r="P402" s="34" t="s">
        <v>295</v>
      </c>
      <c r="Q402" s="33" t="n">
        <f>149900</f>
        <v>149900.0</v>
      </c>
      <c r="R402" s="34" t="s">
        <v>50</v>
      </c>
      <c r="S402" s="35" t="n">
        <f>151168.42</f>
        <v>151168.42</v>
      </c>
      <c r="T402" s="32" t="n">
        <f>406921</f>
        <v>406921.0</v>
      </c>
      <c r="U402" s="32" t="n">
        <f>66189</f>
        <v>66189.0</v>
      </c>
      <c r="V402" s="32" t="n">
        <f>61473993271</f>
        <v>6.1473993271E10</v>
      </c>
      <c r="W402" s="32" t="n">
        <f>9994434371</f>
        <v>9.994434371E9</v>
      </c>
      <c r="X402" s="36" t="n">
        <f>19</f>
        <v>19.0</v>
      </c>
    </row>
    <row r="403">
      <c r="A403" s="27" t="s">
        <v>42</v>
      </c>
      <c r="B403" s="27" t="s">
        <v>1261</v>
      </c>
      <c r="C403" s="27" t="s">
        <v>1262</v>
      </c>
      <c r="D403" s="27" t="s">
        <v>1263</v>
      </c>
      <c r="E403" s="28" t="s">
        <v>46</v>
      </c>
      <c r="F403" s="29" t="s">
        <v>46</v>
      </c>
      <c r="G403" s="30" t="s">
        <v>46</v>
      </c>
      <c r="H403" s="31"/>
      <c r="I403" s="31" t="s">
        <v>47</v>
      </c>
      <c r="J403" s="32" t="n">
        <v>1.0</v>
      </c>
      <c r="K403" s="33" t="n">
        <f>82400</f>
        <v>82400.0</v>
      </c>
      <c r="L403" s="34" t="s">
        <v>48</v>
      </c>
      <c r="M403" s="33" t="n">
        <f>82600</f>
        <v>82600.0</v>
      </c>
      <c r="N403" s="34" t="s">
        <v>48</v>
      </c>
      <c r="O403" s="33" t="n">
        <f>77300</f>
        <v>77300.0</v>
      </c>
      <c r="P403" s="34" t="s">
        <v>105</v>
      </c>
      <c r="Q403" s="33" t="n">
        <f>78400</f>
        <v>78400.0</v>
      </c>
      <c r="R403" s="34" t="s">
        <v>50</v>
      </c>
      <c r="S403" s="35" t="n">
        <f>79657.89</f>
        <v>79657.89</v>
      </c>
      <c r="T403" s="32" t="n">
        <f>75727</f>
        <v>75727.0</v>
      </c>
      <c r="U403" s="32" t="n">
        <f>12741</f>
        <v>12741.0</v>
      </c>
      <c r="V403" s="32" t="n">
        <f>6037097969</f>
        <v>6.037097969E9</v>
      </c>
      <c r="W403" s="32" t="n">
        <f>1013010169</f>
        <v>1.013010169E9</v>
      </c>
      <c r="X403" s="36" t="n">
        <f>19</f>
        <v>19.0</v>
      </c>
    </row>
    <row r="404">
      <c r="A404" s="27" t="s">
        <v>42</v>
      </c>
      <c r="B404" s="27" t="s">
        <v>1264</v>
      </c>
      <c r="C404" s="27" t="s">
        <v>1265</v>
      </c>
      <c r="D404" s="27" t="s">
        <v>1266</v>
      </c>
      <c r="E404" s="28" t="s">
        <v>46</v>
      </c>
      <c r="F404" s="29" t="s">
        <v>46</v>
      </c>
      <c r="G404" s="30" t="s">
        <v>46</v>
      </c>
      <c r="H404" s="31"/>
      <c r="I404" s="31" t="s">
        <v>47</v>
      </c>
      <c r="J404" s="32" t="n">
        <v>1.0</v>
      </c>
      <c r="K404" s="33" t="n">
        <f>623000</f>
        <v>623000.0</v>
      </c>
      <c r="L404" s="34" t="s">
        <v>48</v>
      </c>
      <c r="M404" s="33" t="n">
        <f>628000</f>
        <v>628000.0</v>
      </c>
      <c r="N404" s="34" t="s">
        <v>81</v>
      </c>
      <c r="O404" s="33" t="n">
        <f>577000</f>
        <v>577000.0</v>
      </c>
      <c r="P404" s="34" t="s">
        <v>50</v>
      </c>
      <c r="Q404" s="33" t="n">
        <f>583000</f>
        <v>583000.0</v>
      </c>
      <c r="R404" s="34" t="s">
        <v>50</v>
      </c>
      <c r="S404" s="35" t="n">
        <f>602789.47</f>
        <v>602789.47</v>
      </c>
      <c r="T404" s="32" t="n">
        <f>23943</f>
        <v>23943.0</v>
      </c>
      <c r="U404" s="32" t="n">
        <f>4043</f>
        <v>4043.0</v>
      </c>
      <c r="V404" s="32" t="n">
        <f>14377603145</f>
        <v>1.4377603145E10</v>
      </c>
      <c r="W404" s="32" t="n">
        <f>2418165145</f>
        <v>2.418165145E9</v>
      </c>
      <c r="X404" s="36" t="n">
        <f>19</f>
        <v>19.0</v>
      </c>
    </row>
    <row r="405">
      <c r="A405" s="27" t="s">
        <v>42</v>
      </c>
      <c r="B405" s="27" t="s">
        <v>1267</v>
      </c>
      <c r="C405" s="27" t="s">
        <v>1268</v>
      </c>
      <c r="D405" s="27" t="s">
        <v>1269</v>
      </c>
      <c r="E405" s="28" t="s">
        <v>46</v>
      </c>
      <c r="F405" s="29" t="s">
        <v>46</v>
      </c>
      <c r="G405" s="30" t="s">
        <v>46</v>
      </c>
      <c r="H405" s="31"/>
      <c r="I405" s="31" t="s">
        <v>47</v>
      </c>
      <c r="J405" s="32" t="n">
        <v>1.0</v>
      </c>
      <c r="K405" s="33" t="n">
        <f>145100</f>
        <v>145100.0</v>
      </c>
      <c r="L405" s="34" t="s">
        <v>48</v>
      </c>
      <c r="M405" s="33" t="n">
        <f>145700</f>
        <v>145700.0</v>
      </c>
      <c r="N405" s="34" t="s">
        <v>48</v>
      </c>
      <c r="O405" s="33" t="n">
        <f>135400</f>
        <v>135400.0</v>
      </c>
      <c r="P405" s="34" t="s">
        <v>50</v>
      </c>
      <c r="Q405" s="33" t="n">
        <f>136000</f>
        <v>136000.0</v>
      </c>
      <c r="R405" s="34" t="s">
        <v>50</v>
      </c>
      <c r="S405" s="35" t="n">
        <f>140121.05</f>
        <v>140121.05</v>
      </c>
      <c r="T405" s="32" t="n">
        <f>30736</f>
        <v>30736.0</v>
      </c>
      <c r="U405" s="32" t="n">
        <f>4813</f>
        <v>4813.0</v>
      </c>
      <c r="V405" s="32" t="n">
        <f>4300904484</f>
        <v>4.300904484E9</v>
      </c>
      <c r="W405" s="32" t="n">
        <f>671717884</f>
        <v>6.71717884E8</v>
      </c>
      <c r="X405" s="36" t="n">
        <f>19</f>
        <v>19.0</v>
      </c>
    </row>
    <row r="406">
      <c r="A406" s="27" t="s">
        <v>42</v>
      </c>
      <c r="B406" s="27" t="s">
        <v>1270</v>
      </c>
      <c r="C406" s="27" t="s">
        <v>1271</v>
      </c>
      <c r="D406" s="27" t="s">
        <v>1272</v>
      </c>
      <c r="E406" s="28" t="s">
        <v>46</v>
      </c>
      <c r="F406" s="29" t="s">
        <v>46</v>
      </c>
      <c r="G406" s="30" t="s">
        <v>46</v>
      </c>
      <c r="H406" s="31"/>
      <c r="I406" s="31" t="s">
        <v>588</v>
      </c>
      <c r="J406" s="32" t="n">
        <v>1.0</v>
      </c>
      <c r="K406" s="33" t="n">
        <f>201500</f>
        <v>201500.0</v>
      </c>
      <c r="L406" s="34" t="s">
        <v>48</v>
      </c>
      <c r="M406" s="33" t="n">
        <f>202200</f>
        <v>202200.0</v>
      </c>
      <c r="N406" s="34" t="s">
        <v>48</v>
      </c>
      <c r="O406" s="33" t="n">
        <f>189000</f>
        <v>189000.0</v>
      </c>
      <c r="P406" s="34" t="s">
        <v>50</v>
      </c>
      <c r="Q406" s="33" t="n">
        <f>192200</f>
        <v>192200.0</v>
      </c>
      <c r="R406" s="34" t="s">
        <v>50</v>
      </c>
      <c r="S406" s="35" t="n">
        <f>196289.47</f>
        <v>196289.47</v>
      </c>
      <c r="T406" s="32" t="n">
        <f>19555</f>
        <v>19555.0</v>
      </c>
      <c r="U406" s="32" t="n">
        <f>3905</f>
        <v>3905.0</v>
      </c>
      <c r="V406" s="32" t="n">
        <f>3834555228</f>
        <v>3.834555228E9</v>
      </c>
      <c r="W406" s="32" t="n">
        <f>768906828</f>
        <v>7.68906828E8</v>
      </c>
      <c r="X406" s="36" t="n">
        <f>19</f>
        <v>19.0</v>
      </c>
    </row>
    <row r="407">
      <c r="A407" s="27" t="s">
        <v>42</v>
      </c>
      <c r="B407" s="27" t="s">
        <v>1273</v>
      </c>
      <c r="C407" s="27" t="s">
        <v>1274</v>
      </c>
      <c r="D407" s="27" t="s">
        <v>1275</v>
      </c>
      <c r="E407" s="28" t="s">
        <v>46</v>
      </c>
      <c r="F407" s="29" t="s">
        <v>46</v>
      </c>
      <c r="G407" s="30" t="s">
        <v>46</v>
      </c>
      <c r="H407" s="31"/>
      <c r="I407" s="31" t="s">
        <v>47</v>
      </c>
      <c r="J407" s="32" t="n">
        <v>1.0</v>
      </c>
      <c r="K407" s="33" t="n">
        <f>258700</f>
        <v>258700.0</v>
      </c>
      <c r="L407" s="34" t="s">
        <v>48</v>
      </c>
      <c r="M407" s="33" t="n">
        <f>262400</f>
        <v>262400.0</v>
      </c>
      <c r="N407" s="34" t="s">
        <v>61</v>
      </c>
      <c r="O407" s="33" t="n">
        <f>237300</f>
        <v>237300.0</v>
      </c>
      <c r="P407" s="34" t="s">
        <v>105</v>
      </c>
      <c r="Q407" s="33" t="n">
        <f>244400</f>
        <v>244400.0</v>
      </c>
      <c r="R407" s="34" t="s">
        <v>50</v>
      </c>
      <c r="S407" s="35" t="n">
        <f>248405.26</f>
        <v>248405.26</v>
      </c>
      <c r="T407" s="32" t="n">
        <f>629369</f>
        <v>629369.0</v>
      </c>
      <c r="U407" s="32" t="n">
        <f>182664</f>
        <v>182664.0</v>
      </c>
      <c r="V407" s="32" t="n">
        <f>154557422158</f>
        <v>1.54557422158E11</v>
      </c>
      <c r="W407" s="32" t="n">
        <f>44765681158</f>
        <v>4.4765681158E10</v>
      </c>
      <c r="X407" s="36" t="n">
        <f>19</f>
        <v>19.0</v>
      </c>
    </row>
    <row r="408">
      <c r="A408" s="27" t="s">
        <v>42</v>
      </c>
      <c r="B408" s="27" t="s">
        <v>1276</v>
      </c>
      <c r="C408" s="27" t="s">
        <v>1277</v>
      </c>
      <c r="D408" s="27" t="s">
        <v>1278</v>
      </c>
      <c r="E408" s="28" t="s">
        <v>46</v>
      </c>
      <c r="F408" s="29" t="s">
        <v>46</v>
      </c>
      <c r="G408" s="30" t="s">
        <v>46</v>
      </c>
      <c r="H408" s="31"/>
      <c r="I408" s="31" t="s">
        <v>47</v>
      </c>
      <c r="J408" s="32" t="n">
        <v>1.0</v>
      </c>
      <c r="K408" s="33" t="n">
        <f>75100</f>
        <v>75100.0</v>
      </c>
      <c r="L408" s="34" t="s">
        <v>48</v>
      </c>
      <c r="M408" s="33" t="n">
        <f>76500</f>
        <v>76500.0</v>
      </c>
      <c r="N408" s="34" t="s">
        <v>49</v>
      </c>
      <c r="O408" s="33" t="n">
        <f>71900</f>
        <v>71900.0</v>
      </c>
      <c r="P408" s="34" t="s">
        <v>92</v>
      </c>
      <c r="Q408" s="33" t="n">
        <f>72600</f>
        <v>72600.0</v>
      </c>
      <c r="R408" s="34" t="s">
        <v>50</v>
      </c>
      <c r="S408" s="35" t="n">
        <f>73631.58</f>
        <v>73631.58</v>
      </c>
      <c r="T408" s="32" t="n">
        <f>435000</f>
        <v>435000.0</v>
      </c>
      <c r="U408" s="32" t="n">
        <f>83693</f>
        <v>83693.0</v>
      </c>
      <c r="V408" s="32" t="n">
        <f>32123329484</f>
        <v>3.2123329484E10</v>
      </c>
      <c r="W408" s="32" t="n">
        <f>6175011384</f>
        <v>6.175011384E9</v>
      </c>
      <c r="X408" s="36" t="n">
        <f>19</f>
        <v>19.0</v>
      </c>
    </row>
    <row r="409">
      <c r="A409" s="27" t="s">
        <v>42</v>
      </c>
      <c r="B409" s="27" t="s">
        <v>1279</v>
      </c>
      <c r="C409" s="27" t="s">
        <v>1280</v>
      </c>
      <c r="D409" s="27" t="s">
        <v>1281</v>
      </c>
      <c r="E409" s="28" t="s">
        <v>46</v>
      </c>
      <c r="F409" s="29" t="s">
        <v>46</v>
      </c>
      <c r="G409" s="30" t="s">
        <v>46</v>
      </c>
      <c r="H409" s="31"/>
      <c r="I409" s="31" t="s">
        <v>47</v>
      </c>
      <c r="J409" s="32" t="n">
        <v>1.0</v>
      </c>
      <c r="K409" s="33" t="n">
        <f>105800</f>
        <v>105800.0</v>
      </c>
      <c r="L409" s="34" t="s">
        <v>48</v>
      </c>
      <c r="M409" s="33" t="n">
        <f>107500</f>
        <v>107500.0</v>
      </c>
      <c r="N409" s="34" t="s">
        <v>61</v>
      </c>
      <c r="O409" s="33" t="n">
        <f>99900</f>
        <v>99900.0</v>
      </c>
      <c r="P409" s="34" t="s">
        <v>109</v>
      </c>
      <c r="Q409" s="33" t="n">
        <f>100800</f>
        <v>100800.0</v>
      </c>
      <c r="R409" s="34" t="s">
        <v>50</v>
      </c>
      <c r="S409" s="35" t="n">
        <f>103336.84</f>
        <v>103336.84</v>
      </c>
      <c r="T409" s="32" t="n">
        <f>127409</f>
        <v>127409.0</v>
      </c>
      <c r="U409" s="32" t="n">
        <f>24104</f>
        <v>24104.0</v>
      </c>
      <c r="V409" s="32" t="n">
        <f>13163363580</f>
        <v>1.316336358E10</v>
      </c>
      <c r="W409" s="32" t="n">
        <f>2491146880</f>
        <v>2.49114688E9</v>
      </c>
      <c r="X409" s="36" t="n">
        <f>19</f>
        <v>19.0</v>
      </c>
    </row>
    <row r="410">
      <c r="A410" s="27" t="s">
        <v>42</v>
      </c>
      <c r="B410" s="27" t="s">
        <v>1282</v>
      </c>
      <c r="C410" s="27" t="s">
        <v>1283</v>
      </c>
      <c r="D410" s="27" t="s">
        <v>1284</v>
      </c>
      <c r="E410" s="28" t="s">
        <v>46</v>
      </c>
      <c r="F410" s="29" t="s">
        <v>46</v>
      </c>
      <c r="G410" s="30" t="s">
        <v>46</v>
      </c>
      <c r="H410" s="31"/>
      <c r="I410" s="31" t="s">
        <v>47</v>
      </c>
      <c r="J410" s="32" t="n">
        <v>1.0</v>
      </c>
      <c r="K410" s="33" t="n">
        <f>121000</f>
        <v>121000.0</v>
      </c>
      <c r="L410" s="34" t="s">
        <v>48</v>
      </c>
      <c r="M410" s="33" t="n">
        <f>123600</f>
        <v>123600.0</v>
      </c>
      <c r="N410" s="34" t="s">
        <v>61</v>
      </c>
      <c r="O410" s="33" t="n">
        <f>116400</f>
        <v>116400.0</v>
      </c>
      <c r="P410" s="34" t="s">
        <v>105</v>
      </c>
      <c r="Q410" s="33" t="n">
        <f>118100</f>
        <v>118100.0</v>
      </c>
      <c r="R410" s="34" t="s">
        <v>50</v>
      </c>
      <c r="S410" s="35" t="n">
        <f>119973.68</f>
        <v>119973.68</v>
      </c>
      <c r="T410" s="32" t="n">
        <f>108464</f>
        <v>108464.0</v>
      </c>
      <c r="U410" s="32" t="n">
        <f>26214</f>
        <v>26214.0</v>
      </c>
      <c r="V410" s="32" t="n">
        <f>13030818605</f>
        <v>1.3030818605E10</v>
      </c>
      <c r="W410" s="32" t="n">
        <f>3149801005</f>
        <v>3.149801005E9</v>
      </c>
      <c r="X410" s="36" t="n">
        <f>19</f>
        <v>19.0</v>
      </c>
    </row>
    <row r="411">
      <c r="A411" s="27" t="s">
        <v>42</v>
      </c>
      <c r="B411" s="27" t="s">
        <v>1285</v>
      </c>
      <c r="C411" s="27" t="s">
        <v>1286</v>
      </c>
      <c r="D411" s="27" t="s">
        <v>1287</v>
      </c>
      <c r="E411" s="28" t="s">
        <v>46</v>
      </c>
      <c r="F411" s="29" t="s">
        <v>46</v>
      </c>
      <c r="G411" s="30" t="s">
        <v>46</v>
      </c>
      <c r="H411" s="31"/>
      <c r="I411" s="31" t="s">
        <v>588</v>
      </c>
      <c r="J411" s="32" t="n">
        <v>1.0</v>
      </c>
      <c r="K411" s="33" t="n">
        <f>72700</f>
        <v>72700.0</v>
      </c>
      <c r="L411" s="34" t="s">
        <v>48</v>
      </c>
      <c r="M411" s="33" t="n">
        <f>73600</f>
        <v>73600.0</v>
      </c>
      <c r="N411" s="34" t="s">
        <v>214</v>
      </c>
      <c r="O411" s="33" t="n">
        <f>71900</f>
        <v>71900.0</v>
      </c>
      <c r="P411" s="34" t="s">
        <v>68</v>
      </c>
      <c r="Q411" s="33" t="n">
        <f>72700</f>
        <v>72700.0</v>
      </c>
      <c r="R411" s="34" t="s">
        <v>50</v>
      </c>
      <c r="S411" s="35" t="n">
        <f>72821.05</f>
        <v>72821.05</v>
      </c>
      <c r="T411" s="32" t="n">
        <f>1543</f>
        <v>1543.0</v>
      </c>
      <c r="U411" s="32" t="n">
        <f>6</f>
        <v>6.0</v>
      </c>
      <c r="V411" s="32" t="n">
        <f>112225000</f>
        <v>1.12225E8</v>
      </c>
      <c r="W411" s="32" t="n">
        <f>436000</f>
        <v>436000.0</v>
      </c>
      <c r="X411" s="36" t="n">
        <f>19</f>
        <v>19.0</v>
      </c>
    </row>
    <row r="412">
      <c r="A412" s="27" t="s">
        <v>42</v>
      </c>
      <c r="B412" s="27" t="s">
        <v>1288</v>
      </c>
      <c r="C412" s="27" t="s">
        <v>1289</v>
      </c>
      <c r="D412" s="27" t="s">
        <v>1290</v>
      </c>
      <c r="E412" s="28" t="s">
        <v>46</v>
      </c>
      <c r="F412" s="29" t="s">
        <v>46</v>
      </c>
      <c r="G412" s="30" t="s">
        <v>46</v>
      </c>
      <c r="H412" s="31"/>
      <c r="I412" s="31" t="s">
        <v>588</v>
      </c>
      <c r="J412" s="32" t="n">
        <v>1.0</v>
      </c>
      <c r="K412" s="33" t="n">
        <f>113500</f>
        <v>113500.0</v>
      </c>
      <c r="L412" s="34" t="s">
        <v>48</v>
      </c>
      <c r="M412" s="33" t="n">
        <f>113700</f>
        <v>113700.0</v>
      </c>
      <c r="N412" s="34" t="s">
        <v>61</v>
      </c>
      <c r="O412" s="33" t="n">
        <f>109800</f>
        <v>109800.0</v>
      </c>
      <c r="P412" s="34" t="s">
        <v>70</v>
      </c>
      <c r="Q412" s="33" t="n">
        <f>109900</f>
        <v>109900.0</v>
      </c>
      <c r="R412" s="34" t="s">
        <v>50</v>
      </c>
      <c r="S412" s="35" t="n">
        <f>111894.74</f>
        <v>111894.74</v>
      </c>
      <c r="T412" s="32" t="n">
        <f>20775</f>
        <v>20775.0</v>
      </c>
      <c r="U412" s="32" t="n">
        <f>662</f>
        <v>662.0</v>
      </c>
      <c r="V412" s="32" t="n">
        <f>2319563050</f>
        <v>2.31956305E9</v>
      </c>
      <c r="W412" s="32" t="n">
        <f>75177650</f>
        <v>7.517765E7</v>
      </c>
      <c r="X412" s="36" t="n">
        <f>19</f>
        <v>19.0</v>
      </c>
    </row>
    <row r="413">
      <c r="A413" s="27" t="s">
        <v>42</v>
      </c>
      <c r="B413" s="27" t="s">
        <v>1291</v>
      </c>
      <c r="C413" s="27" t="s">
        <v>1292</v>
      </c>
      <c r="D413" s="27" t="s">
        <v>1293</v>
      </c>
      <c r="E413" s="28" t="s">
        <v>46</v>
      </c>
      <c r="F413" s="29" t="s">
        <v>46</v>
      </c>
      <c r="G413" s="30" t="s">
        <v>46</v>
      </c>
      <c r="H413" s="31"/>
      <c r="I413" s="31" t="s">
        <v>588</v>
      </c>
      <c r="J413" s="32" t="n">
        <v>1.0</v>
      </c>
      <c r="K413" s="33" t="n">
        <f>87100</f>
        <v>87100.0</v>
      </c>
      <c r="L413" s="34" t="s">
        <v>48</v>
      </c>
      <c r="M413" s="33" t="n">
        <f>87300</f>
        <v>87300.0</v>
      </c>
      <c r="N413" s="34" t="s">
        <v>81</v>
      </c>
      <c r="O413" s="33" t="n">
        <f>85300</f>
        <v>85300.0</v>
      </c>
      <c r="P413" s="34" t="s">
        <v>49</v>
      </c>
      <c r="Q413" s="33" t="n">
        <f>85600</f>
        <v>85600.0</v>
      </c>
      <c r="R413" s="34" t="s">
        <v>50</v>
      </c>
      <c r="S413" s="35" t="n">
        <f>86194.74</f>
        <v>86194.74</v>
      </c>
      <c r="T413" s="32" t="n">
        <f>6166</f>
        <v>6166.0</v>
      </c>
      <c r="U413" s="32" t="n">
        <f>44</f>
        <v>44.0</v>
      </c>
      <c r="V413" s="32" t="n">
        <f>530793900</f>
        <v>5.307939E8</v>
      </c>
      <c r="W413" s="32" t="n">
        <f>3773900</f>
        <v>3773900.0</v>
      </c>
      <c r="X413" s="36" t="n">
        <f>19</f>
        <v>19.0</v>
      </c>
    </row>
    <row r="414">
      <c r="A414" s="27" t="s">
        <v>42</v>
      </c>
      <c r="B414" s="27" t="s">
        <v>1294</v>
      </c>
      <c r="C414" s="27" t="s">
        <v>1295</v>
      </c>
      <c r="D414" s="27" t="s">
        <v>1296</v>
      </c>
      <c r="E414" s="28" t="s">
        <v>46</v>
      </c>
      <c r="F414" s="29" t="s">
        <v>46</v>
      </c>
      <c r="G414" s="30" t="s">
        <v>46</v>
      </c>
      <c r="H414" s="31"/>
      <c r="I414" s="31" t="s">
        <v>47</v>
      </c>
      <c r="J414" s="32" t="n">
        <v>1.0</v>
      </c>
      <c r="K414" s="33" t="n">
        <f>86200</f>
        <v>86200.0</v>
      </c>
      <c r="L414" s="34" t="s">
        <v>48</v>
      </c>
      <c r="M414" s="33" t="n">
        <f>86200</f>
        <v>86200.0</v>
      </c>
      <c r="N414" s="34" t="s">
        <v>48</v>
      </c>
      <c r="O414" s="33" t="n">
        <f>83800</f>
        <v>83800.0</v>
      </c>
      <c r="P414" s="34" t="s">
        <v>105</v>
      </c>
      <c r="Q414" s="33" t="n">
        <f>84200</f>
        <v>84200.0</v>
      </c>
      <c r="R414" s="34" t="s">
        <v>50</v>
      </c>
      <c r="S414" s="35" t="n">
        <f>85000</f>
        <v>85000.0</v>
      </c>
      <c r="T414" s="32" t="n">
        <f>23584</f>
        <v>23584.0</v>
      </c>
      <c r="U414" s="32" t="n">
        <f>638</f>
        <v>638.0</v>
      </c>
      <c r="V414" s="32" t="n">
        <f>2000111315</f>
        <v>2.000111315E9</v>
      </c>
      <c r="W414" s="32" t="n">
        <f>54274615</f>
        <v>5.4274615E7</v>
      </c>
      <c r="X414" s="36" t="n">
        <f>19</f>
        <v>19.0</v>
      </c>
    </row>
    <row r="415">
      <c r="A415" s="27" t="s">
        <v>42</v>
      </c>
      <c r="B415" s="27" t="s">
        <v>1297</v>
      </c>
      <c r="C415" s="27" t="s">
        <v>1298</v>
      </c>
      <c r="D415" s="27" t="s">
        <v>1299</v>
      </c>
      <c r="E415" s="28" t="s">
        <v>46</v>
      </c>
      <c r="F415" s="29" t="s">
        <v>46</v>
      </c>
      <c r="G415" s="30" t="s">
        <v>46</v>
      </c>
      <c r="H415" s="31"/>
      <c r="I415" s="31" t="s">
        <v>588</v>
      </c>
      <c r="J415" s="32" t="n">
        <v>1.0</v>
      </c>
      <c r="K415" s="33" t="n">
        <f>85800</f>
        <v>85800.0</v>
      </c>
      <c r="L415" s="34" t="s">
        <v>48</v>
      </c>
      <c r="M415" s="33" t="n">
        <f>86100</f>
        <v>86100.0</v>
      </c>
      <c r="N415" s="34" t="s">
        <v>236</v>
      </c>
      <c r="O415" s="33" t="n">
        <f>84100</f>
        <v>84100.0</v>
      </c>
      <c r="P415" s="34" t="s">
        <v>105</v>
      </c>
      <c r="Q415" s="33" t="n">
        <f>84600</f>
        <v>84600.0</v>
      </c>
      <c r="R415" s="34" t="s">
        <v>50</v>
      </c>
      <c r="S415" s="35" t="n">
        <f>85126.32</f>
        <v>85126.32</v>
      </c>
      <c r="T415" s="32" t="n">
        <f>14689</f>
        <v>14689.0</v>
      </c>
      <c r="U415" s="32" t="n">
        <f>838</f>
        <v>838.0</v>
      </c>
      <c r="V415" s="32" t="n">
        <f>1249992490</f>
        <v>1.24999249E9</v>
      </c>
      <c r="W415" s="32" t="n">
        <f>72487190</f>
        <v>7.248719E7</v>
      </c>
      <c r="X415" s="36" t="n">
        <f>19</f>
        <v>19.0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