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<sst xmlns="http://schemas.openxmlformats.org/spreadsheetml/2006/main" count="4962" uniqueCount="1298">
  <si>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</si>
  <si>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</si>
  <si>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</si>
  <si>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</si>
  <si>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</si>
  <si>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</si>
  <si>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</si>
  <si>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</si>
  <si>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</si>
  <si>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</si>
  <si>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</si>
  <si>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</si>
  <si>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</si>
  <si>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</si>
  <si>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</si>
  <si>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</si>
  <si>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</si>
  <si>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</si>
  <si>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</si>
  <si>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</si>
  <si>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</si>
  <si>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</si>
  <si>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</si>
  <si>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</si>
  <si>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</si>
  <si>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</si>
  <si>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</si>
  <si>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</si>
  <si>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</si>
  <si>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</si>
  <si>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</si>
  <si>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</si>
  <si>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</si>
  <si>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</si>
  <si>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</si>
  <si>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</si>
  <si>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</si>
  <si>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</si>
  <si>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</si>
  <si>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</si>
  <si>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</si>
  <si>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</si>
  <si>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2024/01</t>
  </si>
  <si>
    <t>1305</t>
  </si>
  <si>
    <t>ｉＦｒｅｅＥＴＦ　ＴＯＰＩＸ（年１回決算型）　受益証券</t>
  </si>
  <si>
    <t>iFreeETF TOPIX (Yearly Dividend Type)</t>
  </si>
  <si>
    <t/>
  </si>
  <si>
    <t>貸借</t>
  </si>
  <si>
    <t>4</t>
  </si>
  <si>
    <t>23</t>
  </si>
  <si>
    <t>31</t>
  </si>
  <si>
    <t>1306</t>
  </si>
  <si>
    <t>ＮＥＸＴ　ＦＵＮＤＳ　ＴＯＰＩＸ連動型上場投信　受益証券</t>
  </si>
  <si>
    <t>NEXT FUNDS 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</si>
  <si>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</si>
  <si>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</si>
  <si>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</si>
  <si>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</si>
  <si>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</si>
  <si>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</si>
  <si>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26</t>
  </si>
  <si>
    <t>18</t>
  </si>
  <si>
    <t>1311</t>
  </si>
  <si>
    <t>ＮＥＸＴ　ＦＵＮＤＳ　ＴＯＰＩＸ　Ｃｏｒｅ　３０連動型上場投信　受益証券</t>
  </si>
  <si>
    <t>NEXT FUNDS TOPIX Core 30 Exchange Traded Fund</t>
  </si>
  <si>
    <t>1319</t>
  </si>
  <si>
    <t>ＮＥＸＴ　ＦＵＮＤＳ　日経３００株価指数連動型上場投信　受益証券</t>
  </si>
  <si>
    <t>NEXT FUNDS Nikkei 300 Index Exchange Traded Fund</t>
  </si>
  <si>
    <t>1320</t>
  </si>
  <si>
    <t>ｉＦｒｅｅＥＴＦ　日経２２５（年１回決算型）　受益証券</t>
  </si>
  <si>
    <t>iFreeETF Nikkei225 (Yearly Dividend Type)</t>
  </si>
  <si>
    <t>1321</t>
  </si>
  <si>
    <t>ＮＥＸＴ　ＦＵＮＤＳ　日経２２５連動型上場投信　受益証券</t>
  </si>
  <si>
    <t>NEXT FUNDS 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</si>
  <si>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</si>
  <si>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</si>
  <si>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</si>
  <si>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16</t>
  </si>
  <si>
    <t>1324</t>
  </si>
  <si>
    <t>ＮＥＸＴ　ＦＵＮＤＳ　ロシア株式指数連動型上場投信　受益証券</t>
  </si>
  <si>
    <t>NEXT FUNDS Russian Equity Index Exchange Traded Fund</t>
  </si>
  <si>
    <t>1325</t>
  </si>
  <si>
    <t>ＮＥＸＴ　ＦＵＮＤＳ　ブラジル株式指数・ボベスパ連動型上場投信　受益証券</t>
  </si>
  <si>
    <t>NEXT FUNDS Ibovespa Linked Exchange Traded Fund</t>
  </si>
  <si>
    <t>1326</t>
  </si>
  <si>
    <t>ＳＰＤＲゴールド・シェア　受益証券</t>
  </si>
  <si>
    <t>SPDR Gold Shares</t>
  </si>
  <si>
    <t>24</t>
  </si>
  <si>
    <t>9</t>
  </si>
  <si>
    <t>1328</t>
  </si>
  <si>
    <t>ＮＥＸＴ　ＦＵＮＤＳ　金価格連動型上場投信　受益証券</t>
  </si>
  <si>
    <t>NEXT FUNDS Gold Price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</si>
  <si>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</si>
  <si>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</si>
  <si>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</si>
  <si>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</si>
  <si>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</si>
  <si>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</si>
  <si>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133A</t>
  </si>
  <si>
    <t>グローバルＸ　超短期米国債　ＥＴＦ　受益証券</t>
  </si>
  <si>
    <t>Global X Ultra Short-Term T-Bill ETF</t>
  </si>
  <si>
    <t xml:space="preserve">新規上場  </t>
  </si>
  <si>
    <t xml:space="preserve">New Listing  </t>
  </si>
  <si>
    <t xml:space="preserve">2024/01/31  </t>
  </si>
  <si>
    <t>1343</t>
  </si>
  <si>
    <t>ＮＥＸＴ　ＦＵＮＤＳ　東証ＲＥＩＴ　指数連動型上場投信　受益証券</t>
  </si>
  <si>
    <t>NEXT FUNDS REIT INDEX ETF</t>
  </si>
  <si>
    <t>1345</t>
  </si>
  <si>
    <t>上場インデックスファンドＪリート（東証ＲＥＩＴ指数）隔月分配型　受益証券</t>
  </si>
  <si>
    <t>Listed Index Fund J-REIT (Tokyo Stock Exchange REIT Index)Bi-Monthly Dividend Payment Type</t>
  </si>
  <si>
    <t>1346</t>
  </si>
  <si>
    <t>ＭＡＸＩＳ　日経２２５上場投信　受益証券</t>
  </si>
  <si>
    <t>MAXIS NIKKEI 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</si>
  <si>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</si>
  <si>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</si>
  <si>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</si>
  <si>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</si>
  <si>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</si>
  <si>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</si>
  <si>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</si>
  <si>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</si>
  <si>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</si>
  <si>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</si>
  <si>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</si>
  <si>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Exchange Traded Fund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</si>
  <si>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</si>
  <si>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</si>
  <si>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</si>
  <si>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</si>
  <si>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</si>
  <si>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</si>
  <si>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</si>
  <si>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</si>
  <si>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</si>
  <si>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</si>
  <si>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ｉＦｒｅｅＥＴＦ　日経平均レバレッジ・インデックス　受益証券</t>
  </si>
  <si>
    <t>iFreeETF Nikkei225 Leveraged Index</t>
  </si>
  <si>
    <t>1366</t>
  </si>
  <si>
    <t>ｉＦｒｅｅＥＴＦ　日経平均ダブルインバース・インデックス　受益証券</t>
  </si>
  <si>
    <t>iFreeETF Nikkei225 Double Inverse Index</t>
  </si>
  <si>
    <t>1367</t>
  </si>
  <si>
    <t>ｉＦｒｅｅＥＴＦ　ＴＯＰＩＸレバレッジ（２倍）指数　受益証券</t>
  </si>
  <si>
    <t>iFreeETF TOPIX Leveraged (2x) Index</t>
  </si>
  <si>
    <t>1368</t>
  </si>
  <si>
    <t>ｉＦｒｅｅＥＴＦ　ＴＯＰＩＸダブルインバース（－２倍）指数　受益証券</t>
  </si>
  <si>
    <t>iFreeETF TOPIX Double Inverse (-2x) Index</t>
  </si>
  <si>
    <t>1369</t>
  </si>
  <si>
    <t>Ｏｎｅ　ＥＴＦ　日経２２５　受益証券</t>
  </si>
  <si>
    <t>One ETF Nikkei225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</si>
  <si>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</si>
  <si>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</si>
  <si>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</si>
  <si>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</si>
  <si>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</si>
  <si>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</si>
  <si>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</si>
  <si>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</si>
  <si>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</si>
  <si>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10</t>
  </si>
  <si>
    <t>25</t>
  </si>
  <si>
    <t>1456</t>
  </si>
  <si>
    <t>ｉＦｒｅｅＥＴＦ　日経平均インバース・インデックス　受益証券</t>
  </si>
  <si>
    <t>iFreeETF Nikkei225 Inverse Index</t>
  </si>
  <si>
    <t>1457</t>
  </si>
  <si>
    <t>ｉＦｒｅｅＥＴＦ　ＴＯＰＩＸインバース（－１倍）指数　受益証券</t>
  </si>
  <si>
    <t>iFreeETF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</si>
  <si>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</si>
  <si>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</si>
  <si>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</si>
  <si>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</si>
  <si>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</si>
  <si>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</si>
  <si>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1464</t>
  </si>
  <si>
    <t>ｉＦｒｅｅＥＴＦ　ＪＰＸ日経４００レバレッジ・インデックス　受益証券</t>
  </si>
  <si>
    <t>iFreeETF JPX-Nikkei400 Leveraged (2x) Index</t>
  </si>
  <si>
    <t>1465</t>
  </si>
  <si>
    <t>ｉＦｒｅｅＥＴＦ　ＪＰＸ日経４００インバース・インデックス　受益証券</t>
  </si>
  <si>
    <t>iFreeETF JPX-Nikkei400 Inverse (-1x) Index</t>
  </si>
  <si>
    <t>1466</t>
  </si>
  <si>
    <t>ｉＦｒｅｅＥＴＦ　ＪＰＸ日経４００ダブルインバース・インデックス　受益証券</t>
  </si>
  <si>
    <t>iFreeETF JPX-Nikkei400 Double Inverse (-2x) Index</t>
  </si>
  <si>
    <t>1469</t>
  </si>
  <si>
    <t>ＪＰＸ日経４００ベア２倍上場投信（ダブルインバース）　受益証券</t>
  </si>
  <si>
    <t>JPX-Nikkei 400 Bear -2x Double Inverse ETF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</si>
  <si>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</si>
  <si>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</si>
  <si>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</si>
  <si>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</si>
  <si>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</si>
  <si>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</si>
  <si>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</si>
  <si>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</si>
  <si>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</si>
  <si>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</si>
  <si>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</si>
  <si>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</si>
  <si>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</si>
  <si>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</si>
  <si>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</si>
  <si>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</si>
  <si>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</si>
  <si>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</si>
  <si>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</si>
  <si>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</si>
  <si>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</si>
  <si>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</si>
  <si>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ｉＦｒｅｅＥＴＦ　ＭＳＣＩ日本株人材設備投資指数　受益証券</t>
  </si>
  <si>
    <t>iFreeETF MSCI Japan Human and Physical Investment Index</t>
  </si>
  <si>
    <t>5</t>
  </si>
  <si>
    <t>19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</si>
  <si>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</si>
  <si>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</si>
  <si>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</si>
  <si>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22</t>
  </si>
  <si>
    <t>30</t>
  </si>
  <si>
    <t>1481</t>
  </si>
  <si>
    <t>上場インデックスファンド日本経済貢献株　受益証券</t>
  </si>
  <si>
    <t>Listed Index Fund Japanese Economy Contributor Stocks</t>
  </si>
  <si>
    <t>15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</si>
  <si>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</si>
  <si>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</si>
  <si>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</si>
  <si>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</si>
  <si>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</si>
  <si>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</si>
  <si>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</si>
  <si>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</si>
  <si>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</si>
  <si>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</si>
  <si>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</si>
  <si>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</si>
  <si>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</si>
  <si>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</si>
  <si>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</si>
  <si>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</si>
  <si>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</si>
  <si>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</si>
  <si>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</si>
  <si>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ｉＦｒｅｅＥＴＦ　東証ＲＥＩＴ指数　受益証券</t>
  </si>
  <si>
    <t>iFreeETF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</si>
  <si>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</si>
  <si>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</si>
  <si>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</si>
  <si>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 xml:space="preserve">新株落ち  </t>
  </si>
  <si>
    <t xml:space="preserve">ex-subscription right  </t>
  </si>
  <si>
    <t>17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</si>
  <si>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</si>
  <si>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</si>
  <si>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</si>
  <si>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</si>
  <si>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</si>
  <si>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</si>
  <si>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確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</si>
  <si>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</si>
  <si>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</si>
  <si>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</si>
  <si>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</si>
  <si>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</si>
  <si>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</si>
  <si>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</si>
  <si>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</si>
  <si>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</si>
  <si>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</si>
  <si>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</si>
  <si>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</si>
  <si>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</si>
  <si>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</si>
  <si>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</si>
  <si>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</si>
  <si>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</si>
  <si>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</si>
  <si>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</si>
  <si>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</si>
  <si>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</si>
  <si>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12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</si>
  <si>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</si>
  <si>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</si>
  <si>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</si>
  <si>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</si>
  <si>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</si>
  <si>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</si>
  <si>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</si>
  <si>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</si>
  <si>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</si>
  <si>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</si>
  <si>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</si>
  <si>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</si>
  <si>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11</t>
  </si>
  <si>
    <t>1545</t>
  </si>
  <si>
    <t>ＮＥＸＴ　ＦＵＮＤＳ　ＮＡＳＤＡＱ－１００（為替ヘッジなし）連動型上場投信　受益証券</t>
  </si>
  <si>
    <t>NEXT FUNDS NASDAQ-100(R) (Unhedged) Exchange Traded Fund</t>
  </si>
  <si>
    <t>1546</t>
  </si>
  <si>
    <t>ＮＥＸＴ　ＦＵＮＤＳ　ダウ・ジョーンズ工業株３０種平均株価（為替ヘッジなし）連動型上場投信　受益証券</t>
  </si>
  <si>
    <t>NEXT FUNDS DJIA (Unhedged)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</si>
  <si>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</si>
  <si>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</si>
  <si>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</si>
  <si>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</si>
  <si>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</si>
  <si>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</si>
  <si>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</si>
  <si>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東証スタンダードＴＯＰ２０ＥＴＦ　受益証券</t>
  </si>
  <si>
    <t>TSE Standard Top 20 ETF</t>
  </si>
  <si>
    <t>1552</t>
  </si>
  <si>
    <t>国際のＥＴＦ　ＶＩＸ短期先物指数　受益証券</t>
  </si>
  <si>
    <t>KOKUSAI S&amp;P500 VIX SHORT-TERM FUTURES INDEX ETF</t>
  </si>
  <si>
    <t>整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</si>
  <si>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</si>
  <si>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</si>
  <si>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</si>
  <si>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</si>
  <si>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Ａ－ＲＥＩＴ）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</si>
  <si>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</si>
  <si>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</si>
  <si>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</si>
  <si>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</si>
  <si>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</si>
  <si>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</si>
  <si>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</si>
  <si>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</si>
  <si>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</si>
  <si>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</si>
  <si>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</si>
  <si>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東証グロース・コアＥＴＦ　受益証券</t>
  </si>
  <si>
    <t>TSE Growth Core ETF</t>
  </si>
  <si>
    <t>1566</t>
  </si>
  <si>
    <t>上場インデックスファンド新興国債券　受益証券</t>
  </si>
  <si>
    <t>Listed Index Fund Emerging Bond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</si>
  <si>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</si>
  <si>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</si>
  <si>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</si>
  <si>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</si>
  <si>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</si>
  <si>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</si>
  <si>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</si>
  <si>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</si>
  <si>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</si>
  <si>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</si>
  <si>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</si>
  <si>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</si>
  <si>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</si>
  <si>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</si>
  <si>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</si>
  <si>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</si>
  <si>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</si>
  <si>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</si>
  <si>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1577</t>
  </si>
  <si>
    <t>ＮＥＸＴ　ＦＵＮＤＳ　野村日本株高配当７０連動型上場投信　受益証券</t>
  </si>
  <si>
    <t>NEXT FUNDS Nomura Japan Equity High Dividend 70 Exchange Traded Fund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</si>
  <si>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</si>
  <si>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</si>
  <si>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</si>
  <si>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</si>
  <si>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</si>
  <si>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</si>
  <si>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</si>
  <si>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</si>
  <si>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</si>
  <si>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1585</t>
  </si>
  <si>
    <t>ｉＦｒｅｅＥＴＦ　ＴＯＰＩＸ　Ｅｘ－Ｆｉｎａｎｃｉａｌｓ　受益証券</t>
  </si>
  <si>
    <t>iFreeETF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</si>
  <si>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</si>
  <si>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</si>
  <si>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</si>
  <si>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29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</si>
  <si>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</si>
  <si>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</si>
  <si>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</si>
  <si>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</si>
  <si>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</si>
  <si>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</si>
  <si>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</si>
  <si>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</si>
  <si>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</si>
  <si>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</si>
  <si>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</si>
  <si>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</si>
  <si>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</si>
  <si>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</si>
  <si>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</si>
  <si>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</si>
  <si>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</si>
  <si>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</si>
  <si>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1599</t>
  </si>
  <si>
    <t>ｉＦｒｅｅＥＴＦ　ＪＰＸ日経４００　受益証券</t>
  </si>
  <si>
    <t>iFreeETF JPX-Nikkei400</t>
  </si>
  <si>
    <t>1615</t>
  </si>
  <si>
    <t>ＮＥＸＴ　ＦＵＮＤＳ　東証銀行業株価指数連動型上場投信　受益証券</t>
  </si>
  <si>
    <t>NEXT FUNDS 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</si>
  <si>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</si>
  <si>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</si>
  <si>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</si>
  <si>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</si>
  <si>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</si>
  <si>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</si>
  <si>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</si>
  <si>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</si>
  <si>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</si>
  <si>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</si>
  <si>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</si>
  <si>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</si>
  <si>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</si>
  <si>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</si>
  <si>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</si>
  <si>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</si>
  <si>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</si>
  <si>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</si>
  <si>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</si>
  <si>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</si>
  <si>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</si>
  <si>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</si>
  <si>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</si>
  <si>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</si>
  <si>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</si>
  <si>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</si>
  <si>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</si>
  <si>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</si>
  <si>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</si>
  <si>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</si>
  <si>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</si>
  <si>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</si>
  <si>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</si>
  <si>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</si>
  <si>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</si>
  <si>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</si>
  <si>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</si>
  <si>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</si>
  <si>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</si>
  <si>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</si>
  <si>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</si>
  <si>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</si>
  <si>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</si>
  <si>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</si>
  <si>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</si>
  <si>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</si>
  <si>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</si>
  <si>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</si>
  <si>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</si>
  <si>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</si>
  <si>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</si>
  <si>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</si>
  <si>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ｉＦｒｅｅＥＴＦ　ＴＯＰＩＸ高配当４０指数　受益証券</t>
  </si>
  <si>
    <t>iFreeETF TOPIX High Dividend Yield 40 Index</t>
  </si>
  <si>
    <t>1652</t>
  </si>
  <si>
    <t>ｉＦｒｅｅＥＴＦ　ＭＳＣＩ日本株女性活躍指数（ＷＩＮ）　受益証券</t>
  </si>
  <si>
    <t>iFreeETF MSCI Japan Empowering Women Index (WIN)</t>
  </si>
  <si>
    <t>1653</t>
  </si>
  <si>
    <t>ｉＦｒｅｅＥＴＦ　ＭＳＣＩジャパンＥＳＧセレクト・リーダーズ指数　受益証券</t>
  </si>
  <si>
    <t>iFreeETF MSCI Japan ESG Select Leaders Index</t>
  </si>
  <si>
    <t>1654</t>
  </si>
  <si>
    <t>ｉＦｒｅｅＥＴＦ　ＦＴＳＥ　Ｂｌｏｓｓｏｍ　Ｊａｐａｎ　Ｉｎｄｅｘ　受益証券</t>
  </si>
  <si>
    <t>iFreeETF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</si>
  <si>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</si>
  <si>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</si>
  <si>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</si>
  <si>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</si>
  <si>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</si>
  <si>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</si>
  <si>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</si>
  <si>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</si>
  <si>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</si>
  <si>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</si>
  <si>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</si>
  <si>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</si>
  <si>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</si>
  <si>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</si>
  <si>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</si>
  <si>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</si>
  <si>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</si>
  <si>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</si>
  <si>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</si>
  <si>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</si>
  <si>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</si>
  <si>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</si>
  <si>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</si>
  <si>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</si>
  <si>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</si>
  <si>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</si>
  <si>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</si>
  <si>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</si>
  <si>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</si>
  <si>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</si>
  <si>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</si>
  <si>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</si>
  <si>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</si>
  <si>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</si>
  <si>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</si>
  <si>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</si>
  <si>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</si>
  <si>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</si>
  <si>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</si>
  <si>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</si>
  <si>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　連動型上場投信　受益証券</t>
  </si>
  <si>
    <t>NEXT FUNDS Nifty 50 Linked Exchange Traded Fund</t>
  </si>
  <si>
    <t>1679</t>
  </si>
  <si>
    <t>Ｓｉｍｐｌｅ－Ｘ　ＮＹ　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</si>
  <si>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</si>
  <si>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</si>
  <si>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</si>
  <si>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 (MSCI-KOKUSAI)</t>
  </si>
  <si>
    <t>1681</t>
  </si>
  <si>
    <t>上場インデックスファンド海外新興国株式（ＭＳＣＩ　エマージング）　受益証券</t>
  </si>
  <si>
    <t>Listed Index Fund International Emerging Countries Equity (MSCI EMERGING)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</si>
  <si>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</si>
  <si>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</si>
  <si>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</si>
  <si>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</si>
  <si>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</si>
  <si>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</si>
  <si>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</si>
  <si>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</si>
  <si>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</si>
  <si>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</si>
  <si>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</si>
  <si>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</si>
  <si>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</si>
  <si>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</si>
  <si>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</si>
  <si>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</si>
  <si>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</si>
  <si>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</si>
  <si>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</si>
  <si>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</si>
  <si>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</si>
  <si>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</si>
  <si>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</si>
  <si>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</si>
  <si>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</si>
  <si>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</si>
  <si>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</si>
  <si>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</si>
  <si>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</si>
  <si>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</si>
  <si>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</si>
  <si>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</si>
  <si>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</si>
  <si>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</si>
  <si>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</si>
  <si>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</si>
  <si>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</si>
  <si>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</si>
  <si>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</si>
  <si>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</si>
  <si>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</si>
  <si>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</si>
  <si>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</si>
  <si>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</si>
  <si>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</si>
  <si>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</si>
  <si>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</si>
  <si>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 (TSE Dividend Focus 100)</t>
  </si>
  <si>
    <t>1699</t>
  </si>
  <si>
    <t>ＮＥＸＴ　ＦＵＮＤＳ　ＮＯＭＵＲＡ　原油インデックス連動型上場投信　受益証券</t>
  </si>
  <si>
    <t>NEXT FUNDS NOMURA Crude Oil Long Index Linked Exchange Traded Fund</t>
  </si>
  <si>
    <t>2011</t>
  </si>
  <si>
    <t>ＳＭＤＡＭ　Ａｃｔｉｖｅ　ＥＴＦ　日本高配当株式　受益証券</t>
  </si>
  <si>
    <t>SMDAM Active ETF Japan High Dividend Equity</t>
  </si>
  <si>
    <t>2012</t>
  </si>
  <si>
    <t>ｉシェアーズ　米国債０－３ヶ月　ＥＴＦ　受益証券</t>
  </si>
  <si>
    <t>iShares 0-3 Month US Treasury Bond ETF</t>
  </si>
  <si>
    <t xml:space="preserve">2024/01/18  </t>
  </si>
  <si>
    <t>2013</t>
  </si>
  <si>
    <t>ｉシェアーズ　米国高配当株　ＥＴＦ　受益証券</t>
  </si>
  <si>
    <t>iShares US High Dividend ETF</t>
  </si>
  <si>
    <t>2014</t>
  </si>
  <si>
    <t>ｉシェアーズ　米国連続増配株　ＥＴＦ　受益証券</t>
  </si>
  <si>
    <t>iShares US Dividend Growth ETF</t>
  </si>
  <si>
    <t>2015</t>
  </si>
  <si>
    <t>ｉＦｒｅｅＥＴＦ　米国国債７－１０年（為替ヘッジなし）　受益証券</t>
  </si>
  <si>
    <t>iFreeETF US Treasury Bond 7-10 Year (NON HEDGED)</t>
  </si>
  <si>
    <t>2016</t>
  </si>
  <si>
    <t>ｉＦｒｅｅＥＴＦ　米国国債７－１０年（為替ヘッジあり）　受益証券</t>
  </si>
  <si>
    <t>iFreeETF US Treasury Bond 7-10 Year (JPY HEDGED)</t>
  </si>
  <si>
    <t>2017</t>
  </si>
  <si>
    <t>ｉＦｒｅｅＥＴＦ　ＪＰＸプライム１５０　受益証券</t>
  </si>
  <si>
    <t>iFreeETF JPX Prime 150</t>
  </si>
  <si>
    <t xml:space="preserve">2024/01/24  </t>
  </si>
  <si>
    <t>2018</t>
  </si>
  <si>
    <t>グローバルＸ　ＵＳ　ＲＥＩＴ・トップ２０　ＥＴＦ　受益証券</t>
  </si>
  <si>
    <t>Global X US REIT Top 20 ETF</t>
  </si>
  <si>
    <t>2019</t>
  </si>
  <si>
    <t>グローバルＸ　米国優先証券　ＥＴＦ（隔月分配型）　受益証券</t>
  </si>
  <si>
    <t>Global X U.S. Preferred Security ETF (Bi-monthly dividend type)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</si>
  <si>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</si>
  <si>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</si>
  <si>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</si>
  <si>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</si>
  <si>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</si>
  <si>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</si>
  <si>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</si>
  <si>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</si>
  <si>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</si>
  <si>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</si>
  <si>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</si>
  <si>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</si>
  <si>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</si>
  <si>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</si>
  <si>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</si>
  <si>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</si>
  <si>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</si>
  <si>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</si>
  <si>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</si>
  <si>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</si>
  <si>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</si>
  <si>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</si>
  <si>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</si>
  <si>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</si>
  <si>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</si>
  <si>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</si>
  <si>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</si>
  <si>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</si>
  <si>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</si>
  <si>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</si>
  <si>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</si>
  <si>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</si>
  <si>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東証グロース市場２５０　ＥＴＮ　受益証券</t>
  </si>
  <si>
    <t>NEXT NOTES Tokyo Stock Exchange Growth Market 250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</si>
  <si>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</si>
  <si>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</si>
  <si>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</si>
  <si>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</si>
  <si>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</si>
  <si>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</si>
  <si>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</si>
  <si>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</si>
  <si>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</si>
  <si>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</si>
  <si>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</si>
  <si>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</si>
  <si>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</si>
  <si>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</si>
  <si>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</si>
  <si>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</si>
  <si>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</si>
  <si>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</si>
  <si>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</si>
  <si>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</si>
  <si>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</si>
  <si>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</si>
  <si>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</si>
  <si>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</si>
  <si>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</si>
  <si>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</si>
  <si>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</si>
  <si>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</si>
  <si>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</si>
  <si>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</si>
  <si>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</si>
  <si>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</si>
  <si>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</si>
  <si>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</si>
  <si>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</si>
  <si>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</si>
  <si>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2070</t>
  </si>
  <si>
    <t>スマートＥＳＧ３０女性活躍（ネットリターン）ＥＴＮ　受益証券</t>
  </si>
  <si>
    <t>Smart ESG 30 Empowering Women Net Return ETN</t>
  </si>
  <si>
    <t>2071</t>
  </si>
  <si>
    <t>スマートＥＳＧ３０総合（ネットリターン）ＥＴＮ　受益証券</t>
  </si>
  <si>
    <t>Smart ESG 30 Net Return ETN</t>
  </si>
  <si>
    <t>2072</t>
  </si>
  <si>
    <t>トップシェアインデックス（ネットリターン）ＥＴＮ　受益証券</t>
  </si>
  <si>
    <t>Market Share Leaders Net Return ETN</t>
  </si>
  <si>
    <t>2073</t>
  </si>
  <si>
    <t>スマートＥＳＧ３０低カーボンリスク（ネットリターン）ＥＴＮ　受益証券</t>
  </si>
  <si>
    <t>Smart ESG 30 Low Carbon Risk Net Return ETN</t>
  </si>
  <si>
    <t>2080</t>
  </si>
  <si>
    <t>ＰＢＲ１倍割れ解消推進ＥＴＦ　受益証券</t>
  </si>
  <si>
    <t>PBR Improvement over 1x ETF</t>
  </si>
  <si>
    <t>2081</t>
  </si>
  <si>
    <t>政策保有解消推進ＥＴＦ　受益証券</t>
  </si>
  <si>
    <t>Strategic Shareholding Disposal Promotion ETF</t>
  </si>
  <si>
    <t>2082</t>
  </si>
  <si>
    <t>投資家経営者一心同体ＥＴＦ　受益証券</t>
  </si>
  <si>
    <t>Investor-Management Unite as One ETF</t>
  </si>
  <si>
    <t>2083</t>
  </si>
  <si>
    <t>ＮＥＸＴ　ＦＵＮＤＳ　日本成長株アクティブ上場投信　受益証券</t>
  </si>
  <si>
    <t>NEXT FUNDS Japan Growth Equity Active Exchange Traded Fund</t>
  </si>
  <si>
    <t>2084</t>
  </si>
  <si>
    <t>ＮＥＸＴ　ＦＵＮＤＳ　日本高配当株アクティブ上場投信　受益証券</t>
  </si>
  <si>
    <t>NEXT FUNDS Japan High Dividend Equity Active Exchange Traded Fund</t>
  </si>
  <si>
    <t>2085</t>
  </si>
  <si>
    <t>ＭＡＸＩＳ高配当日本株アクティブ上場投信　受益証券</t>
  </si>
  <si>
    <t>MAXIS High Dividend Japan Equity Actively Managed ETF</t>
  </si>
  <si>
    <t>2086</t>
  </si>
  <si>
    <t>ＮＺＡＭ　上場投信　Ｓ＆Ｐ５００（為替ヘッジあり）　受益証券</t>
  </si>
  <si>
    <t>NZAM ETF S&amp;P500 (JPY Hedged)</t>
  </si>
  <si>
    <t>2087</t>
  </si>
  <si>
    <t>ＮＺＡＭ　上場投信　ＮＡＳＤＡＱ１００（為替ヘッジあり）　受益証券</t>
  </si>
  <si>
    <t>NZAM ETF NASDAQ100 (JPY Hedged)</t>
  </si>
  <si>
    <t>2088</t>
  </si>
  <si>
    <t>ＮＺＡＭ　上場投信　ＮＹダウ３０（為替ヘッジあり）　受益証券</t>
  </si>
  <si>
    <t>NZAM ETF NY Dow30 (JPY Hedged)</t>
  </si>
  <si>
    <t>2089</t>
  </si>
  <si>
    <t>ＮＺＡＭ　上場投信　ＤＡＸ（為替ヘッジあり）　受益証券</t>
  </si>
  <si>
    <t>NZAM ETF DAX (JPY Hedged)</t>
  </si>
  <si>
    <t>2090</t>
  </si>
  <si>
    <t>ＮＺＡＭ　上場投信　米国国債７－１０年（為替ヘッジあり）　受益証券</t>
  </si>
  <si>
    <t>NZAM ETF US Treasury 7-10Y (JPY Hedged)</t>
  </si>
  <si>
    <t>2091</t>
  </si>
  <si>
    <t>ＮＺＡＭ　上場投信　ドイツ国債７－１０年（為替ヘッジあり）　受益証券</t>
  </si>
  <si>
    <t>NZAM ETF German Government Bond 7-10Y (JPY Hedged)</t>
  </si>
  <si>
    <t>2092</t>
  </si>
  <si>
    <t>ＮＺＡＭ　上場投信　フランス国債７－１０年（為替ヘッジあり）　受益証券</t>
  </si>
  <si>
    <t>NZAM ETF France Government Bond 7-10Y (JPY Hedged)</t>
  </si>
  <si>
    <t>2093</t>
  </si>
  <si>
    <t>上場Ｔｒａｃｅｒｓ　米国債０－２年ラダー（為替ヘッジなし）　受益証券</t>
  </si>
  <si>
    <t>Listed Tracers US Government Bond 0-2years Ladder (No Currency Hedge)</t>
  </si>
  <si>
    <t>2094</t>
  </si>
  <si>
    <t>東証ＲＥＩＴインバースＥＴＦ　受益証券</t>
  </si>
  <si>
    <t>TSE REIT Inverse ETF</t>
  </si>
  <si>
    <t>2095</t>
  </si>
  <si>
    <t>グローバルＸ　Ｓ＆Ｐ５００配当貴族　ＥＴＦ（為替ヘッジあり）　受益証券</t>
  </si>
  <si>
    <t>Global X S&amp;P 500 Dividend Aristocrats ETF (JPY Hedged)</t>
  </si>
  <si>
    <t>2096</t>
  </si>
  <si>
    <t>グローバルＸ　オフィス・Ｊ－ＲＥＩＴ　ＥＴＦ　受益証券</t>
  </si>
  <si>
    <t>Global X Office J-REIT ETF</t>
  </si>
  <si>
    <t>2097</t>
  </si>
  <si>
    <t>グローバルＸ　レジデンシャル・Ｊ－ＲＥＩＴ　ＥＴＦ　受益証券</t>
  </si>
  <si>
    <t>Global X Residential J-REIT ETF</t>
  </si>
  <si>
    <t>2098</t>
  </si>
  <si>
    <t>グローバルＸ　ホテル＆リテール・Ｊ－ＲＥＩＴ　ＥＴＦ　受益証券</t>
  </si>
  <si>
    <t>Global X Hotel &amp; Retail J-REIT ETF</t>
  </si>
  <si>
    <t>2235</t>
  </si>
  <si>
    <t>上場インデックスファンド米国株式（ダウ平均）為替ヘッジなし　受益証券</t>
  </si>
  <si>
    <t>Listed Index Fund US Equity (Dow Average) No Currency Hedge</t>
  </si>
  <si>
    <t>2236</t>
  </si>
  <si>
    <t>グローバルＸ　Ｓ＆Ｐ５００配当貴族ＥＴＦ　受益証券</t>
  </si>
  <si>
    <t>Global X S&amp;P 500 Dividend Aristocrats ETF</t>
  </si>
  <si>
    <t>2237</t>
  </si>
  <si>
    <t>ｉＦｒｅｅＥＴＦ　Ｓ＆Ｐ５００レバレッジ　受益証券</t>
  </si>
  <si>
    <t>iFreeETF S&amp;P500 Leveraged (2x)</t>
  </si>
  <si>
    <t>2238</t>
  </si>
  <si>
    <t>ｉＦｒｅｅＥＴＦ　Ｓ＆Ｐ５００インバース　受益証券</t>
  </si>
  <si>
    <t>iFreeETF S&amp;P500 Inverse</t>
  </si>
  <si>
    <t>2239</t>
  </si>
  <si>
    <t>上場インデックスファンドＳ＆Ｐ５００先物レバレッジ２倍　受益証券</t>
  </si>
  <si>
    <t>Listed Index Fund S&amp;P500 Futures Leveraged Two Times</t>
  </si>
  <si>
    <t>2240</t>
  </si>
  <si>
    <t>上場インデックスファンドＳ＆Ｐ５００先物インバース　受益証券</t>
  </si>
  <si>
    <t>Listed Index Fund S&amp;P500 Futures Inverse</t>
  </si>
  <si>
    <t>2241</t>
  </si>
  <si>
    <t>ＭＡＸＩＳ　ＮＹダウ上場投信　受益証券</t>
  </si>
  <si>
    <t>MAXIS NY Dow Industrial Average ETF</t>
  </si>
  <si>
    <t>2242</t>
  </si>
  <si>
    <t>ＭＡＸＩＳ　ＮＹダウ上場投信（為替ヘッジあり）　受益証券</t>
  </si>
  <si>
    <t>MAXIS NY Dow Industrial Average ETF (JPY Hedged)</t>
  </si>
  <si>
    <t>2243</t>
  </si>
  <si>
    <t>グローバルＸ　半導体　ＥＴＦ　受益証券</t>
  </si>
  <si>
    <t>Global X Semiconductor ETF</t>
  </si>
  <si>
    <t>2244</t>
  </si>
  <si>
    <t>グローバルＸ　ＵＳ　テック・トップ２０　ＥＴＦ　受益証券</t>
  </si>
  <si>
    <t>Global X US Tech Top 20 ETF</t>
  </si>
  <si>
    <t>2245</t>
  </si>
  <si>
    <t>ＮＥＸＴ　ＦＵＮＤＳ　ブルームバーグ・ドイツ国債（７－１０年）インデックス（為替ヘッジあり）連動型上場投信　受益証券</t>
  </si>
  <si>
    <t>NEXT FUNDS Bloomberg Germany Treasury Bond (7-10 year) Index (Yen-Hedged) Exchange Traded Fund</t>
  </si>
  <si>
    <t>2246</t>
  </si>
  <si>
    <t>ＮＥＸＴ　ＦＵＮＤＳ　ブルームバーグ・フランス国債（７－１０年）インデックス（為替ヘッジあり）連動型上場投信　受益証券</t>
  </si>
  <si>
    <t>NEXT FUNDS Bloomberg France Treasury Bond (7-10 year) Index (Yen-Hedged) Exchange Traded Fund</t>
  </si>
  <si>
    <t>2247</t>
  </si>
  <si>
    <t>ｉＦｒｅｅＥＴＦ　Ｓ＆Ｐ５００（為替ヘッジなし）　受益証券</t>
  </si>
  <si>
    <t>iFreeETF S&amp;P500 (NON HEDGED)</t>
  </si>
  <si>
    <t>2248</t>
  </si>
  <si>
    <t>ｉＦｒｅｅＥＴＦ　Ｓ＆Ｐ５００（為替ヘッジあり）　受益証券</t>
  </si>
  <si>
    <t>iFreeETF S&amp;P500 (JPY HEDGED)</t>
  </si>
  <si>
    <t>2249</t>
  </si>
  <si>
    <t>ｉＦｒｅｅＥＴＦ　Ｓ＆Ｐ５００ダブルインバース　受益証券</t>
  </si>
  <si>
    <t>iFreeETF S&amp;P500 Double Inverse (-2x)</t>
  </si>
  <si>
    <t>2250</t>
  </si>
  <si>
    <t>ｉシェアーズ　ＭＳＣＩ　ジャパン気候変動アクション　ＥＴＦ　受益証券</t>
  </si>
  <si>
    <t>iShares MSCI Japan Climate Action ETF</t>
  </si>
  <si>
    <t>2251</t>
  </si>
  <si>
    <t>ＮＥＸＴ　ＦＵＮＤＳ　ＪＰＸ国債先物ダブルインバース指数連動型上場投信　受益証券</t>
  </si>
  <si>
    <t>NEXT FUNDS JPX JGB Futures Double Inverse Index Exchange Traded Fund</t>
  </si>
  <si>
    <t>2252</t>
  </si>
  <si>
    <t>グローバルＸ　Ｍｏｒｎｉｎｇｓｔａｒ　米国中小型　Ｍｏａｔ　ＥＴＦ　受益証券</t>
  </si>
  <si>
    <t>Global X Morningstar US Small Mid Moat ETF</t>
  </si>
  <si>
    <t>2253</t>
  </si>
  <si>
    <t>グローバルＸ　スーパーディビィデンド－ＵＳ　ＥＴＦ　受益証券</t>
  </si>
  <si>
    <t>Global X SuperDividend U.S. ETF</t>
  </si>
  <si>
    <t>2254</t>
  </si>
  <si>
    <t>グローバルＸ　チャイナＥＶ＆バッテリー　ＥＴＦ　受益証券</t>
  </si>
  <si>
    <t>Global X China Electric Vehicle and Battery ETF</t>
  </si>
  <si>
    <t>2255</t>
  </si>
  <si>
    <t>ｉシェアーズ　米国債２０年超　ＥＴＦ　受益証券</t>
  </si>
  <si>
    <t>iShares 20+ Year US Treasury Bond ETF</t>
  </si>
  <si>
    <t>2256</t>
  </si>
  <si>
    <t>ｉシェアーズ　米国総合債券　ＥＴＦ　受益証券</t>
  </si>
  <si>
    <t>iShares US Aggregate Bond ETF</t>
  </si>
  <si>
    <t>2257</t>
  </si>
  <si>
    <t>ｉシェアーズ　米ドル建て投資適格社債　ＥＴＦ　受益証券</t>
  </si>
  <si>
    <t>iShares USD Investment Grade Corporate Bond ETF</t>
  </si>
  <si>
    <t>2258</t>
  </si>
  <si>
    <t>ｉシェアーズ　米ドル建てハイイールド社債　ＥＴＦ　受益証券</t>
  </si>
  <si>
    <t>iShares USD High Yield Corporate Bond ETF</t>
  </si>
  <si>
    <t>2259</t>
  </si>
  <si>
    <t>ｉシェアーズ　フランス国債７－１０年　ＥＴＦ（為替ヘッジあり）　受益証券</t>
  </si>
  <si>
    <t>iShares 7-10 Year France Government Bond JPY Hedged ETF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</si>
  <si>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</si>
  <si>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</si>
  <si>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</si>
  <si>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</si>
  <si>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</si>
  <si>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</si>
  <si>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</si>
  <si>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</si>
  <si>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</si>
  <si>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</si>
  <si>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</si>
  <si>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</si>
  <si>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</si>
  <si>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</si>
  <si>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</si>
  <si>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</si>
  <si>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</si>
  <si>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</si>
  <si>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</si>
  <si>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東証グロース２５０ＥＴＦ　受益証券</t>
  </si>
  <si>
    <t>TSE Growth 250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</si>
  <si>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</si>
  <si>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</si>
  <si>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</si>
  <si>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</si>
  <si>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</si>
  <si>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</si>
  <si>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</si>
  <si>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</si>
  <si>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</si>
  <si>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</si>
  <si>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</si>
  <si>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</si>
  <si>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</si>
  <si>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</si>
  <si>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</si>
  <si>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</si>
  <si>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</si>
  <si>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</si>
  <si>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</si>
  <si>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</si>
  <si>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</si>
  <si>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</si>
  <si>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</si>
  <si>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</si>
  <si>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</si>
  <si>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</si>
  <si>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</si>
  <si>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</si>
  <si>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</si>
  <si>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</si>
  <si>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</si>
  <si>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</si>
  <si>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</si>
  <si>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</si>
  <si>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ｉＦｒｅｅＥＴＦ　東証ＲＥＩＴ　Ｃｏｒｅ指数　受益証券</t>
  </si>
  <si>
    <t>iFreeETF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</si>
  <si>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</si>
  <si>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</si>
  <si>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</si>
  <si>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</si>
  <si>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</si>
  <si>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</si>
  <si>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</si>
  <si>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</si>
  <si>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</si>
  <si>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</si>
  <si>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</si>
  <si>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</si>
  <si>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</si>
  <si>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ブルームバーグ米国投資適格社債（１－１０年）インデックス（為替ヘッジあり）連動型上場投信　受益証券</t>
  </si>
  <si>
    <t>NEXT FUNDS Bloomberg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</si>
  <si>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</si>
  <si>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</si>
  <si>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</si>
  <si>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</si>
  <si>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</si>
  <si>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</si>
  <si>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</si>
  <si>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</si>
  <si>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</si>
  <si>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</si>
  <si>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</si>
  <si>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</si>
  <si>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</si>
  <si>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</si>
  <si>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</si>
  <si>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</si>
  <si>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</si>
  <si>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</si>
  <si>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</si>
  <si>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</si>
  <si>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</si>
  <si>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</si>
  <si>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</si>
  <si>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</si>
  <si>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</si>
  <si>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</si>
  <si>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</si>
  <si>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</si>
  <si>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</si>
  <si>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</si>
  <si>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>2565</t>
  </si>
  <si>
    <t>グローバルＸ　ロジスティクス・Ｊ－ＲＥＩＴ　ＥＴＦ　受益証券</t>
  </si>
  <si>
    <t>Global X Logistics J-REIT ETF</t>
  </si>
  <si>
    <t>2566</t>
  </si>
  <si>
    <t>上場インデックスファンド日経ＥＳＧリート　受益証券</t>
  </si>
  <si>
    <t>Listed Index Fund Nikkei ESG REIT</t>
  </si>
  <si>
    <t>2567</t>
  </si>
  <si>
    <t>ＮＺＡＭ　上場投信　Ｓ＆Ｐ／ＪＰＸカーボン・エフィシェント指数　受益証券</t>
  </si>
  <si>
    <t>NZAM ETF S&amp;P/JPX Carbon Efficient Index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</si>
  <si>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</si>
  <si>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</si>
  <si>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</si>
  <si>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</si>
  <si>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</si>
  <si>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</si>
  <si>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2620</t>
  </si>
  <si>
    <t>ｉシェアーズ　米国債１－３年　ＥＴＦ　受益証券</t>
  </si>
  <si>
    <t>iShares 1-3 Year US Treasury Bond ETF</t>
  </si>
  <si>
    <t>2621</t>
  </si>
  <si>
    <t>ｉシェアーズ　米国債２０年超　ＥＴＦ（為替ヘッジあり）　受益証券</t>
  </si>
  <si>
    <t>iShares 20+ Year US Treasury Bond JPY Hedged ETF</t>
  </si>
  <si>
    <t>2622</t>
  </si>
  <si>
    <t>ｉシェアーズ　米ドル建て新興国債券　ＥＴＦ（為替ヘッジあり）　受益証券</t>
  </si>
  <si>
    <t>iShares USD Emerging Markets Bond JPY Hedged ETF</t>
  </si>
  <si>
    <t>2623</t>
  </si>
  <si>
    <t>ｉシェアーズ　ユーロ建て投資適格社債　ＥＴＦ（為替ヘッジあり）　受益証券</t>
  </si>
  <si>
    <t>iShares Euro Investment Grade Corporate Bond JPY Hedged ETF</t>
  </si>
  <si>
    <t>2624</t>
  </si>
  <si>
    <t>ｉＦｒｅｅＥＴＦ　日経２２５（年４回決算型）　受益証券</t>
  </si>
  <si>
    <t>iFreeETF Nikkei225 (Quarterly Dividend Type)</t>
  </si>
  <si>
    <t>2625</t>
  </si>
  <si>
    <t>ｉＦｒｅｅＥＴＦ　ＴＯＰＩＸ（年４回決算型）　受益証券</t>
  </si>
  <si>
    <t>iFreeETF TOPIX (Quarterly Dividend Type)</t>
  </si>
  <si>
    <t>2626</t>
  </si>
  <si>
    <t>グローバルＸ　デジタル・イノベーション－日本株式　ＥＴＦ　受益証券</t>
  </si>
  <si>
    <t>Global X Digital Innovation Japan ETF</t>
  </si>
  <si>
    <t>2627</t>
  </si>
  <si>
    <t>グローバルＸ　ｅコマース－日本株式　ＥＴＦ　受益証券</t>
  </si>
  <si>
    <t>Global X E-Commerce Japan ETF</t>
  </si>
  <si>
    <t>2628</t>
  </si>
  <si>
    <t>ｉＦｒｅｅＥＴＦ　中国科創板５０（ＳＴＡＲ５０）　受益証券</t>
  </si>
  <si>
    <t>iFreeETF China STAR50</t>
  </si>
  <si>
    <t>2629</t>
  </si>
  <si>
    <t>ｉＦｒｅｅＥＴＦ　中国グレーターベイエリア・イノベーション１００（ＧＢＡ１００）　受益証券</t>
  </si>
  <si>
    <t>iFreeETF China GBA100</t>
  </si>
  <si>
    <t>2630</t>
  </si>
  <si>
    <t>ＭＡＸＩＳ米国株式（Ｓ＆Ｐ５００）上場投信（為替ヘッジあり）　受益証券</t>
  </si>
  <si>
    <t>MAXIS S&amp;P500 US Equity ETF (JPY Hedged)</t>
  </si>
  <si>
    <t>2631</t>
  </si>
  <si>
    <t>ＭＡＸＩＳナスダック１００上場投信　受益証券</t>
  </si>
  <si>
    <t>MAXIS NASDAQ100 ETF</t>
  </si>
  <si>
    <t>2632</t>
  </si>
  <si>
    <t>ＭＡＸＩＳナスダック１００上場投信（為替ヘッジあり）　受益証券</t>
  </si>
  <si>
    <t>MAXIS NASDAQ100 ETF (JPY Hedged)</t>
  </si>
  <si>
    <t>2633</t>
  </si>
  <si>
    <t>ＮＥＸＴ　ＦＵＮＤＳ　Ｓ＆Ｐ　５００　指数（為替ヘッジなし）連動型上場投信　受益証券</t>
  </si>
  <si>
    <t>NEXT FUNDS S&amp;P 500 (Unhedged) Exchange Traded Fund</t>
  </si>
  <si>
    <t>2634</t>
  </si>
  <si>
    <t>ＮＥＸＴ　ＦＵＮＤＳ　Ｓ＆Ｐ　５００　指数（為替ヘッジあり）連動型上場投信　受益証券</t>
  </si>
  <si>
    <t>NEXT FUNDS S&amp;P 500 (Yen-Hedged) Exchange Traded Fund</t>
  </si>
  <si>
    <t>2635</t>
  </si>
  <si>
    <t>ＮＥＸＴ　ＦＵＮＤＳ　Ｓ＆Ｐ　５００　ＥＳＧ指数連動型上場投信　受益証券</t>
  </si>
  <si>
    <t>NEXT FUNDS S&amp;P 500 ESG Index Exchange Traded Fund</t>
  </si>
  <si>
    <t>2636</t>
  </si>
  <si>
    <t>グローバルＸ　ＭＳＣＩ　ガバナンス・クオリティ－日本株式　ＥＴＦ　受益証券</t>
  </si>
  <si>
    <t>Global X MSCI Governance-Quality Japan ETF</t>
  </si>
  <si>
    <t>2637</t>
  </si>
  <si>
    <t>グローバルＸ　クリーンテック－日本株式　ＥＴＦ　受益証券</t>
  </si>
  <si>
    <t>Global X CleanTech Japan ETF</t>
  </si>
  <si>
    <t>2638</t>
  </si>
  <si>
    <t>グローバルＸ　ロボティクス＆ＡＩ－日本株式　ＥＴＦ　受益証券</t>
  </si>
  <si>
    <t>Global X Japan Robotics &amp; AI ETF</t>
  </si>
  <si>
    <t>2639</t>
  </si>
  <si>
    <t>グローバルＸ　バイオ＆メドテック－日本株式　ＥＴＦ　受益証券</t>
  </si>
  <si>
    <t>Global X Japan Bio &amp; Med Tech ETF</t>
  </si>
  <si>
    <t>2640</t>
  </si>
  <si>
    <t>グローバルＸ　ゲーム＆アニメ－日本株式　ＥＴＦ　受益証券</t>
  </si>
  <si>
    <t>Global X Japan Games &amp; Animation ETF</t>
  </si>
  <si>
    <t>2641</t>
  </si>
  <si>
    <t>グローバルＸ　グローバルリーダーズ－日本株式　ＥＴＦ　受益証券</t>
  </si>
  <si>
    <t>Global X Japan Global Leaders ETF</t>
  </si>
  <si>
    <t>2642</t>
  </si>
  <si>
    <t>ＳＭＴ　ＥＴＦカーボン・エフィシェント日本株　受益証券</t>
  </si>
  <si>
    <t>SMT ETF Carbon Efficient Index Japan Equity</t>
  </si>
  <si>
    <t>2643</t>
  </si>
  <si>
    <t>ＮＥＸＴ　ＦＵＮＤＳ　ＭＳＣＩジャパンカントリーＥＳＧリーダーズ指数連動型上場投信　受益証券</t>
  </si>
  <si>
    <t>NEXT FUNDS MSCI Japan Country ESG Leaders Index Exchange Traded Fund</t>
  </si>
  <si>
    <t>2644</t>
  </si>
  <si>
    <t>グローバルＸ　半導体関連－日本株式　ＥＴＦ　受益証券</t>
  </si>
  <si>
    <t>Global X Japan Semiconductor ETF</t>
  </si>
  <si>
    <t>2645</t>
  </si>
  <si>
    <t>グローバルＸ　レジャー＆エンターテインメント－日本株式　ＥＴＦ　受益証券</t>
  </si>
  <si>
    <t>Global X Japan Leisure &amp; Entertainment ETF</t>
  </si>
  <si>
    <t>2646</t>
  </si>
  <si>
    <t>グローバルＸ　メタルビジネス－日本株式　ＥＴＦ　受益証券</t>
  </si>
  <si>
    <t>Global X Japan Metal Business ETF</t>
  </si>
  <si>
    <t>2647</t>
  </si>
  <si>
    <t>ＮＥＸＴ　ＦＵＮＤＳ　ブルームバーグ米国国債（７－１０年）インデックス（為替ヘッジなし）連動型上場投信　受益証券</t>
  </si>
  <si>
    <t>NEXT FUNDS Bloomberg US Treasury Bond (7-10 year) Index (Unhedged) Exchange Traded Fund</t>
  </si>
  <si>
    <t>2648</t>
  </si>
  <si>
    <t>ＮＥＸＴ　ＦＵＮＤＳ　ブルームバーグ米国国債（７－１０年）インデックス（為替ヘッジあり）連動型上場投信　受益証券</t>
  </si>
  <si>
    <t>NEXT FUNDS Bloomberg US Treasury Bond (7-10 year) Index (Yen-Hedged) Exchange Traded Fund</t>
  </si>
  <si>
    <t>2649</t>
  </si>
  <si>
    <t>ｉシェアーズ　米国政府系機関ジニーメイＭＢＳ　ＥＴＦ（為替ヘッジあり）　受益証券</t>
  </si>
  <si>
    <t>iShares Ginnie Mae MBS JPY Hedged ETF</t>
  </si>
  <si>
    <t>2836</t>
  </si>
  <si>
    <t>グローバルＸ　フィンテック－日本株式　ＥＴＦ　受益証券</t>
  </si>
  <si>
    <t>Global X Japan Fintech ETF</t>
  </si>
  <si>
    <t>2837</t>
  </si>
  <si>
    <t>グローバルＸ　中小型リーダーズ－日本株式　ＥＴＦ　受益証券</t>
  </si>
  <si>
    <t>Global X Japan Mid &amp; Small Cap Leaders ETF</t>
  </si>
  <si>
    <t>2838</t>
  </si>
  <si>
    <t>ＭＡＸＩＳ米国国債７－１０年上場投信（為替ヘッジなし）　受益証券</t>
  </si>
  <si>
    <t>MAXIS US Treasury Bond 7-10 Year ETF (Unhedged)</t>
  </si>
  <si>
    <t>2839</t>
  </si>
  <si>
    <t>ＭＡＸＩＳ米国国債７－１０年上場投信（為替ヘッジあり）　受益証券</t>
  </si>
  <si>
    <t>MAXIS US Treasury Bond 7-10 Year ETF (JPY Hedged)</t>
  </si>
  <si>
    <t>2840</t>
  </si>
  <si>
    <t>ｉＦｒｅｅＥＴＦ　ＮＡＳＤＡＱ１００（為替ヘッジなし）　受益証券</t>
  </si>
  <si>
    <t>iFreeETF NASDAQ100 (NON HEDGED)</t>
  </si>
  <si>
    <t>2841</t>
  </si>
  <si>
    <t>ｉＦｒｅｅＥＴＦ　ＮＡＳＤＡＱ１００（為替ヘッジあり）　受益証券</t>
  </si>
  <si>
    <t>iFreeETF NASDAQ100 (JPY HEDGED)</t>
  </si>
  <si>
    <t>2842</t>
  </si>
  <si>
    <t>ｉＦｒｅｅＥＴＦ　ＮＡＳＤＡＱ１００インバース　受益証券</t>
  </si>
  <si>
    <t>iFreeETF NASDAQ100 Inverse</t>
  </si>
  <si>
    <t>2843</t>
  </si>
  <si>
    <t>上場インデックスファンド豪州国債（為替ヘッジあり）　受益証券</t>
  </si>
  <si>
    <t>Listed Index Fund Australian Government Bond (Currency Hedge)</t>
  </si>
  <si>
    <t>2844</t>
  </si>
  <si>
    <t>上場インデックスファンド豪州国債（為替ヘッジなし）　受益証券</t>
  </si>
  <si>
    <t>Listed Index Fund Australian Government Bond (No Currency Hedge)</t>
  </si>
  <si>
    <t>2845</t>
  </si>
  <si>
    <t>ＮＥＸＴ　ＦＵＮＤＳ　ＮＡＳＤＡＱ－１００（為替ヘッジあり）連動型上場投信　受益証券</t>
  </si>
  <si>
    <t>NEXT FUNDS NASDAQ-100(R) (Yen-Hedged) Exchange Traded Fund</t>
  </si>
  <si>
    <t>2846</t>
  </si>
  <si>
    <t>ＮＥＸＴ　ＦＵＮＤＳ　ダウ・ジョーンズ工業株３０種平均株価（為替ヘッジあり）連動型上場投信　受益証券</t>
  </si>
  <si>
    <t>NEXT FUNDS DJIA (Yen-Hedged) Exchange Traded Fund</t>
  </si>
  <si>
    <t>2847</t>
  </si>
  <si>
    <t>グローバルＸ　新成長インフラ－日本株式　ＥＴＦ　受益証券</t>
  </si>
  <si>
    <t>Global X Japan New Growth Infrastructure ETF</t>
  </si>
  <si>
    <t>2848</t>
  </si>
  <si>
    <t>グローバルＸ　ＭＳＣＩ　気候変動対応－日本株式　ＥＴＦ　受益証券</t>
  </si>
  <si>
    <t>Global X MSCI Japan Climate Change ETF</t>
  </si>
  <si>
    <t>2849</t>
  </si>
  <si>
    <t>グローバルＸ　Ｍｏｒｎｉｎｇｓｔａｒ　高配当　ＥＳＧ－日本株式　ＥＴＦ　受益証券</t>
  </si>
  <si>
    <t>Global X Morningstar Japan High Dividend ESG ETF</t>
  </si>
  <si>
    <t>2850</t>
  </si>
  <si>
    <t>ＮＥＸＴ　ＦＵＮＤＳ　ＳｏｌａｃｔｉｖｅジャパンＥＳＧコア指数連動型上場投信　受益証券</t>
  </si>
  <si>
    <t>NEXT FUNDS Solactive Japan ESG Core Index Exchange Traded Fund</t>
  </si>
  <si>
    <t>2851</t>
  </si>
  <si>
    <t>ｉシェアーズ　ＭＳＣＩ　ジャパンＳＲＩ　ＥＴＦ　受益証券</t>
  </si>
  <si>
    <t>iShares MSCI Japan SRI ETF</t>
  </si>
  <si>
    <t>2852</t>
  </si>
  <si>
    <t>ｉシェアーズ　グリーンＪリート　ＥＴＦ　受益証券</t>
  </si>
  <si>
    <t>iShares Japan Green REIT ETF</t>
  </si>
  <si>
    <t>2853</t>
  </si>
  <si>
    <t>ｉシェアーズ　気候リスク調整世界国債　ＥＴＦ（除く日本・為替ヘッジあり）　受益証券</t>
  </si>
  <si>
    <t>iShares Climate Risk-Adjusted Global ex Japan Government Bond JPY Hedged ETF</t>
  </si>
  <si>
    <t>2854</t>
  </si>
  <si>
    <t>グローバルＸ　テック・トップ２０－日本株式　ＥＴＦ　受益証券</t>
  </si>
  <si>
    <t>Global X Japan Tech Top 20 ETF</t>
  </si>
  <si>
    <t>2855</t>
  </si>
  <si>
    <t>グローバルＸ　グリーン・Ｊ－ＲＥＩＴ　ＥＴＦ　受益証券</t>
  </si>
  <si>
    <t>Global X Green J-REIT ETF</t>
  </si>
  <si>
    <t>2856</t>
  </si>
  <si>
    <t>ｉシェアーズ　米国債３－７年　ＥＴＦ（為替ヘッジあり）　受益証券</t>
  </si>
  <si>
    <t>iShares 3-7 Year US Treasury Bond JPY Hedged ETF</t>
  </si>
  <si>
    <t>2857</t>
  </si>
  <si>
    <t>ｉシェアーズ　ドイツ国債　ＥＴＦ（為替ヘッジあり）　受益証券</t>
  </si>
  <si>
    <t>iShares Germany Government Bond JPY Hedged ETF</t>
  </si>
  <si>
    <t>2858</t>
  </si>
  <si>
    <t>グローバルＸ　日経２２５　カバード・コール　ＥＴＦ（プレミアム再投資型）　受益証券</t>
  </si>
  <si>
    <t>Global X Nikkei 225 Covered Call ETF (option premium reinvestment type)</t>
  </si>
  <si>
    <t>2859</t>
  </si>
  <si>
    <t>ＮＥＸＴ　ＦＵＮＤＳ　ユーロ・ストックス５０指数（為替ヘッジあり）連動型上場投信　受益証券</t>
  </si>
  <si>
    <t>NEXT FUNDS EURO STOXX 50 (Yen-Hedged) Exchange Traded Fund</t>
  </si>
  <si>
    <t>2860</t>
  </si>
  <si>
    <t>ＮＥＸＴ　ＦＵＮＤＳ　ドイツ株式・ＤＡＸ（為替ヘッジあり）連動型上場投信　受益証券</t>
  </si>
  <si>
    <t>NEXT FUNDS German Equity DAX (Yen-Hedged) Exchange Traded Fund</t>
  </si>
  <si>
    <t>2861</t>
  </si>
  <si>
    <t>上場インデックスファンドフランス国債（為替ヘッジなし）　受益証券</t>
  </si>
  <si>
    <t>Listed Index Fund France Government Bond (No Currency Hedge)</t>
  </si>
  <si>
    <t>2862</t>
  </si>
  <si>
    <t>上場インデックスファンドフランス国債（為替ヘッジあり）　受益証券</t>
  </si>
  <si>
    <t>Listed Index Fund France Government Bond (Currency Hedge)</t>
  </si>
  <si>
    <t>2863</t>
  </si>
  <si>
    <t>ＮＥＸＴ　ＦＵＮＤＳ　Ｓ＆Ｐ米国株式・債券バランス保守型指数（為替ヘッジあり）連動型上場投信　受益証券</t>
  </si>
  <si>
    <t>NEXT FUNDS S&amp;P US Equity and Bond Balance Conservative Index (Yen-Hedged) Exchange Traded Fund</t>
  </si>
  <si>
    <t>2864</t>
  </si>
  <si>
    <t>グローバルＸ　ロジスティクス・ＲＥＩＴ　ＥＴＦ　受益証券</t>
  </si>
  <si>
    <t>Global X Logistics REIT ETF</t>
  </si>
  <si>
    <t>2865</t>
  </si>
  <si>
    <t>グローバルＸ　ＮＡＳＤＡＱ１００・カバード・コール　ＥＴＦ　受益証券</t>
  </si>
  <si>
    <t>Global X Nasdaq 100 Covered Call ETF</t>
  </si>
  <si>
    <t>2866</t>
  </si>
  <si>
    <t>グローバルＸ　米国優先証券　ＥＴＦ　受益証券</t>
  </si>
  <si>
    <t>Global X U.S. Preferred Security ETF</t>
  </si>
  <si>
    <t>2867</t>
  </si>
  <si>
    <t>グローバルＸ　自動運転＆ＥＶ　ＥＴＦ　受益証券</t>
  </si>
  <si>
    <t>Global X Autonomous &amp; EV ETF</t>
  </si>
  <si>
    <t>2868</t>
  </si>
  <si>
    <t>グローバルＸ　Ｓ＆Ｐ５００・カバード・コール　ＥＴＦ　受益証券</t>
  </si>
  <si>
    <t>Global X S&amp;P 500 Covered Call ETF</t>
  </si>
  <si>
    <t>2869</t>
  </si>
  <si>
    <t>ｉＦｒｅｅＥＴＦ　ＮＡＳＤＡＱ１００レバレッジ　受益証券</t>
  </si>
  <si>
    <t>iFreeETF NASDAQ100 Leveraged (2x)</t>
  </si>
  <si>
    <t>2870</t>
  </si>
  <si>
    <t>ｉＦｒｅｅＥＴＦ　ＮＡＳＤＡＱ１００ダブルインバース　受益証券</t>
  </si>
  <si>
    <t>iFreeETF NASDAQ100 Double Inverse (-2x)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</si>
  <si>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</si>
  <si>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</si>
  <si>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</si>
  <si>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</si>
  <si>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</si>
  <si>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</si>
  <si>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</si>
  <si>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</si>
  <si>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</si>
  <si>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2989</t>
  </si>
  <si>
    <t>東海道リート投資法人　投資証券</t>
  </si>
  <si>
    <t>Tokaido REIT,Inc.</t>
  </si>
  <si>
    <t>3226</t>
  </si>
  <si>
    <t>日本アコモデーションファンド投資法人　投資証券</t>
  </si>
  <si>
    <t>Nippon Accommodations Fund Inc.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</si>
  <si>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</si>
  <si>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</si>
  <si>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</si>
  <si>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</si>
  <si>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</si>
  <si>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</si>
  <si>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</si>
  <si>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</si>
  <si>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</si>
  <si>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</si>
  <si>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</si>
  <si>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</si>
  <si>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</si>
  <si>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</si>
  <si>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</si>
  <si>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</si>
  <si>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</si>
  <si>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</si>
  <si>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</si>
  <si>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</si>
  <si>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</si>
  <si>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</si>
  <si>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</si>
  <si>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</si>
  <si>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</si>
  <si>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</si>
  <si>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</si>
  <si>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</si>
  <si>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</si>
  <si>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</si>
  <si>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</si>
  <si>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</si>
  <si>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</si>
  <si>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</si>
  <si>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</si>
  <si>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</si>
  <si>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</si>
  <si>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</si>
  <si>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</si>
  <si>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</si>
  <si>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</si>
  <si>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</si>
  <si>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</si>
  <si>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</si>
  <si>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</si>
  <si>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</si>
  <si>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</si>
  <si>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</si>
  <si>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</si>
  <si>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</si>
  <si>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</si>
  <si>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</si>
  <si>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</si>
  <si>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</si>
  <si>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</si>
  <si>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</si>
  <si>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</si>
  <si>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</si>
  <si>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</si>
  <si>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</si>
  <si>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</si>
  <si>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</si>
  <si>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</si>
  <si>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</si>
  <si>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</si>
  <si>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</si>
  <si>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</si>
  <si>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大江戸温泉リート投資法人　投資証券</t>
  </si>
  <si>
    <t>Ooedo Onsen Reit Investment Corporation</t>
  </si>
  <si>
    <t>3476</t>
  </si>
  <si>
    <t>投資法人みらい　投資証券</t>
  </si>
  <si>
    <t>MIRAI Corporation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</si>
  <si>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</si>
  <si>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</si>
  <si>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</si>
  <si>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</si>
  <si>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</si>
  <si>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</si>
  <si>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</si>
  <si>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</si>
  <si>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</si>
  <si>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</si>
  <si>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</si>
  <si>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</si>
  <si>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</si>
  <si>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アドバンス・ロジスティクス投資法人　投資証券</t>
  </si>
  <si>
    <t>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</si>
  <si>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</si>
  <si>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</si>
  <si>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</si>
  <si>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</si>
  <si>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</si>
  <si>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</si>
  <si>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</si>
  <si>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日本都市ファンド投資法人　投資証券</t>
  </si>
  <si>
    <t>Japan Metropolitan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</si>
  <si>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</si>
  <si>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</si>
  <si>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</si>
  <si>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</si>
  <si>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</si>
  <si>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</si>
  <si>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</si>
  <si>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ＮＴＴ都市開発リート投資法人　投資証券</t>
  </si>
  <si>
    <t>NTT UD REIT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</si>
  <si>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</si>
  <si>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</si>
  <si>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</si>
  <si>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</si>
  <si>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</si>
  <si>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</si>
  <si>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</si>
  <si>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</si>
  <si>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</si>
  <si>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</si>
  <si>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森トラストリート投資法人　投資証券</t>
  </si>
  <si>
    <t>MORI TRUST REIT,Inc.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</si>
  <si>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</si>
  <si>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</si>
  <si>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</si>
  <si>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</si>
  <si>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</si>
  <si>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</si>
  <si>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</si>
  <si>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</si>
  <si>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</si>
  <si>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</si>
  <si>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</si>
  <si>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</si>
  <si>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</si>
  <si>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</si>
  <si>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</si>
  <si>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</si>
  <si>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ＫＤＸ不動産投資法人　投資証券</t>
  </si>
  <si>
    <t>KDX Realty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</si>
  <si>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</si>
  <si>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</si>
  <si>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</si>
  <si>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</si>
  <si>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</si>
  <si>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</si>
  <si>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</si>
  <si>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</si>
  <si>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</si>
  <si>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</si>
  <si>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</si>
  <si>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</si>
  <si>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</si>
  <si>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</si>
  <si>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</si>
  <si>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</si>
  <si>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</si>
  <si>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</si>
  <si>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</si>
  <si>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大和証券リビング投資法人　投資証券</t>
  </si>
  <si>
    <t>Daiwa Securities Living Investment Corporation</t>
  </si>
  <si>
    <t>8987</t>
  </si>
  <si>
    <t>ジャパンエクセレント投資法人　投資証券</t>
  </si>
  <si>
    <t>Japan Excellent,Inc.</t>
  </si>
  <si>
    <t>9282</t>
  </si>
  <si>
    <t>いちごグリーンインフラ投資法人　投資証券</t>
  </si>
  <si>
    <t>Ichigo Green Infrastructure Investment Corporation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</si>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</sst>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15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2490.5</f>
        <v>2490.5</v>
      </c>
      <c r="L7" s="34" t="s">
        <v>48</v>
      </c>
      <c r="M7" s="33" t="n">
        <f>2713</f>
        <v>2713.0</v>
      </c>
      <c r="N7" s="34" t="s">
        <v>49</v>
      </c>
      <c r="O7" s="33" t="n">
        <f>2469</f>
        <v>2469.0</v>
      </c>
      <c r="P7" s="34" t="s">
        <v>48</v>
      </c>
      <c r="Q7" s="33" t="n">
        <f>2699</f>
        <v>2699.0</v>
      </c>
      <c r="R7" s="34" t="s">
        <v>50</v>
      </c>
      <c r="S7" s="35" t="n">
        <f>2637.26</f>
        <v>2637.26</v>
      </c>
      <c r="T7" s="32" t="n">
        <f>11510310</f>
        <v>1.151031E7</v>
      </c>
      <c r="U7" s="32" t="n">
        <f>8882030</f>
        <v>8882030.0</v>
      </c>
      <c r="V7" s="32" t="n">
        <f>30178022400</f>
        <v>3.01780224E10</v>
      </c>
      <c r="W7" s="32" t="n">
        <f>23319799250</f>
        <v>2.331979925E10</v>
      </c>
      <c r="X7" s="36" t="n">
        <f>19</f>
        <v>19.0</v>
      </c>
    </row>
    <row r="8">
      <c r="A8" s="27" t="s">
        <v>42</v>
      </c>
      <c r="B8" s="27" t="s">
        <v>51</v>
      </c>
      <c r="C8" s="27" t="s">
        <v>52</v>
      </c>
      <c r="D8" s="27" t="s">
        <v>53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2463.5</f>
        <v>2463.5</v>
      </c>
      <c r="L8" s="34" t="s">
        <v>48</v>
      </c>
      <c r="M8" s="33" t="n">
        <f>2684.5</f>
        <v>2684.5</v>
      </c>
      <c r="N8" s="34" t="s">
        <v>49</v>
      </c>
      <c r="O8" s="33" t="n">
        <f>2441.5</f>
        <v>2441.5</v>
      </c>
      <c r="P8" s="34" t="s">
        <v>48</v>
      </c>
      <c r="Q8" s="33" t="n">
        <f>2670</f>
        <v>2670.0</v>
      </c>
      <c r="R8" s="34" t="s">
        <v>50</v>
      </c>
      <c r="S8" s="35" t="n">
        <f>2608.29</f>
        <v>2608.29</v>
      </c>
      <c r="T8" s="32" t="n">
        <f>58073600</f>
        <v>5.80736E7</v>
      </c>
      <c r="U8" s="32" t="n">
        <f>9359250</f>
        <v>9359250.0</v>
      </c>
      <c r="V8" s="32" t="n">
        <f>151899163928</f>
        <v>1.51899163928E11</v>
      </c>
      <c r="W8" s="32" t="n">
        <f>24694546963</f>
        <v>2.4694546963E10</v>
      </c>
      <c r="X8" s="36" t="n">
        <f>19</f>
        <v>19.0</v>
      </c>
    </row>
    <row r="9">
      <c r="A9" s="27" t="s">
        <v>42</v>
      </c>
      <c r="B9" s="27" t="s">
        <v>54</v>
      </c>
      <c r="C9" s="27" t="s">
        <v>55</v>
      </c>
      <c r="D9" s="27" t="s">
        <v>56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1.0</v>
      </c>
      <c r="K9" s="33" t="n">
        <f>2434</f>
        <v>2434.0</v>
      </c>
      <c r="L9" s="34" t="s">
        <v>48</v>
      </c>
      <c r="M9" s="33" t="n">
        <f>2654</f>
        <v>2654.0</v>
      </c>
      <c r="N9" s="34" t="s">
        <v>49</v>
      </c>
      <c r="O9" s="33" t="n">
        <f>2414</f>
        <v>2414.0</v>
      </c>
      <c r="P9" s="34" t="s">
        <v>48</v>
      </c>
      <c r="Q9" s="33" t="n">
        <f>2637</f>
        <v>2637.0</v>
      </c>
      <c r="R9" s="34" t="s">
        <v>50</v>
      </c>
      <c r="S9" s="35" t="n">
        <f>2578.58</f>
        <v>2578.58</v>
      </c>
      <c r="T9" s="32" t="n">
        <f>10503612</f>
        <v>1.0503612E7</v>
      </c>
      <c r="U9" s="32" t="n">
        <f>4234600</f>
        <v>4234600.0</v>
      </c>
      <c r="V9" s="32" t="n">
        <f>26896394743</f>
        <v>2.6896394743E10</v>
      </c>
      <c r="W9" s="32" t="n">
        <f>10729558940</f>
        <v>1.072955894E10</v>
      </c>
      <c r="X9" s="36" t="n">
        <f>19</f>
        <v>19.0</v>
      </c>
    </row>
    <row r="10">
      <c r="A10" s="27" t="s">
        <v>42</v>
      </c>
      <c r="B10" s="27" t="s">
        <v>57</v>
      </c>
      <c r="C10" s="27" t="s">
        <v>58</v>
      </c>
      <c r="D10" s="27" t="s">
        <v>59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36190</f>
        <v>36190.0</v>
      </c>
      <c r="L10" s="34" t="s">
        <v>48</v>
      </c>
      <c r="M10" s="33" t="n">
        <f>38000</f>
        <v>38000.0</v>
      </c>
      <c r="N10" s="34" t="s">
        <v>60</v>
      </c>
      <c r="O10" s="33" t="n">
        <f>35100</f>
        <v>35100.0</v>
      </c>
      <c r="P10" s="34" t="s">
        <v>61</v>
      </c>
      <c r="Q10" s="33" t="n">
        <f>36640</f>
        <v>36640.0</v>
      </c>
      <c r="R10" s="34" t="s">
        <v>50</v>
      </c>
      <c r="S10" s="35" t="n">
        <f>36163.68</f>
        <v>36163.68</v>
      </c>
      <c r="T10" s="32" t="n">
        <f>5106</f>
        <v>5106.0</v>
      </c>
      <c r="U10" s="32" t="str">
        <f>"－"</f>
        <v>－</v>
      </c>
      <c r="V10" s="32" t="n">
        <f>186168740</f>
        <v>1.8616874E8</v>
      </c>
      <c r="W10" s="32" t="str">
        <f>"－"</f>
        <v>－</v>
      </c>
      <c r="X10" s="36" t="n">
        <f>19</f>
        <v>19.0</v>
      </c>
    </row>
    <row r="11">
      <c r="A11" s="27" t="s">
        <v>42</v>
      </c>
      <c r="B11" s="27" t="s">
        <v>62</v>
      </c>
      <c r="C11" s="27" t="s">
        <v>63</v>
      </c>
      <c r="D11" s="27" t="s">
        <v>64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1191</f>
        <v>1191.0</v>
      </c>
      <c r="L11" s="34" t="s">
        <v>48</v>
      </c>
      <c r="M11" s="33" t="n">
        <f>1341</f>
        <v>1341.0</v>
      </c>
      <c r="N11" s="34" t="s">
        <v>49</v>
      </c>
      <c r="O11" s="33" t="n">
        <f>1177</f>
        <v>1177.0</v>
      </c>
      <c r="P11" s="34" t="s">
        <v>48</v>
      </c>
      <c r="Q11" s="33" t="n">
        <f>1315</f>
        <v>1315.0</v>
      </c>
      <c r="R11" s="34" t="s">
        <v>50</v>
      </c>
      <c r="S11" s="35" t="n">
        <f>1282.58</f>
        <v>1282.58</v>
      </c>
      <c r="T11" s="32" t="n">
        <f>554640</f>
        <v>554640.0</v>
      </c>
      <c r="U11" s="32" t="n">
        <f>110810</f>
        <v>110810.0</v>
      </c>
      <c r="V11" s="32" t="n">
        <f>714347400</f>
        <v>7.143474E8</v>
      </c>
      <c r="W11" s="32" t="n">
        <f>140861790</f>
        <v>1.4086179E8</v>
      </c>
      <c r="X11" s="36" t="n">
        <f>19</f>
        <v>19.0</v>
      </c>
    </row>
    <row r="12">
      <c r="A12" s="27" t="s">
        <v>42</v>
      </c>
      <c r="B12" s="27" t="s">
        <v>65</v>
      </c>
      <c r="C12" s="27" t="s">
        <v>66</v>
      </c>
      <c r="D12" s="27" t="s">
        <v>67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1000.0</v>
      </c>
      <c r="K12" s="33" t="n">
        <f>406.3</f>
        <v>406.3</v>
      </c>
      <c r="L12" s="34" t="s">
        <v>48</v>
      </c>
      <c r="M12" s="33" t="n">
        <f>455</f>
        <v>455.0</v>
      </c>
      <c r="N12" s="34" t="s">
        <v>50</v>
      </c>
      <c r="O12" s="33" t="n">
        <f>406.3</f>
        <v>406.3</v>
      </c>
      <c r="P12" s="34" t="s">
        <v>48</v>
      </c>
      <c r="Q12" s="33" t="n">
        <f>455</f>
        <v>455.0</v>
      </c>
      <c r="R12" s="34" t="s">
        <v>50</v>
      </c>
      <c r="S12" s="35" t="n">
        <f>437.33</f>
        <v>437.33</v>
      </c>
      <c r="T12" s="32" t="n">
        <f>124000</f>
        <v>124000.0</v>
      </c>
      <c r="U12" s="32" t="str">
        <f>"－"</f>
        <v>－</v>
      </c>
      <c r="V12" s="32" t="n">
        <f>54351800</f>
        <v>5.43518E7</v>
      </c>
      <c r="W12" s="32" t="str">
        <f>"－"</f>
        <v>－</v>
      </c>
      <c r="X12" s="36" t="n">
        <f>19</f>
        <v>19.0</v>
      </c>
    </row>
    <row r="13">
      <c r="A13" s="27" t="s">
        <v>42</v>
      </c>
      <c r="B13" s="27" t="s">
        <v>68</v>
      </c>
      <c r="C13" s="27" t="s">
        <v>69</v>
      </c>
      <c r="D13" s="27" t="s">
        <v>70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1.0</v>
      </c>
      <c r="K13" s="33" t="n">
        <f>34110</f>
        <v>34110.0</v>
      </c>
      <c r="L13" s="34" t="s">
        <v>48</v>
      </c>
      <c r="M13" s="33" t="n">
        <f>38220</f>
        <v>38220.0</v>
      </c>
      <c r="N13" s="34" t="s">
        <v>49</v>
      </c>
      <c r="O13" s="33" t="n">
        <f>33780</f>
        <v>33780.0</v>
      </c>
      <c r="P13" s="34" t="s">
        <v>48</v>
      </c>
      <c r="Q13" s="33" t="n">
        <f>37480</f>
        <v>37480.0</v>
      </c>
      <c r="R13" s="34" t="s">
        <v>50</v>
      </c>
      <c r="S13" s="35" t="n">
        <f>36635.26</f>
        <v>36635.26</v>
      </c>
      <c r="T13" s="32" t="n">
        <f>3755422</f>
        <v>3755422.0</v>
      </c>
      <c r="U13" s="32" t="n">
        <f>2614867</f>
        <v>2614867.0</v>
      </c>
      <c r="V13" s="32" t="n">
        <f>138097440771</f>
        <v>1.38097440771E11</v>
      </c>
      <c r="W13" s="32" t="n">
        <f>96563992681</f>
        <v>9.6563992681E10</v>
      </c>
      <c r="X13" s="36" t="n">
        <f>19</f>
        <v>19.0</v>
      </c>
    </row>
    <row r="14">
      <c r="A14" s="27" t="s">
        <v>42</v>
      </c>
      <c r="B14" s="27" t="s">
        <v>71</v>
      </c>
      <c r="C14" s="27" t="s">
        <v>72</v>
      </c>
      <c r="D14" s="27" t="s">
        <v>73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1.0</v>
      </c>
      <c r="K14" s="33" t="n">
        <f>34240</f>
        <v>34240.0</v>
      </c>
      <c r="L14" s="34" t="s">
        <v>48</v>
      </c>
      <c r="M14" s="33" t="n">
        <f>38370</f>
        <v>38370.0</v>
      </c>
      <c r="N14" s="34" t="s">
        <v>49</v>
      </c>
      <c r="O14" s="33" t="n">
        <f>33910</f>
        <v>33910.0</v>
      </c>
      <c r="P14" s="34" t="s">
        <v>48</v>
      </c>
      <c r="Q14" s="33" t="n">
        <f>37640</f>
        <v>37640.0</v>
      </c>
      <c r="R14" s="34" t="s">
        <v>50</v>
      </c>
      <c r="S14" s="35" t="n">
        <f>36783.16</f>
        <v>36783.16</v>
      </c>
      <c r="T14" s="32" t="n">
        <f>9256663</f>
        <v>9256663.0</v>
      </c>
      <c r="U14" s="32" t="n">
        <f>931352</f>
        <v>931352.0</v>
      </c>
      <c r="V14" s="32" t="n">
        <f>341024426431</f>
        <v>3.41024426431E11</v>
      </c>
      <c r="W14" s="32" t="n">
        <f>34698884681</f>
        <v>3.4698884681E10</v>
      </c>
      <c r="X14" s="36" t="n">
        <f>19</f>
        <v>19.0</v>
      </c>
    </row>
    <row r="15">
      <c r="A15" s="27" t="s">
        <v>42</v>
      </c>
      <c r="B15" s="27" t="s">
        <v>74</v>
      </c>
      <c r="C15" s="27" t="s">
        <v>75</v>
      </c>
      <c r="D15" s="27" t="s">
        <v>76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10.0</v>
      </c>
      <c r="K15" s="33" t="n">
        <f>6897</f>
        <v>6897.0</v>
      </c>
      <c r="L15" s="34" t="s">
        <v>48</v>
      </c>
      <c r="M15" s="33" t="n">
        <f>7800</f>
        <v>7800.0</v>
      </c>
      <c r="N15" s="34" t="s">
        <v>60</v>
      </c>
      <c r="O15" s="33" t="n">
        <f>6667</f>
        <v>6667.0</v>
      </c>
      <c r="P15" s="34" t="s">
        <v>77</v>
      </c>
      <c r="Q15" s="33" t="n">
        <f>6776</f>
        <v>6776.0</v>
      </c>
      <c r="R15" s="34" t="s">
        <v>50</v>
      </c>
      <c r="S15" s="35" t="n">
        <f>6866.42</f>
        <v>6866.42</v>
      </c>
      <c r="T15" s="32" t="n">
        <f>30160</f>
        <v>30160.0</v>
      </c>
      <c r="U15" s="32" t="str">
        <f>"－"</f>
        <v>－</v>
      </c>
      <c r="V15" s="32" t="n">
        <f>210131480</f>
        <v>2.1013148E8</v>
      </c>
      <c r="W15" s="32" t="str">
        <f>"－"</f>
        <v>－</v>
      </c>
      <c r="X15" s="36" t="n">
        <f>19</f>
        <v>19.0</v>
      </c>
    </row>
    <row r="16">
      <c r="A16" s="27" t="s">
        <v>42</v>
      </c>
      <c r="B16" s="27" t="s">
        <v>78</v>
      </c>
      <c r="C16" s="27" t="s">
        <v>79</v>
      </c>
      <c r="D16" s="27" t="s">
        <v>80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100.0</v>
      </c>
      <c r="K16" s="33" t="str">
        <f>"－"</f>
        <v>－</v>
      </c>
      <c r="L16" s="34"/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5" t="str">
        <f>"－"</f>
        <v>－</v>
      </c>
      <c r="T16" s="32" t="str">
        <f>"－"</f>
        <v>－</v>
      </c>
      <c r="U16" s="32" t="str">
        <f>"－"</f>
        <v>－</v>
      </c>
      <c r="V16" s="32" t="str">
        <f>"－"</f>
        <v>－</v>
      </c>
      <c r="W16" s="32" t="str">
        <f>"－"</f>
        <v>－</v>
      </c>
      <c r="X16" s="36" t="str">
        <f>"－"</f>
        <v>－</v>
      </c>
    </row>
    <row r="17">
      <c r="A17" s="27" t="s">
        <v>42</v>
      </c>
      <c r="B17" s="27" t="s">
        <v>81</v>
      </c>
      <c r="C17" s="27" t="s">
        <v>82</v>
      </c>
      <c r="D17" s="27" t="s">
        <v>83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100.0</v>
      </c>
      <c r="K17" s="33" t="n">
        <f>249.7</f>
        <v>249.7</v>
      </c>
      <c r="L17" s="34" t="s">
        <v>48</v>
      </c>
      <c r="M17" s="33" t="n">
        <f>252</f>
        <v>252.0</v>
      </c>
      <c r="N17" s="34" t="s">
        <v>77</v>
      </c>
      <c r="O17" s="33" t="n">
        <f>241</f>
        <v>241.0</v>
      </c>
      <c r="P17" s="34" t="s">
        <v>60</v>
      </c>
      <c r="Q17" s="33" t="n">
        <f>247.9</f>
        <v>247.9</v>
      </c>
      <c r="R17" s="34" t="s">
        <v>50</v>
      </c>
      <c r="S17" s="35" t="n">
        <f>247.5</f>
        <v>247.5</v>
      </c>
      <c r="T17" s="32" t="n">
        <f>708400</f>
        <v>708400.0</v>
      </c>
      <c r="U17" s="32" t="n">
        <f>3700</f>
        <v>3700.0</v>
      </c>
      <c r="V17" s="32" t="n">
        <f>175381440</f>
        <v>1.7538144E8</v>
      </c>
      <c r="W17" s="32" t="n">
        <f>915110</f>
        <v>915110.0</v>
      </c>
      <c r="X17" s="36" t="n">
        <f>19</f>
        <v>19.0</v>
      </c>
    </row>
    <row r="18">
      <c r="A18" s="27" t="s">
        <v>42</v>
      </c>
      <c r="B18" s="27" t="s">
        <v>84</v>
      </c>
      <c r="C18" s="27" t="s">
        <v>85</v>
      </c>
      <c r="D18" s="27" t="s">
        <v>86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1.0</v>
      </c>
      <c r="K18" s="33" t="n">
        <f>27105</f>
        <v>27105.0</v>
      </c>
      <c r="L18" s="34" t="s">
        <v>48</v>
      </c>
      <c r="M18" s="33" t="n">
        <f>27895</f>
        <v>27895.0</v>
      </c>
      <c r="N18" s="34" t="s">
        <v>87</v>
      </c>
      <c r="O18" s="33" t="n">
        <f>27035</f>
        <v>27035.0</v>
      </c>
      <c r="P18" s="34" t="s">
        <v>88</v>
      </c>
      <c r="Q18" s="33" t="n">
        <f>27850</f>
        <v>27850.0</v>
      </c>
      <c r="R18" s="34" t="s">
        <v>50</v>
      </c>
      <c r="S18" s="35" t="n">
        <f>27587.37</f>
        <v>27587.37</v>
      </c>
      <c r="T18" s="32" t="n">
        <f>89561</f>
        <v>89561.0</v>
      </c>
      <c r="U18" s="32" t="str">
        <f>"－"</f>
        <v>－</v>
      </c>
      <c r="V18" s="32" t="n">
        <f>2466847210</f>
        <v>2.46684721E9</v>
      </c>
      <c r="W18" s="32" t="str">
        <f>"－"</f>
        <v>－</v>
      </c>
      <c r="X18" s="36" t="n">
        <f>19</f>
        <v>19.0</v>
      </c>
    </row>
    <row r="19">
      <c r="A19" s="27" t="s">
        <v>42</v>
      </c>
      <c r="B19" s="27" t="s">
        <v>89</v>
      </c>
      <c r="C19" s="27" t="s">
        <v>90</v>
      </c>
      <c r="D19" s="27" t="s">
        <v>91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10.0</v>
      </c>
      <c r="K19" s="33" t="n">
        <f>7189</f>
        <v>7189.0</v>
      </c>
      <c r="L19" s="34" t="s">
        <v>48</v>
      </c>
      <c r="M19" s="33" t="n">
        <f>7401</f>
        <v>7401.0</v>
      </c>
      <c r="N19" s="34" t="s">
        <v>87</v>
      </c>
      <c r="O19" s="33" t="n">
        <f>7176</f>
        <v>7176.0</v>
      </c>
      <c r="P19" s="34" t="s">
        <v>48</v>
      </c>
      <c r="Q19" s="33" t="n">
        <f>7381</f>
        <v>7381.0</v>
      </c>
      <c r="R19" s="34" t="s">
        <v>50</v>
      </c>
      <c r="S19" s="35" t="n">
        <f>7323.84</f>
        <v>7323.84</v>
      </c>
      <c r="T19" s="32" t="n">
        <f>215470</f>
        <v>215470.0</v>
      </c>
      <c r="U19" s="32" t="n">
        <f>10110</f>
        <v>10110.0</v>
      </c>
      <c r="V19" s="32" t="n">
        <f>1575971410</f>
        <v>1.57597141E9</v>
      </c>
      <c r="W19" s="32" t="n">
        <f>74441580</f>
        <v>7.444158E7</v>
      </c>
      <c r="X19" s="36" t="n">
        <f>19</f>
        <v>19.0</v>
      </c>
    </row>
    <row r="20">
      <c r="A20" s="27" t="s">
        <v>42</v>
      </c>
      <c r="B20" s="27" t="s">
        <v>92</v>
      </c>
      <c r="C20" s="27" t="s">
        <v>93</v>
      </c>
      <c r="D20" s="27" t="s">
        <v>94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1.0</v>
      </c>
      <c r="K20" s="33" t="n">
        <f>34410</f>
        <v>34410.0</v>
      </c>
      <c r="L20" s="34" t="s">
        <v>48</v>
      </c>
      <c r="M20" s="33" t="n">
        <f>38560</f>
        <v>38560.0</v>
      </c>
      <c r="N20" s="34" t="s">
        <v>49</v>
      </c>
      <c r="O20" s="33" t="n">
        <f>34060</f>
        <v>34060.0</v>
      </c>
      <c r="P20" s="34" t="s">
        <v>48</v>
      </c>
      <c r="Q20" s="33" t="n">
        <f>37890</f>
        <v>37890.0</v>
      </c>
      <c r="R20" s="34" t="s">
        <v>50</v>
      </c>
      <c r="S20" s="35" t="n">
        <f>36969.47</f>
        <v>36969.47</v>
      </c>
      <c r="T20" s="32" t="n">
        <f>1162770</f>
        <v>1162770.0</v>
      </c>
      <c r="U20" s="32" t="n">
        <f>129218</f>
        <v>129218.0</v>
      </c>
      <c r="V20" s="32" t="n">
        <f>42500639199</f>
        <v>4.2500639199E10</v>
      </c>
      <c r="W20" s="32" t="n">
        <f>4526947479</f>
        <v>4.526947479E9</v>
      </c>
      <c r="X20" s="36" t="n">
        <f>19</f>
        <v>19.0</v>
      </c>
    </row>
    <row r="21">
      <c r="A21" s="27" t="s">
        <v>42</v>
      </c>
      <c r="B21" s="27" t="s">
        <v>95</v>
      </c>
      <c r="C21" s="27" t="s">
        <v>96</v>
      </c>
      <c r="D21" s="27" t="s">
        <v>97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34300</f>
        <v>34300.0</v>
      </c>
      <c r="L21" s="34" t="s">
        <v>48</v>
      </c>
      <c r="M21" s="33" t="n">
        <f>38400</f>
        <v>38400.0</v>
      </c>
      <c r="N21" s="34" t="s">
        <v>49</v>
      </c>
      <c r="O21" s="33" t="n">
        <f>33950</f>
        <v>33950.0</v>
      </c>
      <c r="P21" s="34" t="s">
        <v>48</v>
      </c>
      <c r="Q21" s="33" t="n">
        <f>37670</f>
        <v>37670.0</v>
      </c>
      <c r="R21" s="34" t="s">
        <v>50</v>
      </c>
      <c r="S21" s="35" t="n">
        <f>36821.58</f>
        <v>36821.58</v>
      </c>
      <c r="T21" s="32" t="n">
        <f>972673</f>
        <v>972673.0</v>
      </c>
      <c r="U21" s="32" t="n">
        <f>193221</f>
        <v>193221.0</v>
      </c>
      <c r="V21" s="32" t="n">
        <f>35570462575</f>
        <v>3.5570462575E10</v>
      </c>
      <c r="W21" s="32" t="n">
        <f>7099316585</f>
        <v>7.099316585E9</v>
      </c>
      <c r="X21" s="36" t="n">
        <f>19</f>
        <v>19.0</v>
      </c>
    </row>
    <row r="22">
      <c r="A22" s="27" t="s">
        <v>42</v>
      </c>
      <c r="B22" s="27" t="s">
        <v>98</v>
      </c>
      <c r="C22" s="27" t="s">
        <v>99</v>
      </c>
      <c r="D22" s="27" t="s">
        <v>100</v>
      </c>
      <c r="E22" s="28" t="s">
        <v>101</v>
      </c>
      <c r="F22" s="29" t="s">
        <v>102</v>
      </c>
      <c r="G22" s="30" t="s">
        <v>103</v>
      </c>
      <c r="H22" s="31"/>
      <c r="I22" s="31" t="s">
        <v>47</v>
      </c>
      <c r="J22" s="32" t="n">
        <v>1.0</v>
      </c>
      <c r="K22" s="33" t="n">
        <f>1003</f>
        <v>1003.0</v>
      </c>
      <c r="L22" s="34" t="s">
        <v>50</v>
      </c>
      <c r="M22" s="33" t="n">
        <f>1005</f>
        <v>1005.0</v>
      </c>
      <c r="N22" s="34" t="s">
        <v>50</v>
      </c>
      <c r="O22" s="33" t="n">
        <f>999</f>
        <v>999.0</v>
      </c>
      <c r="P22" s="34" t="s">
        <v>50</v>
      </c>
      <c r="Q22" s="33" t="n">
        <f>1003</f>
        <v>1003.0</v>
      </c>
      <c r="R22" s="34" t="s">
        <v>50</v>
      </c>
      <c r="S22" s="35" t="n">
        <f>1003</f>
        <v>1003.0</v>
      </c>
      <c r="T22" s="32" t="n">
        <f>8802</f>
        <v>8802.0</v>
      </c>
      <c r="U22" s="32" t="str">
        <f>"－"</f>
        <v>－</v>
      </c>
      <c r="V22" s="32" t="n">
        <f>8817419</f>
        <v>8817419.0</v>
      </c>
      <c r="W22" s="32" t="str">
        <f>"－"</f>
        <v>－</v>
      </c>
      <c r="X22" s="36" t="n">
        <f>1</f>
        <v>1.0</v>
      </c>
    </row>
    <row r="23">
      <c r="A23" s="27" t="s">
        <v>42</v>
      </c>
      <c r="B23" s="27" t="s">
        <v>104</v>
      </c>
      <c r="C23" s="27" t="s">
        <v>105</v>
      </c>
      <c r="D23" s="27" t="s">
        <v>106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1956.5</f>
        <v>1956.5</v>
      </c>
      <c r="L23" s="34" t="s">
        <v>48</v>
      </c>
      <c r="M23" s="33" t="n">
        <f>1992.5</f>
        <v>1992.5</v>
      </c>
      <c r="N23" s="34" t="s">
        <v>49</v>
      </c>
      <c r="O23" s="33" t="n">
        <f>1933.5</f>
        <v>1933.5</v>
      </c>
      <c r="P23" s="34" t="s">
        <v>48</v>
      </c>
      <c r="Q23" s="33" t="n">
        <f>1953</f>
        <v>1953.0</v>
      </c>
      <c r="R23" s="34" t="s">
        <v>50</v>
      </c>
      <c r="S23" s="35" t="n">
        <f>1963.84</f>
        <v>1963.84</v>
      </c>
      <c r="T23" s="32" t="n">
        <f>8669670</f>
        <v>8669670.0</v>
      </c>
      <c r="U23" s="32" t="n">
        <f>2272370</f>
        <v>2272370.0</v>
      </c>
      <c r="V23" s="32" t="n">
        <f>16998865926</f>
        <v>1.6998865926E10</v>
      </c>
      <c r="W23" s="32" t="n">
        <f>4439962901</f>
        <v>4.439962901E9</v>
      </c>
      <c r="X23" s="36" t="n">
        <f>19</f>
        <v>19.0</v>
      </c>
    </row>
    <row r="24">
      <c r="A24" s="27" t="s">
        <v>42</v>
      </c>
      <c r="B24" s="27" t="s">
        <v>107</v>
      </c>
      <c r="C24" s="27" t="s">
        <v>108</v>
      </c>
      <c r="D24" s="27" t="s">
        <v>109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100.0</v>
      </c>
      <c r="K24" s="33" t="n">
        <f>1830</f>
        <v>1830.0</v>
      </c>
      <c r="L24" s="34" t="s">
        <v>48</v>
      </c>
      <c r="M24" s="33" t="n">
        <f>1865</f>
        <v>1865.0</v>
      </c>
      <c r="N24" s="34" t="s">
        <v>77</v>
      </c>
      <c r="O24" s="33" t="n">
        <f>1812</f>
        <v>1812.0</v>
      </c>
      <c r="P24" s="34" t="s">
        <v>48</v>
      </c>
      <c r="Q24" s="33" t="n">
        <f>1828</f>
        <v>1828.0</v>
      </c>
      <c r="R24" s="34" t="s">
        <v>50</v>
      </c>
      <c r="S24" s="35" t="n">
        <f>1839.26</f>
        <v>1839.26</v>
      </c>
      <c r="T24" s="32" t="n">
        <f>4861000</f>
        <v>4861000.0</v>
      </c>
      <c r="U24" s="32" t="n">
        <f>457200</f>
        <v>457200.0</v>
      </c>
      <c r="V24" s="32" t="n">
        <f>8953214523</f>
        <v>8.953214523E9</v>
      </c>
      <c r="W24" s="32" t="n">
        <f>844180173</f>
        <v>8.44180173E8</v>
      </c>
      <c r="X24" s="36" t="n">
        <f>19</f>
        <v>19.0</v>
      </c>
    </row>
    <row r="25">
      <c r="A25" s="27" t="s">
        <v>42</v>
      </c>
      <c r="B25" s="27" t="s">
        <v>110</v>
      </c>
      <c r="C25" s="27" t="s">
        <v>111</v>
      </c>
      <c r="D25" s="27" t="s">
        <v>112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1.0</v>
      </c>
      <c r="K25" s="33" t="n">
        <f>34330</f>
        <v>34330.0</v>
      </c>
      <c r="L25" s="34" t="s">
        <v>48</v>
      </c>
      <c r="M25" s="33" t="n">
        <f>38170</f>
        <v>38170.0</v>
      </c>
      <c r="N25" s="34" t="s">
        <v>49</v>
      </c>
      <c r="O25" s="33" t="n">
        <f>34000</f>
        <v>34000.0</v>
      </c>
      <c r="P25" s="34" t="s">
        <v>48</v>
      </c>
      <c r="Q25" s="33" t="n">
        <f>37440</f>
        <v>37440.0</v>
      </c>
      <c r="R25" s="34" t="s">
        <v>50</v>
      </c>
      <c r="S25" s="35" t="n">
        <f>36686.32</f>
        <v>36686.32</v>
      </c>
      <c r="T25" s="32" t="n">
        <f>1437102</f>
        <v>1437102.0</v>
      </c>
      <c r="U25" s="32" t="n">
        <f>854820</f>
        <v>854820.0</v>
      </c>
      <c r="V25" s="32" t="n">
        <f>53206753164</f>
        <v>5.3206753164E10</v>
      </c>
      <c r="W25" s="32" t="n">
        <f>31898592264</f>
        <v>3.1898592264E10</v>
      </c>
      <c r="X25" s="36" t="n">
        <f>19</f>
        <v>19.0</v>
      </c>
    </row>
    <row r="26">
      <c r="A26" s="27" t="s">
        <v>42</v>
      </c>
      <c r="B26" s="27" t="s">
        <v>113</v>
      </c>
      <c r="C26" s="27" t="s">
        <v>114</v>
      </c>
      <c r="D26" s="27" t="s">
        <v>115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2462</f>
        <v>2462.0</v>
      </c>
      <c r="L26" s="34" t="s">
        <v>48</v>
      </c>
      <c r="M26" s="33" t="n">
        <f>2655</f>
        <v>2655.0</v>
      </c>
      <c r="N26" s="34" t="s">
        <v>49</v>
      </c>
      <c r="O26" s="33" t="n">
        <f>2439</f>
        <v>2439.0</v>
      </c>
      <c r="P26" s="34" t="s">
        <v>48</v>
      </c>
      <c r="Q26" s="33" t="n">
        <f>2639</f>
        <v>2639.0</v>
      </c>
      <c r="R26" s="34" t="s">
        <v>50</v>
      </c>
      <c r="S26" s="35" t="n">
        <f>2588.47</f>
        <v>2588.47</v>
      </c>
      <c r="T26" s="32" t="n">
        <f>3300980</f>
        <v>3300980.0</v>
      </c>
      <c r="U26" s="32" t="n">
        <f>104900</f>
        <v>104900.0</v>
      </c>
      <c r="V26" s="32" t="n">
        <f>8518983590</f>
        <v>8.51898359E9</v>
      </c>
      <c r="W26" s="32" t="n">
        <f>272101500</f>
        <v>2.721015E8</v>
      </c>
      <c r="X26" s="36" t="n">
        <f>19</f>
        <v>19.0</v>
      </c>
    </row>
    <row r="27">
      <c r="A27" s="27" t="s">
        <v>42</v>
      </c>
      <c r="B27" s="27" t="s">
        <v>116</v>
      </c>
      <c r="C27" s="27" t="s">
        <v>117</v>
      </c>
      <c r="D27" s="27" t="s">
        <v>118</v>
      </c>
      <c r="E27" s="28" t="s">
        <v>46</v>
      </c>
      <c r="F27" s="29" t="s">
        <v>46</v>
      </c>
      <c r="G27" s="30" t="s">
        <v>46</v>
      </c>
      <c r="H27" s="31"/>
      <c r="I27" s="31" t="s">
        <v>47</v>
      </c>
      <c r="J27" s="32" t="n">
        <v>1.0</v>
      </c>
      <c r="K27" s="33" t="n">
        <f>15465</f>
        <v>15465.0</v>
      </c>
      <c r="L27" s="34" t="s">
        <v>48</v>
      </c>
      <c r="M27" s="33" t="n">
        <f>15945</f>
        <v>15945.0</v>
      </c>
      <c r="N27" s="34" t="s">
        <v>61</v>
      </c>
      <c r="O27" s="33" t="n">
        <f>15465</f>
        <v>15465.0</v>
      </c>
      <c r="P27" s="34" t="s">
        <v>48</v>
      </c>
      <c r="Q27" s="33" t="n">
        <f>15605</f>
        <v>15605.0</v>
      </c>
      <c r="R27" s="34" t="s">
        <v>50</v>
      </c>
      <c r="S27" s="35" t="n">
        <f>15712.78</f>
        <v>15712.78</v>
      </c>
      <c r="T27" s="32" t="n">
        <f>1142</f>
        <v>1142.0</v>
      </c>
      <c r="U27" s="32" t="str">
        <f>"－"</f>
        <v>－</v>
      </c>
      <c r="V27" s="32" t="n">
        <f>17947130</f>
        <v>1.794713E7</v>
      </c>
      <c r="W27" s="32" t="str">
        <f>"－"</f>
        <v>－</v>
      </c>
      <c r="X27" s="36" t="n">
        <f>18</f>
        <v>18.0</v>
      </c>
    </row>
    <row r="28">
      <c r="A28" s="27" t="s">
        <v>42</v>
      </c>
      <c r="B28" s="27" t="s">
        <v>119</v>
      </c>
      <c r="C28" s="27" t="s">
        <v>120</v>
      </c>
      <c r="D28" s="27" t="s">
        <v>121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10.0</v>
      </c>
      <c r="K28" s="33" t="n">
        <f>546.6</f>
        <v>546.6</v>
      </c>
      <c r="L28" s="34" t="s">
        <v>48</v>
      </c>
      <c r="M28" s="33" t="n">
        <f>556</f>
        <v>556.0</v>
      </c>
      <c r="N28" s="34" t="s">
        <v>48</v>
      </c>
      <c r="O28" s="33" t="n">
        <f>458.1</f>
        <v>458.1</v>
      </c>
      <c r="P28" s="34" t="s">
        <v>49</v>
      </c>
      <c r="Q28" s="33" t="n">
        <f>463.1</f>
        <v>463.1</v>
      </c>
      <c r="R28" s="34" t="s">
        <v>50</v>
      </c>
      <c r="S28" s="35" t="n">
        <f>486.26</f>
        <v>486.26</v>
      </c>
      <c r="T28" s="32" t="n">
        <f>29415850</f>
        <v>2.941585E7</v>
      </c>
      <c r="U28" s="32" t="n">
        <f>891600</f>
        <v>891600.0</v>
      </c>
      <c r="V28" s="32" t="n">
        <f>14312494340</f>
        <v>1.431249434E10</v>
      </c>
      <c r="W28" s="32" t="n">
        <f>418210980</f>
        <v>4.1821098E8</v>
      </c>
      <c r="X28" s="36" t="n">
        <f>19</f>
        <v>19.0</v>
      </c>
    </row>
    <row r="29">
      <c r="A29" s="27" t="s">
        <v>42</v>
      </c>
      <c r="B29" s="27" t="s">
        <v>122</v>
      </c>
      <c r="C29" s="27" t="s">
        <v>123</v>
      </c>
      <c r="D29" s="27" t="s">
        <v>124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214</f>
        <v>214.0</v>
      </c>
      <c r="L29" s="34" t="s">
        <v>48</v>
      </c>
      <c r="M29" s="33" t="n">
        <f>218</f>
        <v>218.0</v>
      </c>
      <c r="N29" s="34" t="s">
        <v>48</v>
      </c>
      <c r="O29" s="33" t="n">
        <f>169</f>
        <v>169.0</v>
      </c>
      <c r="P29" s="34" t="s">
        <v>49</v>
      </c>
      <c r="Q29" s="33" t="n">
        <f>175</f>
        <v>175.0</v>
      </c>
      <c r="R29" s="34" t="s">
        <v>50</v>
      </c>
      <c r="S29" s="35" t="n">
        <f>184.74</f>
        <v>184.74</v>
      </c>
      <c r="T29" s="32" t="n">
        <f>1642511386</f>
        <v>1.642511386E9</v>
      </c>
      <c r="U29" s="32" t="n">
        <f>3879429</f>
        <v>3879429.0</v>
      </c>
      <c r="V29" s="32" t="n">
        <f>305634963713</f>
        <v>3.05634963713E11</v>
      </c>
      <c r="W29" s="32" t="n">
        <f>720773670</f>
        <v>7.2077367E8</v>
      </c>
      <c r="X29" s="36" t="n">
        <f>19</f>
        <v>19.0</v>
      </c>
    </row>
    <row r="30">
      <c r="A30" s="27" t="s">
        <v>42</v>
      </c>
      <c r="B30" s="27" t="s">
        <v>125</v>
      </c>
      <c r="C30" s="27" t="s">
        <v>126</v>
      </c>
      <c r="D30" s="27" t="s">
        <v>127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1.0</v>
      </c>
      <c r="K30" s="33" t="n">
        <f>37830</f>
        <v>37830.0</v>
      </c>
      <c r="L30" s="34" t="s">
        <v>48</v>
      </c>
      <c r="M30" s="33" t="n">
        <f>47710</f>
        <v>47710.0</v>
      </c>
      <c r="N30" s="34" t="s">
        <v>49</v>
      </c>
      <c r="O30" s="33" t="n">
        <f>37370</f>
        <v>37370.0</v>
      </c>
      <c r="P30" s="34" t="s">
        <v>48</v>
      </c>
      <c r="Q30" s="33" t="n">
        <f>45880</f>
        <v>45880.0</v>
      </c>
      <c r="R30" s="34" t="s">
        <v>50</v>
      </c>
      <c r="S30" s="35" t="n">
        <f>43910</f>
        <v>43910.0</v>
      </c>
      <c r="T30" s="32" t="n">
        <f>467822</f>
        <v>467822.0</v>
      </c>
      <c r="U30" s="32" t="n">
        <f>13</f>
        <v>13.0</v>
      </c>
      <c r="V30" s="32" t="n">
        <f>20345618090</f>
        <v>2.034561809E10</v>
      </c>
      <c r="W30" s="32" t="n">
        <f>553280</f>
        <v>553280.0</v>
      </c>
      <c r="X30" s="36" t="n">
        <f>19</f>
        <v>19.0</v>
      </c>
    </row>
    <row r="31">
      <c r="A31" s="27" t="s">
        <v>42</v>
      </c>
      <c r="B31" s="27" t="s">
        <v>128</v>
      </c>
      <c r="C31" s="27" t="s">
        <v>129</v>
      </c>
      <c r="D31" s="27" t="s">
        <v>130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10.0</v>
      </c>
      <c r="K31" s="33" t="n">
        <f>527.4</f>
        <v>527.4</v>
      </c>
      <c r="L31" s="34" t="s">
        <v>48</v>
      </c>
      <c r="M31" s="33" t="n">
        <f>532.7</f>
        <v>532.7</v>
      </c>
      <c r="N31" s="34" t="s">
        <v>48</v>
      </c>
      <c r="O31" s="33" t="n">
        <f>413.6</f>
        <v>413.6</v>
      </c>
      <c r="P31" s="34" t="s">
        <v>49</v>
      </c>
      <c r="Q31" s="33" t="n">
        <f>429.7</f>
        <v>429.7</v>
      </c>
      <c r="R31" s="34" t="s">
        <v>50</v>
      </c>
      <c r="S31" s="35" t="n">
        <f>452.24</f>
        <v>452.24</v>
      </c>
      <c r="T31" s="32" t="n">
        <f>552128140</f>
        <v>5.5212814E8</v>
      </c>
      <c r="U31" s="32" t="n">
        <f>1622470</f>
        <v>1622470.0</v>
      </c>
      <c r="V31" s="32" t="n">
        <f>249099488368</f>
        <v>2.49099488368E11</v>
      </c>
      <c r="W31" s="32" t="n">
        <f>716275921</f>
        <v>7.16275921E8</v>
      </c>
      <c r="X31" s="36" t="n">
        <f>19</f>
        <v>19.0</v>
      </c>
    </row>
    <row r="32">
      <c r="A32" s="27" t="s">
        <v>42</v>
      </c>
      <c r="B32" s="27" t="s">
        <v>131</v>
      </c>
      <c r="C32" s="27" t="s">
        <v>132</v>
      </c>
      <c r="D32" s="27" t="s">
        <v>133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1.0</v>
      </c>
      <c r="K32" s="33" t="n">
        <f>21935</f>
        <v>21935.0</v>
      </c>
      <c r="L32" s="34" t="s">
        <v>48</v>
      </c>
      <c r="M32" s="33" t="n">
        <f>24275</f>
        <v>24275.0</v>
      </c>
      <c r="N32" s="34" t="s">
        <v>87</v>
      </c>
      <c r="O32" s="33" t="n">
        <f>21745</f>
        <v>21745.0</v>
      </c>
      <c r="P32" s="34" t="s">
        <v>48</v>
      </c>
      <c r="Q32" s="33" t="n">
        <f>23745</f>
        <v>23745.0</v>
      </c>
      <c r="R32" s="34" t="s">
        <v>50</v>
      </c>
      <c r="S32" s="35" t="n">
        <f>23303.68</f>
        <v>23303.68</v>
      </c>
      <c r="T32" s="32" t="n">
        <f>42885</f>
        <v>42885.0</v>
      </c>
      <c r="U32" s="32" t="n">
        <f>6205</f>
        <v>6205.0</v>
      </c>
      <c r="V32" s="32" t="n">
        <f>1003301915</f>
        <v>1.003301915E9</v>
      </c>
      <c r="W32" s="32" t="n">
        <f>143408550</f>
        <v>1.4340855E8</v>
      </c>
      <c r="X32" s="36" t="n">
        <f>19</f>
        <v>19.0</v>
      </c>
    </row>
    <row r="33">
      <c r="A33" s="27" t="s">
        <v>42</v>
      </c>
      <c r="B33" s="27" t="s">
        <v>134</v>
      </c>
      <c r="C33" s="27" t="s">
        <v>135</v>
      </c>
      <c r="D33" s="27" t="s">
        <v>136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31430</f>
        <v>31430.0</v>
      </c>
      <c r="L33" s="34" t="s">
        <v>48</v>
      </c>
      <c r="M33" s="33" t="n">
        <f>39700</f>
        <v>39700.0</v>
      </c>
      <c r="N33" s="34" t="s">
        <v>49</v>
      </c>
      <c r="O33" s="33" t="n">
        <f>31070</f>
        <v>31070.0</v>
      </c>
      <c r="P33" s="34" t="s">
        <v>48</v>
      </c>
      <c r="Q33" s="33" t="n">
        <f>38160</f>
        <v>38160.0</v>
      </c>
      <c r="R33" s="34" t="s">
        <v>50</v>
      </c>
      <c r="S33" s="35" t="n">
        <f>36541.58</f>
        <v>36541.58</v>
      </c>
      <c r="T33" s="32" t="n">
        <f>1017760</f>
        <v>1017760.0</v>
      </c>
      <c r="U33" s="32" t="n">
        <f>31</f>
        <v>31.0</v>
      </c>
      <c r="V33" s="32" t="n">
        <f>37150240310</f>
        <v>3.715024031E10</v>
      </c>
      <c r="W33" s="32" t="n">
        <f>1093040</f>
        <v>1093040.0</v>
      </c>
      <c r="X33" s="36" t="n">
        <f>19</f>
        <v>19.0</v>
      </c>
    </row>
    <row r="34">
      <c r="A34" s="27" t="s">
        <v>42</v>
      </c>
      <c r="B34" s="27" t="s">
        <v>137</v>
      </c>
      <c r="C34" s="27" t="s">
        <v>138</v>
      </c>
      <c r="D34" s="27" t="s">
        <v>139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560</f>
        <v>560.0</v>
      </c>
      <c r="L34" s="34" t="s">
        <v>48</v>
      </c>
      <c r="M34" s="33" t="n">
        <f>567</f>
        <v>567.0</v>
      </c>
      <c r="N34" s="34" t="s">
        <v>48</v>
      </c>
      <c r="O34" s="33" t="n">
        <f>439</f>
        <v>439.0</v>
      </c>
      <c r="P34" s="34" t="s">
        <v>49</v>
      </c>
      <c r="Q34" s="33" t="n">
        <f>456</f>
        <v>456.0</v>
      </c>
      <c r="R34" s="34" t="s">
        <v>50</v>
      </c>
      <c r="S34" s="35" t="n">
        <f>480.42</f>
        <v>480.42</v>
      </c>
      <c r="T34" s="32" t="n">
        <f>39968798</f>
        <v>3.9968798E7</v>
      </c>
      <c r="U34" s="32" t="n">
        <f>530366</f>
        <v>530366.0</v>
      </c>
      <c r="V34" s="32" t="n">
        <f>19214103099</f>
        <v>1.9214103099E10</v>
      </c>
      <c r="W34" s="32" t="n">
        <f>275476559</f>
        <v>2.75476559E8</v>
      </c>
      <c r="X34" s="36" t="n">
        <f>19</f>
        <v>19.0</v>
      </c>
    </row>
    <row r="35">
      <c r="A35" s="27" t="s">
        <v>42</v>
      </c>
      <c r="B35" s="27" t="s">
        <v>140</v>
      </c>
      <c r="C35" s="27" t="s">
        <v>141</v>
      </c>
      <c r="D35" s="27" t="s">
        <v>142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1.0</v>
      </c>
      <c r="K35" s="33" t="n">
        <f>28000</f>
        <v>28000.0</v>
      </c>
      <c r="L35" s="34" t="s">
        <v>48</v>
      </c>
      <c r="M35" s="33" t="n">
        <f>33190</f>
        <v>33190.0</v>
      </c>
      <c r="N35" s="34" t="s">
        <v>49</v>
      </c>
      <c r="O35" s="33" t="n">
        <f>27500</f>
        <v>27500.0</v>
      </c>
      <c r="P35" s="34" t="s">
        <v>48</v>
      </c>
      <c r="Q35" s="33" t="n">
        <f>32800</f>
        <v>32800.0</v>
      </c>
      <c r="R35" s="34" t="s">
        <v>50</v>
      </c>
      <c r="S35" s="35" t="n">
        <f>31369.21</f>
        <v>31369.21</v>
      </c>
      <c r="T35" s="32" t="n">
        <f>188025</f>
        <v>188025.0</v>
      </c>
      <c r="U35" s="32" t="str">
        <f>"－"</f>
        <v>－</v>
      </c>
      <c r="V35" s="32" t="n">
        <f>5865169945</f>
        <v>5.865169945E9</v>
      </c>
      <c r="W35" s="32" t="str">
        <f>"－"</f>
        <v>－</v>
      </c>
      <c r="X35" s="36" t="n">
        <f>19</f>
        <v>19.0</v>
      </c>
    </row>
    <row r="36">
      <c r="A36" s="27" t="s">
        <v>42</v>
      </c>
      <c r="B36" s="27" t="s">
        <v>143</v>
      </c>
      <c r="C36" s="27" t="s">
        <v>144</v>
      </c>
      <c r="D36" s="27" t="s">
        <v>145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793</f>
        <v>793.0</v>
      </c>
      <c r="L36" s="34" t="s">
        <v>48</v>
      </c>
      <c r="M36" s="33" t="n">
        <f>806</f>
        <v>806.0</v>
      </c>
      <c r="N36" s="34" t="s">
        <v>48</v>
      </c>
      <c r="O36" s="33" t="n">
        <f>664</f>
        <v>664.0</v>
      </c>
      <c r="P36" s="34" t="s">
        <v>49</v>
      </c>
      <c r="Q36" s="33" t="n">
        <f>670</f>
        <v>670.0</v>
      </c>
      <c r="R36" s="34" t="s">
        <v>50</v>
      </c>
      <c r="S36" s="35" t="n">
        <f>705.47</f>
        <v>705.47</v>
      </c>
      <c r="T36" s="32" t="n">
        <f>1960196</f>
        <v>1960196.0</v>
      </c>
      <c r="U36" s="32" t="str">
        <f>"－"</f>
        <v>－</v>
      </c>
      <c r="V36" s="32" t="n">
        <f>1405582363</f>
        <v>1.405582363E9</v>
      </c>
      <c r="W36" s="32" t="str">
        <f>"－"</f>
        <v>－</v>
      </c>
      <c r="X36" s="36" t="n">
        <f>19</f>
        <v>19.0</v>
      </c>
    </row>
    <row r="37">
      <c r="A37" s="27" t="s">
        <v>42</v>
      </c>
      <c r="B37" s="27" t="s">
        <v>146</v>
      </c>
      <c r="C37" s="27" t="s">
        <v>147</v>
      </c>
      <c r="D37" s="27" t="s">
        <v>148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33020</f>
        <v>33020.0</v>
      </c>
      <c r="L37" s="34" t="s">
        <v>48</v>
      </c>
      <c r="M37" s="33" t="n">
        <f>37020</f>
        <v>37020.0</v>
      </c>
      <c r="N37" s="34" t="s">
        <v>49</v>
      </c>
      <c r="O37" s="33" t="n">
        <f>32770</f>
        <v>32770.0</v>
      </c>
      <c r="P37" s="34" t="s">
        <v>48</v>
      </c>
      <c r="Q37" s="33" t="n">
        <f>36330</f>
        <v>36330.0</v>
      </c>
      <c r="R37" s="34" t="s">
        <v>50</v>
      </c>
      <c r="S37" s="35" t="n">
        <f>35520</f>
        <v>35520.0</v>
      </c>
      <c r="T37" s="32" t="n">
        <f>55744</f>
        <v>55744.0</v>
      </c>
      <c r="U37" s="32" t="n">
        <f>8824</f>
        <v>8824.0</v>
      </c>
      <c r="V37" s="32" t="n">
        <f>1971820563</f>
        <v>1.971820563E9</v>
      </c>
      <c r="W37" s="32" t="n">
        <f>315599173</f>
        <v>3.15599173E8</v>
      </c>
      <c r="X37" s="36" t="n">
        <f>19</f>
        <v>19.0</v>
      </c>
    </row>
    <row r="38">
      <c r="A38" s="27" t="s">
        <v>42</v>
      </c>
      <c r="B38" s="27" t="s">
        <v>149</v>
      </c>
      <c r="C38" s="27" t="s">
        <v>150</v>
      </c>
      <c r="D38" s="27" t="s">
        <v>151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33400</f>
        <v>33400.0</v>
      </c>
      <c r="L38" s="34" t="s">
        <v>48</v>
      </c>
      <c r="M38" s="33" t="n">
        <f>37360</f>
        <v>37360.0</v>
      </c>
      <c r="N38" s="34" t="s">
        <v>49</v>
      </c>
      <c r="O38" s="33" t="n">
        <f>33070</f>
        <v>33070.0</v>
      </c>
      <c r="P38" s="34" t="s">
        <v>48</v>
      </c>
      <c r="Q38" s="33" t="n">
        <f>36530</f>
        <v>36530.0</v>
      </c>
      <c r="R38" s="34" t="s">
        <v>50</v>
      </c>
      <c r="S38" s="35" t="n">
        <f>35855.26</f>
        <v>35855.26</v>
      </c>
      <c r="T38" s="32" t="n">
        <f>149108</f>
        <v>149108.0</v>
      </c>
      <c r="U38" s="32" t="n">
        <f>19364</f>
        <v>19364.0</v>
      </c>
      <c r="V38" s="32" t="n">
        <f>5293782370</f>
        <v>5.29378237E9</v>
      </c>
      <c r="W38" s="32" t="n">
        <f>697188620</f>
        <v>6.9718862E8</v>
      </c>
      <c r="X38" s="36" t="n">
        <f>19</f>
        <v>19.0</v>
      </c>
    </row>
    <row r="39">
      <c r="A39" s="27" t="s">
        <v>42</v>
      </c>
      <c r="B39" s="27" t="s">
        <v>152</v>
      </c>
      <c r="C39" s="27" t="s">
        <v>153</v>
      </c>
      <c r="D39" s="27" t="s">
        <v>154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10.0</v>
      </c>
      <c r="K39" s="33" t="n">
        <f>1856.5</f>
        <v>1856.5</v>
      </c>
      <c r="L39" s="34" t="s">
        <v>48</v>
      </c>
      <c r="M39" s="33" t="n">
        <f>1895</f>
        <v>1895.0</v>
      </c>
      <c r="N39" s="34" t="s">
        <v>49</v>
      </c>
      <c r="O39" s="33" t="n">
        <f>1839</f>
        <v>1839.0</v>
      </c>
      <c r="P39" s="34" t="s">
        <v>48</v>
      </c>
      <c r="Q39" s="33" t="n">
        <f>1851</f>
        <v>1851.0</v>
      </c>
      <c r="R39" s="34" t="s">
        <v>50</v>
      </c>
      <c r="S39" s="35" t="n">
        <f>1866.66</f>
        <v>1866.66</v>
      </c>
      <c r="T39" s="32" t="n">
        <f>908790</f>
        <v>908790.0</v>
      </c>
      <c r="U39" s="32" t="n">
        <f>399180</f>
        <v>399180.0</v>
      </c>
      <c r="V39" s="32" t="n">
        <f>1696343148</f>
        <v>1.696343148E9</v>
      </c>
      <c r="W39" s="32" t="n">
        <f>744952073</f>
        <v>7.44952073E8</v>
      </c>
      <c r="X39" s="36" t="n">
        <f>19</f>
        <v>19.0</v>
      </c>
    </row>
    <row r="40">
      <c r="A40" s="27" t="s">
        <v>42</v>
      </c>
      <c r="B40" s="27" t="s">
        <v>155</v>
      </c>
      <c r="C40" s="27" t="s">
        <v>156</v>
      </c>
      <c r="D40" s="27" t="s">
        <v>157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10.0</v>
      </c>
      <c r="K40" s="33" t="n">
        <f>2078</f>
        <v>2078.0</v>
      </c>
      <c r="L40" s="34" t="s">
        <v>48</v>
      </c>
      <c r="M40" s="33" t="n">
        <f>2320.5</f>
        <v>2320.5</v>
      </c>
      <c r="N40" s="34" t="s">
        <v>158</v>
      </c>
      <c r="O40" s="33" t="n">
        <f>2055</f>
        <v>2055.0</v>
      </c>
      <c r="P40" s="34" t="s">
        <v>159</v>
      </c>
      <c r="Q40" s="33" t="n">
        <f>2078</f>
        <v>2078.0</v>
      </c>
      <c r="R40" s="34" t="s">
        <v>50</v>
      </c>
      <c r="S40" s="35" t="n">
        <f>2135.58</f>
        <v>2135.58</v>
      </c>
      <c r="T40" s="32" t="n">
        <f>16760</f>
        <v>16760.0</v>
      </c>
      <c r="U40" s="32" t="n">
        <f>60</f>
        <v>60.0</v>
      </c>
      <c r="V40" s="32" t="n">
        <f>35731150</f>
        <v>3.573115E7</v>
      </c>
      <c r="W40" s="32" t="n">
        <f>128960</f>
        <v>128960.0</v>
      </c>
      <c r="X40" s="36" t="n">
        <f>19</f>
        <v>19.0</v>
      </c>
    </row>
    <row r="41">
      <c r="A41" s="27" t="s">
        <v>42</v>
      </c>
      <c r="B41" s="27" t="s">
        <v>160</v>
      </c>
      <c r="C41" s="27" t="s">
        <v>161</v>
      </c>
      <c r="D41" s="27" t="s">
        <v>162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3225</f>
        <v>3225.0</v>
      </c>
      <c r="L41" s="34" t="s">
        <v>48</v>
      </c>
      <c r="M41" s="33" t="n">
        <f>3250</f>
        <v>3250.0</v>
      </c>
      <c r="N41" s="34" t="s">
        <v>48</v>
      </c>
      <c r="O41" s="33" t="n">
        <f>2866</f>
        <v>2866.0</v>
      </c>
      <c r="P41" s="34" t="s">
        <v>49</v>
      </c>
      <c r="Q41" s="33" t="n">
        <f>2921</f>
        <v>2921.0</v>
      </c>
      <c r="R41" s="34" t="s">
        <v>50</v>
      </c>
      <c r="S41" s="35" t="n">
        <f>2995.68</f>
        <v>2995.68</v>
      </c>
      <c r="T41" s="32" t="n">
        <f>2831164</f>
        <v>2831164.0</v>
      </c>
      <c r="U41" s="32" t="n">
        <f>402700</f>
        <v>402700.0</v>
      </c>
      <c r="V41" s="32" t="n">
        <f>8480800250</f>
        <v>8.48080025E9</v>
      </c>
      <c r="W41" s="32" t="n">
        <f>1233059588</f>
        <v>1.233059588E9</v>
      </c>
      <c r="X41" s="36" t="n">
        <f>19</f>
        <v>19.0</v>
      </c>
    </row>
    <row r="42">
      <c r="A42" s="27" t="s">
        <v>42</v>
      </c>
      <c r="B42" s="27" t="s">
        <v>163</v>
      </c>
      <c r="C42" s="27" t="s">
        <v>164</v>
      </c>
      <c r="D42" s="27" t="s">
        <v>165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3765</f>
        <v>3765.0</v>
      </c>
      <c r="L42" s="34" t="s">
        <v>48</v>
      </c>
      <c r="M42" s="33" t="n">
        <f>3790</f>
        <v>3790.0</v>
      </c>
      <c r="N42" s="34" t="s">
        <v>48</v>
      </c>
      <c r="O42" s="33" t="n">
        <f>3445</f>
        <v>3445.0</v>
      </c>
      <c r="P42" s="34" t="s">
        <v>49</v>
      </c>
      <c r="Q42" s="33" t="n">
        <f>3465</f>
        <v>3465.0</v>
      </c>
      <c r="R42" s="34" t="s">
        <v>50</v>
      </c>
      <c r="S42" s="35" t="n">
        <f>3549.74</f>
        <v>3549.74</v>
      </c>
      <c r="T42" s="32" t="n">
        <f>1789009</f>
        <v>1789009.0</v>
      </c>
      <c r="U42" s="32" t="n">
        <f>1574678</f>
        <v>1574678.0</v>
      </c>
      <c r="V42" s="32" t="n">
        <f>6360403499</f>
        <v>6.360403499E9</v>
      </c>
      <c r="W42" s="32" t="n">
        <f>5590139939</f>
        <v>5.590139939E9</v>
      </c>
      <c r="X42" s="36" t="n">
        <f>19</f>
        <v>19.0</v>
      </c>
    </row>
    <row r="43">
      <c r="A43" s="27" t="s">
        <v>42</v>
      </c>
      <c r="B43" s="27" t="s">
        <v>166</v>
      </c>
      <c r="C43" s="27" t="s">
        <v>167</v>
      </c>
      <c r="D43" s="27" t="s">
        <v>168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23975</f>
        <v>23975.0</v>
      </c>
      <c r="L43" s="34" t="s">
        <v>48</v>
      </c>
      <c r="M43" s="33" t="n">
        <f>30300</f>
        <v>30300.0</v>
      </c>
      <c r="N43" s="34" t="s">
        <v>49</v>
      </c>
      <c r="O43" s="33" t="n">
        <f>23685</f>
        <v>23685.0</v>
      </c>
      <c r="P43" s="34" t="s">
        <v>48</v>
      </c>
      <c r="Q43" s="33" t="n">
        <f>29150</f>
        <v>29150.0</v>
      </c>
      <c r="R43" s="34" t="s">
        <v>50</v>
      </c>
      <c r="S43" s="35" t="n">
        <f>27876.84</f>
        <v>27876.84</v>
      </c>
      <c r="T43" s="32" t="n">
        <f>9129043</f>
        <v>9129043.0</v>
      </c>
      <c r="U43" s="32" t="n">
        <f>702</f>
        <v>702.0</v>
      </c>
      <c r="V43" s="32" t="n">
        <f>253162642962</f>
        <v>2.53162642962E11</v>
      </c>
      <c r="W43" s="32" t="n">
        <f>20362202</f>
        <v>2.0362202E7</v>
      </c>
      <c r="X43" s="36" t="n">
        <f>19</f>
        <v>19.0</v>
      </c>
    </row>
    <row r="44">
      <c r="A44" s="27" t="s">
        <v>42</v>
      </c>
      <c r="B44" s="27" t="s">
        <v>169</v>
      </c>
      <c r="C44" s="27" t="s">
        <v>170</v>
      </c>
      <c r="D44" s="27" t="s">
        <v>171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868</f>
        <v>868.0</v>
      </c>
      <c r="L44" s="34" t="s">
        <v>48</v>
      </c>
      <c r="M44" s="33" t="n">
        <f>879</f>
        <v>879.0</v>
      </c>
      <c r="N44" s="34" t="s">
        <v>48</v>
      </c>
      <c r="O44" s="33" t="n">
        <f>682</f>
        <v>682.0</v>
      </c>
      <c r="P44" s="34" t="s">
        <v>49</v>
      </c>
      <c r="Q44" s="33" t="n">
        <f>708</f>
        <v>708.0</v>
      </c>
      <c r="R44" s="34" t="s">
        <v>50</v>
      </c>
      <c r="S44" s="35" t="n">
        <f>745.58</f>
        <v>745.58</v>
      </c>
      <c r="T44" s="32" t="n">
        <f>252707321</f>
        <v>2.52707321E8</v>
      </c>
      <c r="U44" s="32" t="n">
        <f>54145</f>
        <v>54145.0</v>
      </c>
      <c r="V44" s="32" t="n">
        <f>188107173108</f>
        <v>1.88107173108E11</v>
      </c>
      <c r="W44" s="32" t="n">
        <f>40132528</f>
        <v>4.0132528E7</v>
      </c>
      <c r="X44" s="36" t="n">
        <f>19</f>
        <v>19.0</v>
      </c>
    </row>
    <row r="45">
      <c r="A45" s="27" t="s">
        <v>42</v>
      </c>
      <c r="B45" s="27" t="s">
        <v>172</v>
      </c>
      <c r="C45" s="27" t="s">
        <v>173</v>
      </c>
      <c r="D45" s="27" t="s">
        <v>174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22200</f>
        <v>22200.0</v>
      </c>
      <c r="L45" s="34" t="s">
        <v>48</v>
      </c>
      <c r="M45" s="33" t="n">
        <f>26770</f>
        <v>26770.0</v>
      </c>
      <c r="N45" s="34" t="s">
        <v>49</v>
      </c>
      <c r="O45" s="33" t="n">
        <f>22125</f>
        <v>22125.0</v>
      </c>
      <c r="P45" s="34" t="s">
        <v>48</v>
      </c>
      <c r="Q45" s="33" t="n">
        <f>26085</f>
        <v>26085.0</v>
      </c>
      <c r="R45" s="34" t="s">
        <v>50</v>
      </c>
      <c r="S45" s="35" t="n">
        <f>25198.95</f>
        <v>25198.95</v>
      </c>
      <c r="T45" s="32" t="n">
        <f>8252</f>
        <v>8252.0</v>
      </c>
      <c r="U45" s="32" t="str">
        <f>"－"</f>
        <v>－</v>
      </c>
      <c r="V45" s="32" t="n">
        <f>209707195</f>
        <v>2.09707195E8</v>
      </c>
      <c r="W45" s="32" t="str">
        <f>"－"</f>
        <v>－</v>
      </c>
      <c r="X45" s="36" t="n">
        <f>19</f>
        <v>19.0</v>
      </c>
    </row>
    <row r="46">
      <c r="A46" s="27" t="s">
        <v>42</v>
      </c>
      <c r="B46" s="27" t="s">
        <v>175</v>
      </c>
      <c r="C46" s="27" t="s">
        <v>176</v>
      </c>
      <c r="D46" s="27" t="s">
        <v>177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3665</f>
        <v>3665.0</v>
      </c>
      <c r="L46" s="34" t="s">
        <v>48</v>
      </c>
      <c r="M46" s="33" t="n">
        <f>3665</f>
        <v>3665.0</v>
      </c>
      <c r="N46" s="34" t="s">
        <v>48</v>
      </c>
      <c r="O46" s="33" t="n">
        <f>3345</f>
        <v>3345.0</v>
      </c>
      <c r="P46" s="34" t="s">
        <v>49</v>
      </c>
      <c r="Q46" s="33" t="n">
        <f>3395</f>
        <v>3395.0</v>
      </c>
      <c r="R46" s="34" t="s">
        <v>50</v>
      </c>
      <c r="S46" s="35" t="n">
        <f>3448.44</f>
        <v>3448.44</v>
      </c>
      <c r="T46" s="32" t="n">
        <f>473</f>
        <v>473.0</v>
      </c>
      <c r="U46" s="32" t="str">
        <f>"－"</f>
        <v>－</v>
      </c>
      <c r="V46" s="32" t="n">
        <f>1630150</f>
        <v>1630150.0</v>
      </c>
      <c r="W46" s="32" t="str">
        <f>"－"</f>
        <v>－</v>
      </c>
      <c r="X46" s="36" t="n">
        <f>16</f>
        <v>16.0</v>
      </c>
    </row>
    <row r="47">
      <c r="A47" s="27" t="s">
        <v>42</v>
      </c>
      <c r="B47" s="27" t="s">
        <v>178</v>
      </c>
      <c r="C47" s="27" t="s">
        <v>179</v>
      </c>
      <c r="D47" s="27" t="s">
        <v>180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1030</f>
        <v>1030.0</v>
      </c>
      <c r="L47" s="34" t="s">
        <v>48</v>
      </c>
      <c r="M47" s="33" t="n">
        <f>1033</f>
        <v>1033.0</v>
      </c>
      <c r="N47" s="34" t="s">
        <v>48</v>
      </c>
      <c r="O47" s="33" t="n">
        <f>845</f>
        <v>845.0</v>
      </c>
      <c r="P47" s="34" t="s">
        <v>49</v>
      </c>
      <c r="Q47" s="33" t="n">
        <f>861</f>
        <v>861.0</v>
      </c>
      <c r="R47" s="34" t="s">
        <v>50</v>
      </c>
      <c r="S47" s="35" t="n">
        <f>900.37</f>
        <v>900.37</v>
      </c>
      <c r="T47" s="32" t="n">
        <f>85177</f>
        <v>85177.0</v>
      </c>
      <c r="U47" s="32" t="n">
        <f>10000</f>
        <v>10000.0</v>
      </c>
      <c r="V47" s="32" t="n">
        <f>76758894</f>
        <v>7.6758894E7</v>
      </c>
      <c r="W47" s="32" t="n">
        <f>8990000</f>
        <v>8990000.0</v>
      </c>
      <c r="X47" s="36" t="n">
        <f>19</f>
        <v>19.0</v>
      </c>
    </row>
    <row r="48">
      <c r="A48" s="27" t="s">
        <v>42</v>
      </c>
      <c r="B48" s="27" t="s">
        <v>181</v>
      </c>
      <c r="C48" s="27" t="s">
        <v>182</v>
      </c>
      <c r="D48" s="27" t="s">
        <v>183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10.0</v>
      </c>
      <c r="K48" s="33" t="n">
        <f>997.2</f>
        <v>997.2</v>
      </c>
      <c r="L48" s="34" t="s">
        <v>48</v>
      </c>
      <c r="M48" s="33" t="n">
        <f>1005</f>
        <v>1005.0</v>
      </c>
      <c r="N48" s="34" t="s">
        <v>48</v>
      </c>
      <c r="O48" s="33" t="n">
        <f>831</f>
        <v>831.0</v>
      </c>
      <c r="P48" s="34" t="s">
        <v>49</v>
      </c>
      <c r="Q48" s="33" t="n">
        <f>846</f>
        <v>846.0</v>
      </c>
      <c r="R48" s="34" t="s">
        <v>50</v>
      </c>
      <c r="S48" s="35" t="n">
        <f>881.27</f>
        <v>881.27</v>
      </c>
      <c r="T48" s="32" t="n">
        <f>164010</f>
        <v>164010.0</v>
      </c>
      <c r="U48" s="32" t="n">
        <f>60000</f>
        <v>60000.0</v>
      </c>
      <c r="V48" s="32" t="n">
        <f>146273593</f>
        <v>1.46273593E8</v>
      </c>
      <c r="W48" s="32" t="n">
        <f>53580000</f>
        <v>5.358E7</v>
      </c>
      <c r="X48" s="36" t="n">
        <f>19</f>
        <v>19.0</v>
      </c>
    </row>
    <row r="49">
      <c r="A49" s="27" t="s">
        <v>42</v>
      </c>
      <c r="B49" s="27" t="s">
        <v>184</v>
      </c>
      <c r="C49" s="27" t="s">
        <v>185</v>
      </c>
      <c r="D49" s="27" t="s">
        <v>186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1.0</v>
      </c>
      <c r="K49" s="33" t="n">
        <f>407</f>
        <v>407.0</v>
      </c>
      <c r="L49" s="34" t="s">
        <v>48</v>
      </c>
      <c r="M49" s="33" t="n">
        <f>411</f>
        <v>411.0</v>
      </c>
      <c r="N49" s="34" t="s">
        <v>48</v>
      </c>
      <c r="O49" s="33" t="n">
        <f>341</f>
        <v>341.0</v>
      </c>
      <c r="P49" s="34" t="s">
        <v>49</v>
      </c>
      <c r="Q49" s="33" t="n">
        <f>346</f>
        <v>346.0</v>
      </c>
      <c r="R49" s="34" t="s">
        <v>50</v>
      </c>
      <c r="S49" s="35" t="n">
        <f>361.58</f>
        <v>361.58</v>
      </c>
      <c r="T49" s="32" t="n">
        <f>208189</f>
        <v>208189.0</v>
      </c>
      <c r="U49" s="32" t="n">
        <f>60000</f>
        <v>60000.0</v>
      </c>
      <c r="V49" s="32" t="n">
        <f>77365205</f>
        <v>7.7365205E7</v>
      </c>
      <c r="W49" s="32" t="n">
        <f>23160000</f>
        <v>2.316E7</v>
      </c>
      <c r="X49" s="36" t="n">
        <f>19</f>
        <v>19.0</v>
      </c>
    </row>
    <row r="50">
      <c r="A50" s="27" t="s">
        <v>42</v>
      </c>
      <c r="B50" s="27" t="s">
        <v>187</v>
      </c>
      <c r="C50" s="27" t="s">
        <v>188</v>
      </c>
      <c r="D50" s="27" t="s">
        <v>189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10.0</v>
      </c>
      <c r="K50" s="33" t="n">
        <f>2388</f>
        <v>2388.0</v>
      </c>
      <c r="L50" s="34" t="s">
        <v>48</v>
      </c>
      <c r="M50" s="33" t="n">
        <f>2603</f>
        <v>2603.0</v>
      </c>
      <c r="N50" s="34" t="s">
        <v>49</v>
      </c>
      <c r="O50" s="33" t="n">
        <f>2376</f>
        <v>2376.0</v>
      </c>
      <c r="P50" s="34" t="s">
        <v>48</v>
      </c>
      <c r="Q50" s="33" t="n">
        <f>2587</f>
        <v>2587.0</v>
      </c>
      <c r="R50" s="34" t="s">
        <v>50</v>
      </c>
      <c r="S50" s="35" t="n">
        <f>2532.47</f>
        <v>2532.47</v>
      </c>
      <c r="T50" s="32" t="n">
        <f>920830</f>
        <v>920830.0</v>
      </c>
      <c r="U50" s="32" t="n">
        <f>318000</f>
        <v>318000.0</v>
      </c>
      <c r="V50" s="32" t="n">
        <f>2335041736</f>
        <v>2.335041736E9</v>
      </c>
      <c r="W50" s="32" t="n">
        <f>800145761</f>
        <v>8.00145761E8</v>
      </c>
      <c r="X50" s="36" t="n">
        <f>19</f>
        <v>19.0</v>
      </c>
    </row>
    <row r="51">
      <c r="A51" s="27" t="s">
        <v>42</v>
      </c>
      <c r="B51" s="27" t="s">
        <v>190</v>
      </c>
      <c r="C51" s="27" t="s">
        <v>191</v>
      </c>
      <c r="D51" s="27" t="s">
        <v>192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1.0</v>
      </c>
      <c r="K51" s="33" t="n">
        <f>21340</f>
        <v>21340.0</v>
      </c>
      <c r="L51" s="34" t="s">
        <v>48</v>
      </c>
      <c r="M51" s="33" t="n">
        <f>23460</f>
        <v>23460.0</v>
      </c>
      <c r="N51" s="34" t="s">
        <v>49</v>
      </c>
      <c r="O51" s="33" t="n">
        <f>21340</f>
        <v>21340.0</v>
      </c>
      <c r="P51" s="34" t="s">
        <v>48</v>
      </c>
      <c r="Q51" s="33" t="n">
        <f>23215</f>
        <v>23215.0</v>
      </c>
      <c r="R51" s="34" t="s">
        <v>50</v>
      </c>
      <c r="S51" s="35" t="n">
        <f>22772.37</f>
        <v>22772.37</v>
      </c>
      <c r="T51" s="32" t="n">
        <f>4917</f>
        <v>4917.0</v>
      </c>
      <c r="U51" s="32" t="n">
        <f>2000</f>
        <v>2000.0</v>
      </c>
      <c r="V51" s="32" t="n">
        <f>112452225</f>
        <v>1.12452225E8</v>
      </c>
      <c r="W51" s="32" t="n">
        <f>45854200</f>
        <v>4.58542E7</v>
      </c>
      <c r="X51" s="36" t="n">
        <f>19</f>
        <v>19.0</v>
      </c>
    </row>
    <row r="52">
      <c r="A52" s="27" t="s">
        <v>42</v>
      </c>
      <c r="B52" s="27" t="s">
        <v>193</v>
      </c>
      <c r="C52" s="27" t="s">
        <v>194</v>
      </c>
      <c r="D52" s="27" t="s">
        <v>195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2438</f>
        <v>2438.0</v>
      </c>
      <c r="L52" s="34" t="s">
        <v>48</v>
      </c>
      <c r="M52" s="33" t="n">
        <f>2655</f>
        <v>2655.0</v>
      </c>
      <c r="N52" s="34" t="s">
        <v>49</v>
      </c>
      <c r="O52" s="33" t="n">
        <f>2414</f>
        <v>2414.0</v>
      </c>
      <c r="P52" s="34" t="s">
        <v>48</v>
      </c>
      <c r="Q52" s="33" t="n">
        <f>2642</f>
        <v>2642.0</v>
      </c>
      <c r="R52" s="34" t="s">
        <v>50</v>
      </c>
      <c r="S52" s="35" t="n">
        <f>2581.16</f>
        <v>2581.16</v>
      </c>
      <c r="T52" s="32" t="n">
        <f>11810224</f>
        <v>1.1810224E7</v>
      </c>
      <c r="U52" s="32" t="n">
        <f>5142240</f>
        <v>5142240.0</v>
      </c>
      <c r="V52" s="32" t="n">
        <f>30469134121</f>
        <v>3.0469134121E10</v>
      </c>
      <c r="W52" s="32" t="n">
        <f>13205769879</f>
        <v>1.3205769879E10</v>
      </c>
      <c r="X52" s="36" t="n">
        <f>19</f>
        <v>19.0</v>
      </c>
    </row>
    <row r="53">
      <c r="A53" s="27" t="s">
        <v>42</v>
      </c>
      <c r="B53" s="27" t="s">
        <v>196</v>
      </c>
      <c r="C53" s="27" t="s">
        <v>197</v>
      </c>
      <c r="D53" s="27" t="s">
        <v>198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1.0</v>
      </c>
      <c r="K53" s="33" t="n">
        <f>1870</f>
        <v>1870.0</v>
      </c>
      <c r="L53" s="34" t="s">
        <v>48</v>
      </c>
      <c r="M53" s="33" t="n">
        <f>1910</f>
        <v>1910.0</v>
      </c>
      <c r="N53" s="34" t="s">
        <v>49</v>
      </c>
      <c r="O53" s="33" t="n">
        <f>1853</f>
        <v>1853.0</v>
      </c>
      <c r="P53" s="34" t="s">
        <v>48</v>
      </c>
      <c r="Q53" s="33" t="n">
        <f>1871</f>
        <v>1871.0</v>
      </c>
      <c r="R53" s="34" t="s">
        <v>50</v>
      </c>
      <c r="S53" s="35" t="n">
        <f>1881.95</f>
        <v>1881.95</v>
      </c>
      <c r="T53" s="32" t="n">
        <f>3273733</f>
        <v>3273733.0</v>
      </c>
      <c r="U53" s="32" t="n">
        <f>1520279</f>
        <v>1520279.0</v>
      </c>
      <c r="V53" s="32" t="n">
        <f>6141312494</f>
        <v>6.141312494E9</v>
      </c>
      <c r="W53" s="32" t="n">
        <f>2843839655</f>
        <v>2.843839655E9</v>
      </c>
      <c r="X53" s="36" t="n">
        <f>19</f>
        <v>19.0</v>
      </c>
    </row>
    <row r="54">
      <c r="A54" s="27" t="s">
        <v>42</v>
      </c>
      <c r="B54" s="27" t="s">
        <v>199</v>
      </c>
      <c r="C54" s="27" t="s">
        <v>200</v>
      </c>
      <c r="D54" s="27" t="s">
        <v>201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1.0</v>
      </c>
      <c r="K54" s="33" t="n">
        <f>2288</f>
        <v>2288.0</v>
      </c>
      <c r="L54" s="34" t="s">
        <v>48</v>
      </c>
      <c r="M54" s="33" t="n">
        <f>2469</f>
        <v>2469.0</v>
      </c>
      <c r="N54" s="34" t="s">
        <v>49</v>
      </c>
      <c r="O54" s="33" t="n">
        <f>2280</f>
        <v>2280.0</v>
      </c>
      <c r="P54" s="34" t="s">
        <v>48</v>
      </c>
      <c r="Q54" s="33" t="n">
        <f>2448</f>
        <v>2448.0</v>
      </c>
      <c r="R54" s="34" t="s">
        <v>50</v>
      </c>
      <c r="S54" s="35" t="n">
        <f>2412.21</f>
        <v>2412.21</v>
      </c>
      <c r="T54" s="32" t="n">
        <f>244240</f>
        <v>244240.0</v>
      </c>
      <c r="U54" s="32" t="n">
        <f>196454</f>
        <v>196454.0</v>
      </c>
      <c r="V54" s="32" t="n">
        <f>592817289</f>
        <v>5.92817289E8</v>
      </c>
      <c r="W54" s="32" t="n">
        <f>477189589</f>
        <v>4.77189589E8</v>
      </c>
      <c r="X54" s="36" t="n">
        <f>19</f>
        <v>19.0</v>
      </c>
    </row>
    <row r="55">
      <c r="A55" s="27" t="s">
        <v>42</v>
      </c>
      <c r="B55" s="27" t="s">
        <v>202</v>
      </c>
      <c r="C55" s="27" t="s">
        <v>203</v>
      </c>
      <c r="D55" s="27" t="s">
        <v>204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3155</f>
        <v>3155.0</v>
      </c>
      <c r="L55" s="34" t="s">
        <v>48</v>
      </c>
      <c r="M55" s="33" t="n">
        <f>3495</f>
        <v>3495.0</v>
      </c>
      <c r="N55" s="34" t="s">
        <v>50</v>
      </c>
      <c r="O55" s="33" t="n">
        <f>3140</f>
        <v>3140.0</v>
      </c>
      <c r="P55" s="34" t="s">
        <v>48</v>
      </c>
      <c r="Q55" s="33" t="n">
        <f>3495</f>
        <v>3495.0</v>
      </c>
      <c r="R55" s="34" t="s">
        <v>50</v>
      </c>
      <c r="S55" s="35" t="n">
        <f>3386.32</f>
        <v>3386.32</v>
      </c>
      <c r="T55" s="32" t="n">
        <f>1333039</f>
        <v>1333039.0</v>
      </c>
      <c r="U55" s="32" t="n">
        <f>605570</f>
        <v>605570.0</v>
      </c>
      <c r="V55" s="32" t="n">
        <f>4518189955</f>
        <v>4.518189955E9</v>
      </c>
      <c r="W55" s="32" t="n">
        <f>2074499400</f>
        <v>2.0744994E9</v>
      </c>
      <c r="X55" s="36" t="n">
        <f>19</f>
        <v>19.0</v>
      </c>
    </row>
    <row r="56">
      <c r="A56" s="27" t="s">
        <v>42</v>
      </c>
      <c r="B56" s="27" t="s">
        <v>205</v>
      </c>
      <c r="C56" s="27" t="s">
        <v>206</v>
      </c>
      <c r="D56" s="27" t="s">
        <v>207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30350</f>
        <v>30350.0</v>
      </c>
      <c r="L56" s="34" t="s">
        <v>208</v>
      </c>
      <c r="M56" s="33" t="n">
        <f>32560</f>
        <v>32560.0</v>
      </c>
      <c r="N56" s="34" t="s">
        <v>77</v>
      </c>
      <c r="O56" s="33" t="n">
        <f>30350</f>
        <v>30350.0</v>
      </c>
      <c r="P56" s="34" t="s">
        <v>208</v>
      </c>
      <c r="Q56" s="33" t="n">
        <f>32020</f>
        <v>32020.0</v>
      </c>
      <c r="R56" s="34" t="s">
        <v>209</v>
      </c>
      <c r="S56" s="35" t="n">
        <f>31302</f>
        <v>31302.0</v>
      </c>
      <c r="T56" s="32" t="n">
        <f>337</f>
        <v>337.0</v>
      </c>
      <c r="U56" s="32" t="str">
        <f>"－"</f>
        <v>－</v>
      </c>
      <c r="V56" s="32" t="n">
        <f>10538800</f>
        <v>1.05388E7</v>
      </c>
      <c r="W56" s="32" t="str">
        <f>"－"</f>
        <v>－</v>
      </c>
      <c r="X56" s="36" t="n">
        <f>5</f>
        <v>5.0</v>
      </c>
    </row>
    <row r="57">
      <c r="A57" s="27" t="s">
        <v>42</v>
      </c>
      <c r="B57" s="27" t="s">
        <v>210</v>
      </c>
      <c r="C57" s="27" t="s">
        <v>211</v>
      </c>
      <c r="D57" s="27" t="s">
        <v>212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23910</f>
        <v>23910.0</v>
      </c>
      <c r="L57" s="34" t="s">
        <v>208</v>
      </c>
      <c r="M57" s="33" t="n">
        <f>25775</f>
        <v>25775.0</v>
      </c>
      <c r="N57" s="34" t="s">
        <v>213</v>
      </c>
      <c r="O57" s="33" t="n">
        <f>23910</f>
        <v>23910.0</v>
      </c>
      <c r="P57" s="34" t="s">
        <v>208</v>
      </c>
      <c r="Q57" s="33" t="n">
        <f>25385</f>
        <v>25385.0</v>
      </c>
      <c r="R57" s="34" t="s">
        <v>214</v>
      </c>
      <c r="S57" s="35" t="n">
        <f>25115</f>
        <v>25115.0</v>
      </c>
      <c r="T57" s="32" t="n">
        <f>338</f>
        <v>338.0</v>
      </c>
      <c r="U57" s="32" t="str">
        <f>"－"</f>
        <v>－</v>
      </c>
      <c r="V57" s="32" t="n">
        <f>8552375</f>
        <v>8552375.0</v>
      </c>
      <c r="W57" s="32" t="str">
        <f>"－"</f>
        <v>－</v>
      </c>
      <c r="X57" s="36" t="n">
        <f>15</f>
        <v>15.0</v>
      </c>
    </row>
    <row r="58">
      <c r="A58" s="27" t="s">
        <v>42</v>
      </c>
      <c r="B58" s="27" t="s">
        <v>215</v>
      </c>
      <c r="C58" s="27" t="s">
        <v>216</v>
      </c>
      <c r="D58" s="27" t="s">
        <v>217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2409</f>
        <v>2409.0</v>
      </c>
      <c r="L58" s="34" t="s">
        <v>48</v>
      </c>
      <c r="M58" s="33" t="n">
        <f>2700</f>
        <v>2700.0</v>
      </c>
      <c r="N58" s="34" t="s">
        <v>218</v>
      </c>
      <c r="O58" s="33" t="n">
        <f>2401</f>
        <v>2401.0</v>
      </c>
      <c r="P58" s="34" t="s">
        <v>48</v>
      </c>
      <c r="Q58" s="33" t="n">
        <f>2613</f>
        <v>2613.0</v>
      </c>
      <c r="R58" s="34" t="s">
        <v>50</v>
      </c>
      <c r="S58" s="35" t="n">
        <f>2557.21</f>
        <v>2557.21</v>
      </c>
      <c r="T58" s="32" t="n">
        <f>3041</f>
        <v>3041.0</v>
      </c>
      <c r="U58" s="32" t="str">
        <f>"－"</f>
        <v>－</v>
      </c>
      <c r="V58" s="32" t="n">
        <f>7883564</f>
        <v>7883564.0</v>
      </c>
      <c r="W58" s="32" t="str">
        <f>"－"</f>
        <v>－</v>
      </c>
      <c r="X58" s="36" t="n">
        <f>19</f>
        <v>19.0</v>
      </c>
    </row>
    <row r="59">
      <c r="A59" s="27" t="s">
        <v>42</v>
      </c>
      <c r="B59" s="27" t="s">
        <v>219</v>
      </c>
      <c r="C59" s="27" t="s">
        <v>220</v>
      </c>
      <c r="D59" s="27" t="s">
        <v>221</v>
      </c>
      <c r="E59" s="28" t="s">
        <v>46</v>
      </c>
      <c r="F59" s="29" t="s">
        <v>46</v>
      </c>
      <c r="G59" s="30" t="s">
        <v>46</v>
      </c>
      <c r="H59" s="31"/>
      <c r="I59" s="31" t="s">
        <v>47</v>
      </c>
      <c r="J59" s="32" t="n">
        <v>1.0</v>
      </c>
      <c r="K59" s="33" t="n">
        <f>1808</f>
        <v>1808.0</v>
      </c>
      <c r="L59" s="34" t="s">
        <v>48</v>
      </c>
      <c r="M59" s="33" t="n">
        <f>1809</f>
        <v>1809.0</v>
      </c>
      <c r="N59" s="34" t="s">
        <v>48</v>
      </c>
      <c r="O59" s="33" t="n">
        <f>1759</f>
        <v>1759.0</v>
      </c>
      <c r="P59" s="34" t="s">
        <v>159</v>
      </c>
      <c r="Q59" s="33" t="n">
        <f>1781</f>
        <v>1781.0</v>
      </c>
      <c r="R59" s="34" t="s">
        <v>50</v>
      </c>
      <c r="S59" s="35" t="n">
        <f>1779.84</f>
        <v>1779.84</v>
      </c>
      <c r="T59" s="32" t="n">
        <f>5367184</f>
        <v>5367184.0</v>
      </c>
      <c r="U59" s="32" t="n">
        <f>1788941</f>
        <v>1788941.0</v>
      </c>
      <c r="V59" s="32" t="n">
        <f>9564623860</f>
        <v>9.56462386E9</v>
      </c>
      <c r="W59" s="32" t="n">
        <f>3191381133</f>
        <v>3.191381133E9</v>
      </c>
      <c r="X59" s="36" t="n">
        <f>19</f>
        <v>19.0</v>
      </c>
    </row>
    <row r="60">
      <c r="A60" s="27" t="s">
        <v>42</v>
      </c>
      <c r="B60" s="27" t="s">
        <v>222</v>
      </c>
      <c r="C60" s="27" t="s">
        <v>223</v>
      </c>
      <c r="D60" s="27" t="s">
        <v>224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2426</f>
        <v>2426.0</v>
      </c>
      <c r="L60" s="34" t="s">
        <v>48</v>
      </c>
      <c r="M60" s="33" t="n">
        <f>2709</f>
        <v>2709.0</v>
      </c>
      <c r="N60" s="34" t="s">
        <v>77</v>
      </c>
      <c r="O60" s="33" t="n">
        <f>2426</f>
        <v>2426.0</v>
      </c>
      <c r="P60" s="34" t="s">
        <v>48</v>
      </c>
      <c r="Q60" s="33" t="n">
        <f>2653</f>
        <v>2653.0</v>
      </c>
      <c r="R60" s="34" t="s">
        <v>50</v>
      </c>
      <c r="S60" s="35" t="n">
        <f>2571.12</f>
        <v>2571.12</v>
      </c>
      <c r="T60" s="32" t="n">
        <f>3455</f>
        <v>3455.0</v>
      </c>
      <c r="U60" s="32" t="str">
        <f>"－"</f>
        <v>－</v>
      </c>
      <c r="V60" s="32" t="n">
        <f>8938695</f>
        <v>8938695.0</v>
      </c>
      <c r="W60" s="32" t="str">
        <f>"－"</f>
        <v>－</v>
      </c>
      <c r="X60" s="36" t="n">
        <f>17</f>
        <v>17.0</v>
      </c>
    </row>
    <row r="61">
      <c r="A61" s="27" t="s">
        <v>42</v>
      </c>
      <c r="B61" s="27" t="s">
        <v>225</v>
      </c>
      <c r="C61" s="27" t="s">
        <v>226</v>
      </c>
      <c r="D61" s="27" t="s">
        <v>227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10.0</v>
      </c>
      <c r="K61" s="33" t="n">
        <f>2396</f>
        <v>2396.0</v>
      </c>
      <c r="L61" s="34" t="s">
        <v>48</v>
      </c>
      <c r="M61" s="33" t="n">
        <f>2610.5</f>
        <v>2610.5</v>
      </c>
      <c r="N61" s="34" t="s">
        <v>60</v>
      </c>
      <c r="O61" s="33" t="n">
        <f>2396</f>
        <v>2396.0</v>
      </c>
      <c r="P61" s="34" t="s">
        <v>48</v>
      </c>
      <c r="Q61" s="33" t="n">
        <f>2581.5</f>
        <v>2581.5</v>
      </c>
      <c r="R61" s="34" t="s">
        <v>50</v>
      </c>
      <c r="S61" s="35" t="n">
        <f>2524.24</f>
        <v>2524.24</v>
      </c>
      <c r="T61" s="32" t="n">
        <f>52030</f>
        <v>52030.0</v>
      </c>
      <c r="U61" s="32" t="str">
        <f>"－"</f>
        <v>－</v>
      </c>
      <c r="V61" s="32" t="n">
        <f>132442230</f>
        <v>1.3244223E8</v>
      </c>
      <c r="W61" s="32" t="str">
        <f>"－"</f>
        <v>－</v>
      </c>
      <c r="X61" s="36" t="n">
        <f>19</f>
        <v>19.0</v>
      </c>
    </row>
    <row r="62">
      <c r="A62" s="27" t="s">
        <v>42</v>
      </c>
      <c r="B62" s="27" t="s">
        <v>228</v>
      </c>
      <c r="C62" s="27" t="s">
        <v>229</v>
      </c>
      <c r="D62" s="27" t="s">
        <v>230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1.0</v>
      </c>
      <c r="K62" s="33" t="n">
        <f>36220</f>
        <v>36220.0</v>
      </c>
      <c r="L62" s="34" t="s">
        <v>213</v>
      </c>
      <c r="M62" s="33" t="n">
        <f>36220</f>
        <v>36220.0</v>
      </c>
      <c r="N62" s="34" t="s">
        <v>213</v>
      </c>
      <c r="O62" s="33" t="n">
        <f>36220</f>
        <v>36220.0</v>
      </c>
      <c r="P62" s="34" t="s">
        <v>213</v>
      </c>
      <c r="Q62" s="33" t="n">
        <f>36220</f>
        <v>36220.0</v>
      </c>
      <c r="R62" s="34" t="s">
        <v>49</v>
      </c>
      <c r="S62" s="35" t="n">
        <f>36220</f>
        <v>36220.0</v>
      </c>
      <c r="T62" s="32" t="n">
        <f>3</f>
        <v>3.0</v>
      </c>
      <c r="U62" s="32" t="str">
        <f>"－"</f>
        <v>－</v>
      </c>
      <c r="V62" s="32" t="n">
        <f>108660</f>
        <v>108660.0</v>
      </c>
      <c r="W62" s="32" t="str">
        <f>"－"</f>
        <v>－</v>
      </c>
      <c r="X62" s="36" t="n">
        <f>2</f>
        <v>2.0</v>
      </c>
    </row>
    <row r="63">
      <c r="A63" s="27" t="s">
        <v>42</v>
      </c>
      <c r="B63" s="27" t="s">
        <v>231</v>
      </c>
      <c r="C63" s="27" t="s">
        <v>232</v>
      </c>
      <c r="D63" s="27" t="s">
        <v>233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1.0</v>
      </c>
      <c r="K63" s="33" t="n">
        <f>22970</f>
        <v>22970.0</v>
      </c>
      <c r="L63" s="34" t="s">
        <v>48</v>
      </c>
      <c r="M63" s="33" t="n">
        <f>23240</f>
        <v>23240.0</v>
      </c>
      <c r="N63" s="34" t="s">
        <v>50</v>
      </c>
      <c r="O63" s="33" t="n">
        <f>22495</f>
        <v>22495.0</v>
      </c>
      <c r="P63" s="34" t="s">
        <v>88</v>
      </c>
      <c r="Q63" s="33" t="n">
        <f>23240</f>
        <v>23240.0</v>
      </c>
      <c r="R63" s="34" t="s">
        <v>50</v>
      </c>
      <c r="S63" s="35" t="n">
        <f>23015.79</f>
        <v>23015.79</v>
      </c>
      <c r="T63" s="32" t="n">
        <f>709466</f>
        <v>709466.0</v>
      </c>
      <c r="U63" s="32" t="n">
        <f>430702</f>
        <v>430702.0</v>
      </c>
      <c r="V63" s="32" t="n">
        <f>16379578877</f>
        <v>1.6379578877E10</v>
      </c>
      <c r="W63" s="32" t="n">
        <f>9944551477</f>
        <v>9.944551477E9</v>
      </c>
      <c r="X63" s="36" t="n">
        <f>19</f>
        <v>19.0</v>
      </c>
    </row>
    <row r="64">
      <c r="A64" s="27" t="s">
        <v>42</v>
      </c>
      <c r="B64" s="27" t="s">
        <v>234</v>
      </c>
      <c r="C64" s="27" t="s">
        <v>235</v>
      </c>
      <c r="D64" s="27" t="s">
        <v>236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1.0</v>
      </c>
      <c r="K64" s="33" t="n">
        <f>13980</f>
        <v>13980.0</v>
      </c>
      <c r="L64" s="34" t="s">
        <v>48</v>
      </c>
      <c r="M64" s="33" t="n">
        <f>13980</f>
        <v>13980.0</v>
      </c>
      <c r="N64" s="34" t="s">
        <v>48</v>
      </c>
      <c r="O64" s="33" t="n">
        <f>13495</f>
        <v>13495.0</v>
      </c>
      <c r="P64" s="34" t="s">
        <v>159</v>
      </c>
      <c r="Q64" s="33" t="n">
        <f>13675</f>
        <v>13675.0</v>
      </c>
      <c r="R64" s="34" t="s">
        <v>50</v>
      </c>
      <c r="S64" s="35" t="n">
        <f>13658.16</f>
        <v>13658.16</v>
      </c>
      <c r="T64" s="32" t="n">
        <f>668389</f>
        <v>668389.0</v>
      </c>
      <c r="U64" s="32" t="n">
        <f>390977</f>
        <v>390977.0</v>
      </c>
      <c r="V64" s="32" t="n">
        <f>9102799649</f>
        <v>9.102799649E9</v>
      </c>
      <c r="W64" s="32" t="n">
        <f>5319703814</f>
        <v>5.319703814E9</v>
      </c>
      <c r="X64" s="36" t="n">
        <f>19</f>
        <v>19.0</v>
      </c>
    </row>
    <row r="65">
      <c r="A65" s="27" t="s">
        <v>42</v>
      </c>
      <c r="B65" s="27" t="s">
        <v>237</v>
      </c>
      <c r="C65" s="27" t="s">
        <v>238</v>
      </c>
      <c r="D65" s="27" t="s">
        <v>239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10.0</v>
      </c>
      <c r="K65" s="33" t="n">
        <f>1869</f>
        <v>1869.0</v>
      </c>
      <c r="L65" s="34" t="s">
        <v>48</v>
      </c>
      <c r="M65" s="33" t="n">
        <f>1906</f>
        <v>1906.0</v>
      </c>
      <c r="N65" s="34" t="s">
        <v>49</v>
      </c>
      <c r="O65" s="33" t="n">
        <f>1850</f>
        <v>1850.0</v>
      </c>
      <c r="P65" s="34" t="s">
        <v>48</v>
      </c>
      <c r="Q65" s="33" t="n">
        <f>1866.5</f>
        <v>1866.5</v>
      </c>
      <c r="R65" s="34" t="s">
        <v>50</v>
      </c>
      <c r="S65" s="35" t="n">
        <f>1878.76</f>
        <v>1878.76</v>
      </c>
      <c r="T65" s="32" t="n">
        <f>1210270</f>
        <v>1210270.0</v>
      </c>
      <c r="U65" s="32" t="n">
        <f>479480</f>
        <v>479480.0</v>
      </c>
      <c r="V65" s="32" t="n">
        <f>2275457623</f>
        <v>2.275457623E9</v>
      </c>
      <c r="W65" s="32" t="n">
        <f>903146603</f>
        <v>9.03146603E8</v>
      </c>
      <c r="X65" s="36" t="n">
        <f>19</f>
        <v>19.0</v>
      </c>
    </row>
    <row r="66">
      <c r="A66" s="27" t="s">
        <v>42</v>
      </c>
      <c r="B66" s="27" t="s">
        <v>240</v>
      </c>
      <c r="C66" s="27" t="s">
        <v>241</v>
      </c>
      <c r="D66" s="27" t="s">
        <v>242</v>
      </c>
      <c r="E66" s="28" t="s">
        <v>243</v>
      </c>
      <c r="F66" s="29" t="s">
        <v>244</v>
      </c>
      <c r="G66" s="30" t="s">
        <v>46</v>
      </c>
      <c r="H66" s="31"/>
      <c r="I66" s="31" t="s">
        <v>47</v>
      </c>
      <c r="J66" s="32" t="n">
        <v>1.0</v>
      </c>
      <c r="K66" s="33" t="n">
        <f>58500</f>
        <v>58500.0</v>
      </c>
      <c r="L66" s="34" t="s">
        <v>48</v>
      </c>
      <c r="M66" s="33" t="n">
        <f>62700</f>
        <v>62700.0</v>
      </c>
      <c r="N66" s="34" t="s">
        <v>77</v>
      </c>
      <c r="O66" s="33" t="n">
        <f>57880</f>
        <v>57880.0</v>
      </c>
      <c r="P66" s="34" t="s">
        <v>48</v>
      </c>
      <c r="Q66" s="33" t="n">
        <f>62410</f>
        <v>62410.0</v>
      </c>
      <c r="R66" s="34" t="s">
        <v>77</v>
      </c>
      <c r="S66" s="35" t="n">
        <f>60747.5</f>
        <v>60747.5</v>
      </c>
      <c r="T66" s="32" t="n">
        <f>394120</f>
        <v>394120.0</v>
      </c>
      <c r="U66" s="32" t="n">
        <f>20206</f>
        <v>20206.0</v>
      </c>
      <c r="V66" s="32" t="n">
        <f>23891427621</f>
        <v>2.3891427621E10</v>
      </c>
      <c r="W66" s="32" t="n">
        <f>1232802161</f>
        <v>1.232802161E9</v>
      </c>
      <c r="X66" s="36" t="n">
        <f>8</f>
        <v>8.0</v>
      </c>
    </row>
    <row r="67">
      <c r="A67" s="27" t="s">
        <v>42</v>
      </c>
      <c r="B67" s="27" t="s">
        <v>240</v>
      </c>
      <c r="C67" s="27" t="s">
        <v>241</v>
      </c>
      <c r="D67" s="27" t="s">
        <v>242</v>
      </c>
      <c r="E67" s="28" t="s">
        <v>243</v>
      </c>
      <c r="F67" s="29" t="s">
        <v>244</v>
      </c>
      <c r="G67" s="30" t="s">
        <v>46</v>
      </c>
      <c r="H67" s="31"/>
      <c r="I67" s="31" t="s">
        <v>47</v>
      </c>
      <c r="J67" s="32" t="n">
        <v>1.0</v>
      </c>
      <c r="K67" s="33" t="n">
        <f>2097</f>
        <v>2097.0</v>
      </c>
      <c r="L67" s="34" t="s">
        <v>245</v>
      </c>
      <c r="M67" s="33" t="n">
        <f>2149</f>
        <v>2149.0</v>
      </c>
      <c r="N67" s="34" t="s">
        <v>245</v>
      </c>
      <c r="O67" s="33" t="n">
        <f>2071</f>
        <v>2071.0</v>
      </c>
      <c r="P67" s="34" t="s">
        <v>209</v>
      </c>
      <c r="Q67" s="33" t="n">
        <f>2137</f>
        <v>2137.0</v>
      </c>
      <c r="R67" s="34" t="s">
        <v>50</v>
      </c>
      <c r="S67" s="35" t="n">
        <f>2103.64</f>
        <v>2103.64</v>
      </c>
      <c r="T67" s="32" t="n">
        <f>7954673</f>
        <v>7954673.0</v>
      </c>
      <c r="U67" s="32" t="n">
        <f>492930</f>
        <v>492930.0</v>
      </c>
      <c r="V67" s="32" t="n">
        <f>16722112793</f>
        <v>1.6722112793E10</v>
      </c>
      <c r="W67" s="32" t="n">
        <f>1035306972</f>
        <v>1.035306972E9</v>
      </c>
      <c r="X67" s="36" t="n">
        <f>11</f>
        <v>11.0</v>
      </c>
    </row>
    <row r="68">
      <c r="A68" s="27" t="s">
        <v>42</v>
      </c>
      <c r="B68" s="27" t="s">
        <v>246</v>
      </c>
      <c r="C68" s="27" t="s">
        <v>247</v>
      </c>
      <c r="D68" s="27" t="s">
        <v>248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10.0</v>
      </c>
      <c r="K68" s="33" t="n">
        <f>7874</f>
        <v>7874.0</v>
      </c>
      <c r="L68" s="34" t="s">
        <v>61</v>
      </c>
      <c r="M68" s="33" t="n">
        <f>7874</f>
        <v>7874.0</v>
      </c>
      <c r="N68" s="34" t="s">
        <v>61</v>
      </c>
      <c r="O68" s="33" t="n">
        <f>7874</f>
        <v>7874.0</v>
      </c>
      <c r="P68" s="34" t="s">
        <v>61</v>
      </c>
      <c r="Q68" s="33" t="n">
        <f>7874</f>
        <v>7874.0</v>
      </c>
      <c r="R68" s="34" t="s">
        <v>61</v>
      </c>
      <c r="S68" s="35" t="n">
        <f>7874</f>
        <v>7874.0</v>
      </c>
      <c r="T68" s="32" t="n">
        <f>10</f>
        <v>10.0</v>
      </c>
      <c r="U68" s="32" t="str">
        <f>"－"</f>
        <v>－</v>
      </c>
      <c r="V68" s="32" t="n">
        <f>78740</f>
        <v>78740.0</v>
      </c>
      <c r="W68" s="32" t="str">
        <f>"－"</f>
        <v>－</v>
      </c>
      <c r="X68" s="36" t="n">
        <f>1</f>
        <v>1.0</v>
      </c>
    </row>
    <row r="69">
      <c r="A69" s="27" t="s">
        <v>42</v>
      </c>
      <c r="B69" s="27" t="s">
        <v>249</v>
      </c>
      <c r="C69" s="27" t="s">
        <v>250</v>
      </c>
      <c r="D69" s="27" t="s">
        <v>251</v>
      </c>
      <c r="E69" s="28" t="s">
        <v>46</v>
      </c>
      <c r="F69" s="29" t="s">
        <v>46</v>
      </c>
      <c r="G69" s="30" t="s">
        <v>46</v>
      </c>
      <c r="H69" s="31" t="s">
        <v>252</v>
      </c>
      <c r="I69" s="31" t="s">
        <v>47</v>
      </c>
      <c r="J69" s="32" t="n">
        <v>1.0</v>
      </c>
      <c r="K69" s="33" t="n">
        <f>17245</f>
        <v>17245.0</v>
      </c>
      <c r="L69" s="34" t="s">
        <v>48</v>
      </c>
      <c r="M69" s="33" t="n">
        <f>18510</f>
        <v>18510.0</v>
      </c>
      <c r="N69" s="34" t="s">
        <v>214</v>
      </c>
      <c r="O69" s="33" t="n">
        <f>17245</f>
        <v>17245.0</v>
      </c>
      <c r="P69" s="34" t="s">
        <v>48</v>
      </c>
      <c r="Q69" s="33" t="n">
        <f>18510</f>
        <v>18510.0</v>
      </c>
      <c r="R69" s="34" t="s">
        <v>50</v>
      </c>
      <c r="S69" s="35" t="n">
        <f>18134.44</f>
        <v>18134.44</v>
      </c>
      <c r="T69" s="32" t="n">
        <f>2035</f>
        <v>2035.0</v>
      </c>
      <c r="U69" s="32" t="str">
        <f>"－"</f>
        <v>－</v>
      </c>
      <c r="V69" s="32" t="n">
        <f>37077315</f>
        <v>3.7077315E7</v>
      </c>
      <c r="W69" s="32" t="str">
        <f>"－"</f>
        <v>－</v>
      </c>
      <c r="X69" s="36" t="n">
        <f>18</f>
        <v>18.0</v>
      </c>
    </row>
    <row r="70">
      <c r="A70" s="27" t="s">
        <v>42</v>
      </c>
      <c r="B70" s="27" t="s">
        <v>253</v>
      </c>
      <c r="C70" s="27" t="s">
        <v>254</v>
      </c>
      <c r="D70" s="27" t="s">
        <v>255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17535</f>
        <v>17535.0</v>
      </c>
      <c r="L70" s="34" t="s">
        <v>48</v>
      </c>
      <c r="M70" s="33" t="n">
        <f>18420</f>
        <v>18420.0</v>
      </c>
      <c r="N70" s="34" t="s">
        <v>214</v>
      </c>
      <c r="O70" s="33" t="n">
        <f>17375</f>
        <v>17375.0</v>
      </c>
      <c r="P70" s="34" t="s">
        <v>48</v>
      </c>
      <c r="Q70" s="33" t="n">
        <f>18345</f>
        <v>18345.0</v>
      </c>
      <c r="R70" s="34" t="s">
        <v>50</v>
      </c>
      <c r="S70" s="35" t="n">
        <f>18053.42</f>
        <v>18053.42</v>
      </c>
      <c r="T70" s="32" t="n">
        <f>3751</f>
        <v>3751.0</v>
      </c>
      <c r="U70" s="32" t="str">
        <f>"－"</f>
        <v>－</v>
      </c>
      <c r="V70" s="32" t="n">
        <f>68171175</f>
        <v>6.8171175E7</v>
      </c>
      <c r="W70" s="32" t="str">
        <f>"－"</f>
        <v>－</v>
      </c>
      <c r="X70" s="36" t="n">
        <f>19</f>
        <v>19.0</v>
      </c>
    </row>
    <row r="71">
      <c r="A71" s="27" t="s">
        <v>42</v>
      </c>
      <c r="B71" s="27" t="s">
        <v>256</v>
      </c>
      <c r="C71" s="27" t="s">
        <v>257</v>
      </c>
      <c r="D71" s="27" t="s">
        <v>258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26940</f>
        <v>26940.0</v>
      </c>
      <c r="L71" s="34" t="s">
        <v>48</v>
      </c>
      <c r="M71" s="33" t="n">
        <f>28390</f>
        <v>28390.0</v>
      </c>
      <c r="N71" s="34" t="s">
        <v>77</v>
      </c>
      <c r="O71" s="33" t="n">
        <f>26420</f>
        <v>26420.0</v>
      </c>
      <c r="P71" s="34" t="s">
        <v>48</v>
      </c>
      <c r="Q71" s="33" t="n">
        <f>28280</f>
        <v>28280.0</v>
      </c>
      <c r="R71" s="34" t="s">
        <v>50</v>
      </c>
      <c r="S71" s="35" t="n">
        <f>27785.53</f>
        <v>27785.53</v>
      </c>
      <c r="T71" s="32" t="n">
        <f>39259</f>
        <v>39259.0</v>
      </c>
      <c r="U71" s="32" t="n">
        <f>14710</f>
        <v>14710.0</v>
      </c>
      <c r="V71" s="32" t="n">
        <f>1084958300</f>
        <v>1.0849583E9</v>
      </c>
      <c r="W71" s="32" t="n">
        <f>402666170</f>
        <v>4.0266617E8</v>
      </c>
      <c r="X71" s="36" t="n">
        <f>19</f>
        <v>19.0</v>
      </c>
    </row>
    <row r="72">
      <c r="A72" s="27" t="s">
        <v>42</v>
      </c>
      <c r="B72" s="27" t="s">
        <v>259</v>
      </c>
      <c r="C72" s="27" t="s">
        <v>260</v>
      </c>
      <c r="D72" s="27" t="s">
        <v>261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10.0</v>
      </c>
      <c r="K72" s="33" t="n">
        <f>10600</f>
        <v>10600.0</v>
      </c>
      <c r="L72" s="34" t="s">
        <v>48</v>
      </c>
      <c r="M72" s="33" t="n">
        <f>10750</f>
        <v>10750.0</v>
      </c>
      <c r="N72" s="34" t="s">
        <v>245</v>
      </c>
      <c r="O72" s="33" t="n">
        <f>10250</f>
        <v>10250.0</v>
      </c>
      <c r="P72" s="34" t="s">
        <v>214</v>
      </c>
      <c r="Q72" s="33" t="n">
        <f>10260</f>
        <v>10260.0</v>
      </c>
      <c r="R72" s="34" t="s">
        <v>50</v>
      </c>
      <c r="S72" s="35" t="n">
        <f>10482.11</f>
        <v>10482.11</v>
      </c>
      <c r="T72" s="32" t="n">
        <f>14030</f>
        <v>14030.0</v>
      </c>
      <c r="U72" s="32" t="n">
        <f>120</f>
        <v>120.0</v>
      </c>
      <c r="V72" s="32" t="n">
        <f>147493500</f>
        <v>1.474935E8</v>
      </c>
      <c r="W72" s="32" t="n">
        <f>1260150</f>
        <v>1260150.0</v>
      </c>
      <c r="X72" s="36" t="n">
        <f>19</f>
        <v>19.0</v>
      </c>
    </row>
    <row r="73">
      <c r="A73" s="27" t="s">
        <v>42</v>
      </c>
      <c r="B73" s="27" t="s">
        <v>262</v>
      </c>
      <c r="C73" s="27" t="s">
        <v>263</v>
      </c>
      <c r="D73" s="27" t="s">
        <v>264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1933</f>
        <v>1933.0</v>
      </c>
      <c r="L73" s="34" t="s">
        <v>48</v>
      </c>
      <c r="M73" s="33" t="n">
        <f>1941</f>
        <v>1941.0</v>
      </c>
      <c r="N73" s="34" t="s">
        <v>88</v>
      </c>
      <c r="O73" s="33" t="n">
        <f>1880</f>
        <v>1880.0</v>
      </c>
      <c r="P73" s="34" t="s">
        <v>159</v>
      </c>
      <c r="Q73" s="33" t="n">
        <f>1907</f>
        <v>1907.0</v>
      </c>
      <c r="R73" s="34" t="s">
        <v>50</v>
      </c>
      <c r="S73" s="35" t="n">
        <f>1905.63</f>
        <v>1905.63</v>
      </c>
      <c r="T73" s="32" t="n">
        <f>2583075</f>
        <v>2583075.0</v>
      </c>
      <c r="U73" s="32" t="n">
        <f>1975055</f>
        <v>1975055.0</v>
      </c>
      <c r="V73" s="32" t="n">
        <f>4935640149</f>
        <v>4.935640149E9</v>
      </c>
      <c r="W73" s="32" t="n">
        <f>3776156096</f>
        <v>3.776156096E9</v>
      </c>
      <c r="X73" s="36" t="n">
        <f>19</f>
        <v>19.0</v>
      </c>
    </row>
    <row r="74">
      <c r="A74" s="27" t="s">
        <v>42</v>
      </c>
      <c r="B74" s="27" t="s">
        <v>265</v>
      </c>
      <c r="C74" s="27" t="s">
        <v>266</v>
      </c>
      <c r="D74" s="27" t="s">
        <v>267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1915</f>
        <v>1915.0</v>
      </c>
      <c r="L74" s="34" t="s">
        <v>48</v>
      </c>
      <c r="M74" s="33" t="n">
        <f>1924</f>
        <v>1924.0</v>
      </c>
      <c r="N74" s="34" t="s">
        <v>48</v>
      </c>
      <c r="O74" s="33" t="n">
        <f>1880</f>
        <v>1880.0</v>
      </c>
      <c r="P74" s="34" t="s">
        <v>61</v>
      </c>
      <c r="Q74" s="33" t="n">
        <f>1896</f>
        <v>1896.0</v>
      </c>
      <c r="R74" s="34" t="s">
        <v>50</v>
      </c>
      <c r="S74" s="35" t="n">
        <f>1898.42</f>
        <v>1898.42</v>
      </c>
      <c r="T74" s="32" t="n">
        <f>737421</f>
        <v>737421.0</v>
      </c>
      <c r="U74" s="32" t="n">
        <f>6</f>
        <v>6.0</v>
      </c>
      <c r="V74" s="32" t="n">
        <f>1401232815</f>
        <v>1.401232815E9</v>
      </c>
      <c r="W74" s="32" t="n">
        <f>11442</f>
        <v>11442.0</v>
      </c>
      <c r="X74" s="36" t="n">
        <f>19</f>
        <v>19.0</v>
      </c>
    </row>
    <row r="75">
      <c r="A75" s="27" t="s">
        <v>42</v>
      </c>
      <c r="B75" s="27" t="s">
        <v>268</v>
      </c>
      <c r="C75" s="27" t="s">
        <v>269</v>
      </c>
      <c r="D75" s="27" t="s">
        <v>270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18295</f>
        <v>18295.0</v>
      </c>
      <c r="L75" s="34" t="s">
        <v>48</v>
      </c>
      <c r="M75" s="33" t="n">
        <f>20050</f>
        <v>20050.0</v>
      </c>
      <c r="N75" s="34" t="s">
        <v>49</v>
      </c>
      <c r="O75" s="33" t="n">
        <f>18155</f>
        <v>18155.0</v>
      </c>
      <c r="P75" s="34" t="s">
        <v>48</v>
      </c>
      <c r="Q75" s="33" t="n">
        <f>19910</f>
        <v>19910.0</v>
      </c>
      <c r="R75" s="34" t="s">
        <v>50</v>
      </c>
      <c r="S75" s="35" t="n">
        <f>19466.84</f>
        <v>19466.84</v>
      </c>
      <c r="T75" s="32" t="n">
        <f>3920</f>
        <v>3920.0</v>
      </c>
      <c r="U75" s="32" t="n">
        <f>550</f>
        <v>550.0</v>
      </c>
      <c r="V75" s="32" t="n">
        <f>75810050</f>
        <v>7.581005E7</v>
      </c>
      <c r="W75" s="32" t="n">
        <f>9982995</f>
        <v>9982995.0</v>
      </c>
      <c r="X75" s="36" t="n">
        <f>19</f>
        <v>19.0</v>
      </c>
    </row>
    <row r="76">
      <c r="A76" s="27" t="s">
        <v>42</v>
      </c>
      <c r="B76" s="27" t="s">
        <v>271</v>
      </c>
      <c r="C76" s="27" t="s">
        <v>272</v>
      </c>
      <c r="D76" s="27" t="s">
        <v>273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9334</f>
        <v>9334.0</v>
      </c>
      <c r="L76" s="34" t="s">
        <v>48</v>
      </c>
      <c r="M76" s="33" t="n">
        <f>9700</f>
        <v>9700.0</v>
      </c>
      <c r="N76" s="34" t="s">
        <v>213</v>
      </c>
      <c r="O76" s="33" t="n">
        <f>9270</f>
        <v>9270.0</v>
      </c>
      <c r="P76" s="34" t="s">
        <v>274</v>
      </c>
      <c r="Q76" s="33" t="n">
        <f>9474</f>
        <v>9474.0</v>
      </c>
      <c r="R76" s="34" t="s">
        <v>50</v>
      </c>
      <c r="S76" s="35" t="n">
        <f>9462</f>
        <v>9462.0</v>
      </c>
      <c r="T76" s="32" t="n">
        <f>6551</f>
        <v>6551.0</v>
      </c>
      <c r="U76" s="32" t="n">
        <f>3</f>
        <v>3.0</v>
      </c>
      <c r="V76" s="32" t="n">
        <f>62048023</f>
        <v>6.2048023E7</v>
      </c>
      <c r="W76" s="32" t="n">
        <f>28243</f>
        <v>28243.0</v>
      </c>
      <c r="X76" s="36" t="n">
        <f>19</f>
        <v>19.0</v>
      </c>
    </row>
    <row r="77">
      <c r="A77" s="27" t="s">
        <v>42</v>
      </c>
      <c r="B77" s="27" t="s">
        <v>275</v>
      </c>
      <c r="C77" s="27" t="s">
        <v>276</v>
      </c>
      <c r="D77" s="27" t="s">
        <v>277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8932</f>
        <v>8932.0</v>
      </c>
      <c r="L77" s="34" t="s">
        <v>48</v>
      </c>
      <c r="M77" s="33" t="n">
        <f>9144</f>
        <v>9144.0</v>
      </c>
      <c r="N77" s="34" t="s">
        <v>87</v>
      </c>
      <c r="O77" s="33" t="n">
        <f>8893</f>
        <v>8893.0</v>
      </c>
      <c r="P77" s="34" t="s">
        <v>88</v>
      </c>
      <c r="Q77" s="33" t="n">
        <f>9135</f>
        <v>9135.0</v>
      </c>
      <c r="R77" s="34" t="s">
        <v>50</v>
      </c>
      <c r="S77" s="35" t="n">
        <f>9059.68</f>
        <v>9059.68</v>
      </c>
      <c r="T77" s="32" t="n">
        <f>2137730</f>
        <v>2137730.0</v>
      </c>
      <c r="U77" s="32" t="n">
        <f>74075</f>
        <v>74075.0</v>
      </c>
      <c r="V77" s="32" t="n">
        <f>19344470634</f>
        <v>1.9344470634E10</v>
      </c>
      <c r="W77" s="32" t="n">
        <f>673787606</f>
        <v>6.73787606E8</v>
      </c>
      <c r="X77" s="36" t="n">
        <f>19</f>
        <v>19.0</v>
      </c>
    </row>
    <row r="78">
      <c r="A78" s="27" t="s">
        <v>42</v>
      </c>
      <c r="B78" s="27" t="s">
        <v>278</v>
      </c>
      <c r="C78" s="27" t="s">
        <v>279</v>
      </c>
      <c r="D78" s="27" t="s">
        <v>280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4050</f>
        <v>4050.0</v>
      </c>
      <c r="L78" s="34" t="s">
        <v>48</v>
      </c>
      <c r="M78" s="33" t="n">
        <f>4060</f>
        <v>4060.0</v>
      </c>
      <c r="N78" s="34" t="s">
        <v>48</v>
      </c>
      <c r="O78" s="33" t="n">
        <f>3925</f>
        <v>3925.0</v>
      </c>
      <c r="P78" s="34" t="s">
        <v>218</v>
      </c>
      <c r="Q78" s="33" t="n">
        <f>4020</f>
        <v>4020.0</v>
      </c>
      <c r="R78" s="34" t="s">
        <v>50</v>
      </c>
      <c r="S78" s="35" t="n">
        <f>3983.16</f>
        <v>3983.16</v>
      </c>
      <c r="T78" s="32" t="n">
        <f>586176</f>
        <v>586176.0</v>
      </c>
      <c r="U78" s="32" t="n">
        <f>161</f>
        <v>161.0</v>
      </c>
      <c r="V78" s="32" t="n">
        <f>2331134420</f>
        <v>2.33113442E9</v>
      </c>
      <c r="W78" s="32" t="n">
        <f>617930</f>
        <v>617930.0</v>
      </c>
      <c r="X78" s="36" t="n">
        <f>19</f>
        <v>19.0</v>
      </c>
    </row>
    <row r="79">
      <c r="A79" s="27" t="s">
        <v>42</v>
      </c>
      <c r="B79" s="27" t="s">
        <v>281</v>
      </c>
      <c r="C79" s="27" t="s">
        <v>282</v>
      </c>
      <c r="D79" s="27" t="s">
        <v>283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9666</f>
        <v>9666.0</v>
      </c>
      <c r="L79" s="34" t="s">
        <v>48</v>
      </c>
      <c r="M79" s="33" t="n">
        <f>9949</f>
        <v>9949.0</v>
      </c>
      <c r="N79" s="34" t="s">
        <v>214</v>
      </c>
      <c r="O79" s="33" t="n">
        <f>9607</f>
        <v>9607.0</v>
      </c>
      <c r="P79" s="34" t="s">
        <v>48</v>
      </c>
      <c r="Q79" s="33" t="n">
        <f>9919</f>
        <v>9919.0</v>
      </c>
      <c r="R79" s="34" t="s">
        <v>50</v>
      </c>
      <c r="S79" s="35" t="n">
        <f>9806.58</f>
        <v>9806.58</v>
      </c>
      <c r="T79" s="32" t="n">
        <f>133187</f>
        <v>133187.0</v>
      </c>
      <c r="U79" s="32" t="n">
        <f>18</f>
        <v>18.0</v>
      </c>
      <c r="V79" s="32" t="n">
        <f>1302805133</f>
        <v>1.302805133E9</v>
      </c>
      <c r="W79" s="32" t="n">
        <f>176183</f>
        <v>176183.0</v>
      </c>
      <c r="X79" s="36" t="n">
        <f>19</f>
        <v>19.0</v>
      </c>
    </row>
    <row r="80">
      <c r="A80" s="27" t="s">
        <v>42</v>
      </c>
      <c r="B80" s="27" t="s">
        <v>284</v>
      </c>
      <c r="C80" s="27" t="s">
        <v>285</v>
      </c>
      <c r="D80" s="27" t="s">
        <v>286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1.0</v>
      </c>
      <c r="K80" s="33" t="n">
        <f>44700</f>
        <v>44700.0</v>
      </c>
      <c r="L80" s="34" t="s">
        <v>48</v>
      </c>
      <c r="M80" s="33" t="n">
        <f>44850</f>
        <v>44850.0</v>
      </c>
      <c r="N80" s="34" t="s">
        <v>287</v>
      </c>
      <c r="O80" s="33" t="n">
        <f>42080</f>
        <v>42080.0</v>
      </c>
      <c r="P80" s="34" t="s">
        <v>61</v>
      </c>
      <c r="Q80" s="33" t="n">
        <f>42710</f>
        <v>42710.0</v>
      </c>
      <c r="R80" s="34" t="s">
        <v>50</v>
      </c>
      <c r="S80" s="35" t="n">
        <f>43343.16</f>
        <v>43343.16</v>
      </c>
      <c r="T80" s="32" t="n">
        <f>16283</f>
        <v>16283.0</v>
      </c>
      <c r="U80" s="32" t="n">
        <f>43</f>
        <v>43.0</v>
      </c>
      <c r="V80" s="32" t="n">
        <f>707588370</f>
        <v>7.0758837E8</v>
      </c>
      <c r="W80" s="32" t="n">
        <f>1853410</f>
        <v>1853410.0</v>
      </c>
      <c r="X80" s="36" t="n">
        <f>19</f>
        <v>19.0</v>
      </c>
    </row>
    <row r="81">
      <c r="A81" s="27" t="s">
        <v>42</v>
      </c>
      <c r="B81" s="27" t="s">
        <v>288</v>
      </c>
      <c r="C81" s="27" t="s">
        <v>289</v>
      </c>
      <c r="D81" s="27" t="s">
        <v>290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23735</f>
        <v>23735.0</v>
      </c>
      <c r="L81" s="34" t="s">
        <v>48</v>
      </c>
      <c r="M81" s="33" t="n">
        <f>26300</f>
        <v>26300.0</v>
      </c>
      <c r="N81" s="34" t="s">
        <v>87</v>
      </c>
      <c r="O81" s="33" t="n">
        <f>23685</f>
        <v>23685.0</v>
      </c>
      <c r="P81" s="34" t="s">
        <v>48</v>
      </c>
      <c r="Q81" s="33" t="n">
        <f>25955</f>
        <v>25955.0</v>
      </c>
      <c r="R81" s="34" t="s">
        <v>50</v>
      </c>
      <c r="S81" s="35" t="n">
        <f>25276.32</f>
        <v>25276.32</v>
      </c>
      <c r="T81" s="32" t="n">
        <f>1247268</f>
        <v>1247268.0</v>
      </c>
      <c r="U81" s="32" t="n">
        <f>12702</f>
        <v>12702.0</v>
      </c>
      <c r="V81" s="32" t="n">
        <f>31536222618</f>
        <v>3.1536222618E10</v>
      </c>
      <c r="W81" s="32" t="n">
        <f>311320198</f>
        <v>3.11320198E8</v>
      </c>
      <c r="X81" s="36" t="n">
        <f>19</f>
        <v>19.0</v>
      </c>
    </row>
    <row r="82">
      <c r="A82" s="27" t="s">
        <v>42</v>
      </c>
      <c r="B82" s="27" t="s">
        <v>291</v>
      </c>
      <c r="C82" s="27" t="s">
        <v>292</v>
      </c>
      <c r="D82" s="27" t="s">
        <v>293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52250</f>
        <v>52250.0</v>
      </c>
      <c r="L82" s="34" t="s">
        <v>48</v>
      </c>
      <c r="M82" s="33" t="n">
        <f>55490</f>
        <v>55490.0</v>
      </c>
      <c r="N82" s="34" t="s">
        <v>50</v>
      </c>
      <c r="O82" s="33" t="n">
        <f>52160</f>
        <v>52160.0</v>
      </c>
      <c r="P82" s="34" t="s">
        <v>48</v>
      </c>
      <c r="Q82" s="33" t="n">
        <f>55470</f>
        <v>55470.0</v>
      </c>
      <c r="R82" s="34" t="s">
        <v>50</v>
      </c>
      <c r="S82" s="35" t="n">
        <f>54022.11</f>
        <v>54022.11</v>
      </c>
      <c r="T82" s="32" t="n">
        <f>79357</f>
        <v>79357.0</v>
      </c>
      <c r="U82" s="32" t="n">
        <f>18101</f>
        <v>18101.0</v>
      </c>
      <c r="V82" s="32" t="n">
        <f>4270231962</f>
        <v>4.270231962E9</v>
      </c>
      <c r="W82" s="32" t="n">
        <f>972715382</f>
        <v>9.72715382E8</v>
      </c>
      <c r="X82" s="36" t="n">
        <f>19</f>
        <v>19.0</v>
      </c>
    </row>
    <row r="83">
      <c r="A83" s="27" t="s">
        <v>42</v>
      </c>
      <c r="B83" s="27" t="s">
        <v>294</v>
      </c>
      <c r="C83" s="27" t="s">
        <v>295</v>
      </c>
      <c r="D83" s="27" t="s">
        <v>296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10.0</v>
      </c>
      <c r="K83" s="33" t="n">
        <f>7389</f>
        <v>7389.0</v>
      </c>
      <c r="L83" s="34" t="s">
        <v>48</v>
      </c>
      <c r="M83" s="33" t="n">
        <f>7880</f>
        <v>7880.0</v>
      </c>
      <c r="N83" s="34" t="s">
        <v>214</v>
      </c>
      <c r="O83" s="33" t="n">
        <f>7374</f>
        <v>7374.0</v>
      </c>
      <c r="P83" s="34" t="s">
        <v>48</v>
      </c>
      <c r="Q83" s="33" t="n">
        <f>7860</f>
        <v>7860.0</v>
      </c>
      <c r="R83" s="34" t="s">
        <v>50</v>
      </c>
      <c r="S83" s="35" t="n">
        <f>7686.21</f>
        <v>7686.21</v>
      </c>
      <c r="T83" s="32" t="n">
        <f>1936000</f>
        <v>1936000.0</v>
      </c>
      <c r="U83" s="32" t="n">
        <f>170370</f>
        <v>170370.0</v>
      </c>
      <c r="V83" s="32" t="n">
        <f>14831913399</f>
        <v>1.4831913399E10</v>
      </c>
      <c r="W83" s="32" t="n">
        <f>1271069939</f>
        <v>1.271069939E9</v>
      </c>
      <c r="X83" s="36" t="n">
        <f>19</f>
        <v>19.0</v>
      </c>
    </row>
    <row r="84">
      <c r="A84" s="27" t="s">
        <v>42</v>
      </c>
      <c r="B84" s="27" t="s">
        <v>297</v>
      </c>
      <c r="C84" s="27" t="s">
        <v>298</v>
      </c>
      <c r="D84" s="27" t="s">
        <v>299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4612</f>
        <v>4612.0</v>
      </c>
      <c r="L84" s="34" t="s">
        <v>48</v>
      </c>
      <c r="M84" s="33" t="n">
        <f>4927</f>
        <v>4927.0</v>
      </c>
      <c r="N84" s="34" t="s">
        <v>214</v>
      </c>
      <c r="O84" s="33" t="n">
        <f>4605</f>
        <v>4605.0</v>
      </c>
      <c r="P84" s="34" t="s">
        <v>48</v>
      </c>
      <c r="Q84" s="33" t="n">
        <f>4921</f>
        <v>4921.0</v>
      </c>
      <c r="R84" s="34" t="s">
        <v>50</v>
      </c>
      <c r="S84" s="35" t="n">
        <f>4795.32</f>
        <v>4795.32</v>
      </c>
      <c r="T84" s="32" t="n">
        <f>122210</f>
        <v>122210.0</v>
      </c>
      <c r="U84" s="32" t="str">
        <f>"－"</f>
        <v>－</v>
      </c>
      <c r="V84" s="32" t="n">
        <f>582388530</f>
        <v>5.8238853E8</v>
      </c>
      <c r="W84" s="32" t="str">
        <f>"－"</f>
        <v>－</v>
      </c>
      <c r="X84" s="36" t="n">
        <f>19</f>
        <v>19.0</v>
      </c>
    </row>
    <row r="85">
      <c r="A85" s="27" t="s">
        <v>42</v>
      </c>
      <c r="B85" s="27" t="s">
        <v>300</v>
      </c>
      <c r="C85" s="27" t="s">
        <v>301</v>
      </c>
      <c r="D85" s="27" t="s">
        <v>302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10.0</v>
      </c>
      <c r="K85" s="33" t="n">
        <f>4846</f>
        <v>4846.0</v>
      </c>
      <c r="L85" s="34" t="s">
        <v>48</v>
      </c>
      <c r="M85" s="33" t="n">
        <f>5100</f>
        <v>5100.0</v>
      </c>
      <c r="N85" s="34" t="s">
        <v>218</v>
      </c>
      <c r="O85" s="33" t="n">
        <f>4846</f>
        <v>4846.0</v>
      </c>
      <c r="P85" s="34" t="s">
        <v>48</v>
      </c>
      <c r="Q85" s="33" t="n">
        <f>5007</f>
        <v>5007.0</v>
      </c>
      <c r="R85" s="34" t="s">
        <v>50</v>
      </c>
      <c r="S85" s="35" t="n">
        <f>4993.74</f>
        <v>4993.74</v>
      </c>
      <c r="T85" s="32" t="n">
        <f>9970</f>
        <v>9970.0</v>
      </c>
      <c r="U85" s="32" t="str">
        <f>"－"</f>
        <v>－</v>
      </c>
      <c r="V85" s="32" t="n">
        <f>49788070</f>
        <v>4.978807E7</v>
      </c>
      <c r="W85" s="32" t="str">
        <f>"－"</f>
        <v>－</v>
      </c>
      <c r="X85" s="36" t="n">
        <f>19</f>
        <v>19.0</v>
      </c>
    </row>
    <row r="86">
      <c r="A86" s="27" t="s">
        <v>42</v>
      </c>
      <c r="B86" s="27" t="s">
        <v>303</v>
      </c>
      <c r="C86" s="27" t="s">
        <v>304</v>
      </c>
      <c r="D86" s="27" t="s">
        <v>305</v>
      </c>
      <c r="E86" s="28" t="s">
        <v>46</v>
      </c>
      <c r="F86" s="29" t="s">
        <v>46</v>
      </c>
      <c r="G86" s="30" t="s">
        <v>46</v>
      </c>
      <c r="H86" s="31" t="s">
        <v>306</v>
      </c>
      <c r="I86" s="31"/>
      <c r="J86" s="32" t="n">
        <v>1.0</v>
      </c>
      <c r="K86" s="33" t="n">
        <f>416</f>
        <v>416.0</v>
      </c>
      <c r="L86" s="34" t="s">
        <v>48</v>
      </c>
      <c r="M86" s="33" t="n">
        <f>426</f>
        <v>426.0</v>
      </c>
      <c r="N86" s="34" t="s">
        <v>61</v>
      </c>
      <c r="O86" s="33" t="n">
        <f>378</f>
        <v>378.0</v>
      </c>
      <c r="P86" s="34" t="s">
        <v>274</v>
      </c>
      <c r="Q86" s="33" t="n">
        <f>388</f>
        <v>388.0</v>
      </c>
      <c r="R86" s="34" t="s">
        <v>50</v>
      </c>
      <c r="S86" s="35" t="n">
        <f>397.47</f>
        <v>397.47</v>
      </c>
      <c r="T86" s="32" t="n">
        <f>23048667</f>
        <v>2.3048667E7</v>
      </c>
      <c r="U86" s="32" t="n">
        <f>13016</f>
        <v>13016.0</v>
      </c>
      <c r="V86" s="32" t="n">
        <f>9165409148</f>
        <v>9.165409148E9</v>
      </c>
      <c r="W86" s="32" t="n">
        <f>5139045</f>
        <v>5139045.0</v>
      </c>
      <c r="X86" s="36" t="n">
        <f>19</f>
        <v>19.0</v>
      </c>
    </row>
    <row r="87">
      <c r="A87" s="27" t="s">
        <v>42</v>
      </c>
      <c r="B87" s="27" t="s">
        <v>307</v>
      </c>
      <c r="C87" s="27" t="s">
        <v>308</v>
      </c>
      <c r="D87" s="27" t="s">
        <v>309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10.0</v>
      </c>
      <c r="K87" s="33" t="n">
        <f>3877</f>
        <v>3877.0</v>
      </c>
      <c r="L87" s="34" t="s">
        <v>48</v>
      </c>
      <c r="M87" s="33" t="n">
        <f>4055</f>
        <v>4055.0</v>
      </c>
      <c r="N87" s="34" t="s">
        <v>214</v>
      </c>
      <c r="O87" s="33" t="n">
        <f>3860</f>
        <v>3860.0</v>
      </c>
      <c r="P87" s="34" t="s">
        <v>48</v>
      </c>
      <c r="Q87" s="33" t="n">
        <f>4039</f>
        <v>4039.0</v>
      </c>
      <c r="R87" s="34" t="s">
        <v>50</v>
      </c>
      <c r="S87" s="35" t="n">
        <f>3977.37</f>
        <v>3977.37</v>
      </c>
      <c r="T87" s="32" t="n">
        <f>285290</f>
        <v>285290.0</v>
      </c>
      <c r="U87" s="32" t="n">
        <f>40</f>
        <v>40.0</v>
      </c>
      <c r="V87" s="32" t="n">
        <f>1129427990</f>
        <v>1.12942799E9</v>
      </c>
      <c r="W87" s="32" t="n">
        <f>157820</f>
        <v>157820.0</v>
      </c>
      <c r="X87" s="36" t="n">
        <f>19</f>
        <v>19.0</v>
      </c>
    </row>
    <row r="88">
      <c r="A88" s="27" t="s">
        <v>42</v>
      </c>
      <c r="B88" s="27" t="s">
        <v>310</v>
      </c>
      <c r="C88" s="27" t="s">
        <v>311</v>
      </c>
      <c r="D88" s="27" t="s">
        <v>312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10.0</v>
      </c>
      <c r="K88" s="33" t="n">
        <f>1873.5</f>
        <v>1873.5</v>
      </c>
      <c r="L88" s="34" t="s">
        <v>48</v>
      </c>
      <c r="M88" s="33" t="n">
        <f>1949.5</f>
        <v>1949.5</v>
      </c>
      <c r="N88" s="34" t="s">
        <v>50</v>
      </c>
      <c r="O88" s="33" t="n">
        <f>1832.5</f>
        <v>1832.5</v>
      </c>
      <c r="P88" s="34" t="s">
        <v>61</v>
      </c>
      <c r="Q88" s="33" t="n">
        <f>1949.5</f>
        <v>1949.5</v>
      </c>
      <c r="R88" s="34" t="s">
        <v>50</v>
      </c>
      <c r="S88" s="35" t="n">
        <f>1886.29</f>
        <v>1886.29</v>
      </c>
      <c r="T88" s="32" t="n">
        <f>142530</f>
        <v>142530.0</v>
      </c>
      <c r="U88" s="32" t="n">
        <f>670</f>
        <v>670.0</v>
      </c>
      <c r="V88" s="32" t="n">
        <f>268913060</f>
        <v>2.6891306E8</v>
      </c>
      <c r="W88" s="32" t="n">
        <f>1258050</f>
        <v>1258050.0</v>
      </c>
      <c r="X88" s="36" t="n">
        <f>19</f>
        <v>19.0</v>
      </c>
    </row>
    <row r="89">
      <c r="A89" s="27" t="s">
        <v>42</v>
      </c>
      <c r="B89" s="27" t="s">
        <v>313</v>
      </c>
      <c r="C89" s="27" t="s">
        <v>314</v>
      </c>
      <c r="D89" s="27" t="s">
        <v>315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67110</f>
        <v>67110.0</v>
      </c>
      <c r="L89" s="34" t="s">
        <v>48</v>
      </c>
      <c r="M89" s="33" t="n">
        <f>72440</f>
        <v>72440.0</v>
      </c>
      <c r="N89" s="34" t="s">
        <v>214</v>
      </c>
      <c r="O89" s="33" t="n">
        <f>66990</f>
        <v>66990.0</v>
      </c>
      <c r="P89" s="34" t="s">
        <v>48</v>
      </c>
      <c r="Q89" s="33" t="n">
        <f>72260</f>
        <v>72260.0</v>
      </c>
      <c r="R89" s="34" t="s">
        <v>50</v>
      </c>
      <c r="S89" s="35" t="n">
        <f>70266.32</f>
        <v>70266.32</v>
      </c>
      <c r="T89" s="32" t="n">
        <f>67931</f>
        <v>67931.0</v>
      </c>
      <c r="U89" s="32" t="str">
        <f>"－"</f>
        <v>－</v>
      </c>
      <c r="V89" s="32" t="n">
        <f>4760091450</f>
        <v>4.76009145E9</v>
      </c>
      <c r="W89" s="32" t="str">
        <f>"－"</f>
        <v>－</v>
      </c>
      <c r="X89" s="36" t="n">
        <f>19</f>
        <v>19.0</v>
      </c>
    </row>
    <row r="90">
      <c r="A90" s="27" t="s">
        <v>42</v>
      </c>
      <c r="B90" s="27" t="s">
        <v>316</v>
      </c>
      <c r="C90" s="27" t="s">
        <v>317</v>
      </c>
      <c r="D90" s="27" t="s">
        <v>318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1.0</v>
      </c>
      <c r="K90" s="33" t="n">
        <f>3300</f>
        <v>3300.0</v>
      </c>
      <c r="L90" s="34" t="s">
        <v>48</v>
      </c>
      <c r="M90" s="33" t="n">
        <f>3330</f>
        <v>3330.0</v>
      </c>
      <c r="N90" s="34" t="s">
        <v>77</v>
      </c>
      <c r="O90" s="33" t="n">
        <f>3245</f>
        <v>3245.0</v>
      </c>
      <c r="P90" s="34" t="s">
        <v>87</v>
      </c>
      <c r="Q90" s="33" t="n">
        <f>3290</f>
        <v>3290.0</v>
      </c>
      <c r="R90" s="34" t="s">
        <v>50</v>
      </c>
      <c r="S90" s="35" t="n">
        <f>3290.79</f>
        <v>3290.79</v>
      </c>
      <c r="T90" s="32" t="n">
        <f>8279</f>
        <v>8279.0</v>
      </c>
      <c r="U90" s="32" t="str">
        <f>"－"</f>
        <v>－</v>
      </c>
      <c r="V90" s="32" t="n">
        <f>27169940</f>
        <v>2.716994E7</v>
      </c>
      <c r="W90" s="32" t="str">
        <f>"－"</f>
        <v>－</v>
      </c>
      <c r="X90" s="36" t="n">
        <f>19</f>
        <v>19.0</v>
      </c>
    </row>
    <row r="91">
      <c r="A91" s="27" t="s">
        <v>42</v>
      </c>
      <c r="B91" s="27" t="s">
        <v>319</v>
      </c>
      <c r="C91" s="27" t="s">
        <v>320</v>
      </c>
      <c r="D91" s="27" t="s">
        <v>321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4500</f>
        <v>4500.0</v>
      </c>
      <c r="L91" s="34" t="s">
        <v>48</v>
      </c>
      <c r="M91" s="33" t="n">
        <f>4570</f>
        <v>4570.0</v>
      </c>
      <c r="N91" s="34" t="s">
        <v>214</v>
      </c>
      <c r="O91" s="33" t="n">
        <f>4450</f>
        <v>4450.0</v>
      </c>
      <c r="P91" s="34" t="s">
        <v>48</v>
      </c>
      <c r="Q91" s="33" t="n">
        <f>4565</f>
        <v>4565.0</v>
      </c>
      <c r="R91" s="34" t="s">
        <v>50</v>
      </c>
      <c r="S91" s="35" t="n">
        <f>4520.26</f>
        <v>4520.26</v>
      </c>
      <c r="T91" s="32" t="n">
        <f>5737</f>
        <v>5737.0</v>
      </c>
      <c r="U91" s="32" t="str">
        <f>"－"</f>
        <v>－</v>
      </c>
      <c r="V91" s="32" t="n">
        <f>25890790</f>
        <v>2.589079E7</v>
      </c>
      <c r="W91" s="32" t="str">
        <f>"－"</f>
        <v>－</v>
      </c>
      <c r="X91" s="36" t="n">
        <f>19</f>
        <v>19.0</v>
      </c>
    </row>
    <row r="92">
      <c r="A92" s="27" t="s">
        <v>42</v>
      </c>
      <c r="B92" s="27" t="s">
        <v>322</v>
      </c>
      <c r="C92" s="27" t="s">
        <v>323</v>
      </c>
      <c r="D92" s="27" t="s">
        <v>324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2501</f>
        <v>2501.0</v>
      </c>
      <c r="L92" s="34" t="s">
        <v>48</v>
      </c>
      <c r="M92" s="33" t="n">
        <f>2665</f>
        <v>2665.0</v>
      </c>
      <c r="N92" s="34" t="s">
        <v>77</v>
      </c>
      <c r="O92" s="33" t="n">
        <f>2480</f>
        <v>2480.0</v>
      </c>
      <c r="P92" s="34" t="s">
        <v>61</v>
      </c>
      <c r="Q92" s="33" t="n">
        <f>2577</f>
        <v>2577.0</v>
      </c>
      <c r="R92" s="34" t="s">
        <v>50</v>
      </c>
      <c r="S92" s="35" t="n">
        <f>2566.68</f>
        <v>2566.68</v>
      </c>
      <c r="T92" s="32" t="n">
        <f>1711203</f>
        <v>1711203.0</v>
      </c>
      <c r="U92" s="32" t="str">
        <f>"－"</f>
        <v>－</v>
      </c>
      <c r="V92" s="32" t="n">
        <f>4390267635</f>
        <v>4.390267635E9</v>
      </c>
      <c r="W92" s="32" t="str">
        <f>"－"</f>
        <v>－</v>
      </c>
      <c r="X92" s="36" t="n">
        <f>19</f>
        <v>19.0</v>
      </c>
    </row>
    <row r="93">
      <c r="A93" s="27" t="s">
        <v>42</v>
      </c>
      <c r="B93" s="27" t="s">
        <v>325</v>
      </c>
      <c r="C93" s="27" t="s">
        <v>326</v>
      </c>
      <c r="D93" s="27" t="s">
        <v>327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48160</f>
        <v>48160.0</v>
      </c>
      <c r="L93" s="34" t="s">
        <v>48</v>
      </c>
      <c r="M93" s="33" t="n">
        <f>49160</f>
        <v>49160.0</v>
      </c>
      <c r="N93" s="34" t="s">
        <v>61</v>
      </c>
      <c r="O93" s="33" t="n">
        <f>47830</f>
        <v>47830.0</v>
      </c>
      <c r="P93" s="34" t="s">
        <v>88</v>
      </c>
      <c r="Q93" s="33" t="n">
        <f>48690</f>
        <v>48690.0</v>
      </c>
      <c r="R93" s="34" t="s">
        <v>50</v>
      </c>
      <c r="S93" s="35" t="n">
        <f>48653.68</f>
        <v>48653.68</v>
      </c>
      <c r="T93" s="32" t="n">
        <f>25854</f>
        <v>25854.0</v>
      </c>
      <c r="U93" s="32" t="n">
        <f>4983</f>
        <v>4983.0</v>
      </c>
      <c r="V93" s="32" t="n">
        <f>1257338277</f>
        <v>1.257338277E9</v>
      </c>
      <c r="W93" s="32" t="n">
        <f>242984287</f>
        <v>2.42984287E8</v>
      </c>
      <c r="X93" s="36" t="n">
        <f>19</f>
        <v>19.0</v>
      </c>
    </row>
    <row r="94">
      <c r="A94" s="27" t="s">
        <v>42</v>
      </c>
      <c r="B94" s="27" t="s">
        <v>328</v>
      </c>
      <c r="C94" s="27" t="s">
        <v>329</v>
      </c>
      <c r="D94" s="27" t="s">
        <v>330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10.0</v>
      </c>
      <c r="K94" s="33" t="n">
        <f>36100</f>
        <v>36100.0</v>
      </c>
      <c r="L94" s="34" t="s">
        <v>48</v>
      </c>
      <c r="M94" s="33" t="n">
        <f>42800</f>
        <v>42800.0</v>
      </c>
      <c r="N94" s="34" t="s">
        <v>49</v>
      </c>
      <c r="O94" s="33" t="n">
        <f>35480</f>
        <v>35480.0</v>
      </c>
      <c r="P94" s="34" t="s">
        <v>48</v>
      </c>
      <c r="Q94" s="33" t="n">
        <f>42290</f>
        <v>42290.0</v>
      </c>
      <c r="R94" s="34" t="s">
        <v>50</v>
      </c>
      <c r="S94" s="35" t="n">
        <f>40466.84</f>
        <v>40466.84</v>
      </c>
      <c r="T94" s="32" t="n">
        <f>2230390</f>
        <v>2230390.0</v>
      </c>
      <c r="U94" s="32" t="n">
        <f>9460</f>
        <v>9460.0</v>
      </c>
      <c r="V94" s="32" t="n">
        <f>89770069562</f>
        <v>8.9770069562E10</v>
      </c>
      <c r="W94" s="32" t="n">
        <f>392453362</f>
        <v>3.92453362E8</v>
      </c>
      <c r="X94" s="36" t="n">
        <f>19</f>
        <v>19.0</v>
      </c>
    </row>
    <row r="95">
      <c r="A95" s="27" t="s">
        <v>42</v>
      </c>
      <c r="B95" s="27" t="s">
        <v>331</v>
      </c>
      <c r="C95" s="27" t="s">
        <v>332</v>
      </c>
      <c r="D95" s="27" t="s">
        <v>333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10.0</v>
      </c>
      <c r="K95" s="33" t="n">
        <f>1575</f>
        <v>1575.0</v>
      </c>
      <c r="L95" s="34" t="s">
        <v>48</v>
      </c>
      <c r="M95" s="33" t="n">
        <f>1588</f>
        <v>1588.0</v>
      </c>
      <c r="N95" s="34" t="s">
        <v>48</v>
      </c>
      <c r="O95" s="33" t="n">
        <f>1442.5</f>
        <v>1442.5</v>
      </c>
      <c r="P95" s="34" t="s">
        <v>49</v>
      </c>
      <c r="Q95" s="33" t="n">
        <f>1449</f>
        <v>1449.0</v>
      </c>
      <c r="R95" s="34" t="s">
        <v>50</v>
      </c>
      <c r="S95" s="35" t="n">
        <f>1485.82</f>
        <v>1485.82</v>
      </c>
      <c r="T95" s="32" t="n">
        <f>639390</f>
        <v>639390.0</v>
      </c>
      <c r="U95" s="32" t="n">
        <f>37900</f>
        <v>37900.0</v>
      </c>
      <c r="V95" s="32" t="n">
        <f>948505125</f>
        <v>9.48505125E8</v>
      </c>
      <c r="W95" s="32" t="n">
        <f>55760570</f>
        <v>5.576057E7</v>
      </c>
      <c r="X95" s="36" t="n">
        <f>19</f>
        <v>19.0</v>
      </c>
    </row>
    <row r="96">
      <c r="A96" s="27" t="s">
        <v>42</v>
      </c>
      <c r="B96" s="27" t="s">
        <v>334</v>
      </c>
      <c r="C96" s="27" t="s">
        <v>335</v>
      </c>
      <c r="D96" s="27" t="s">
        <v>336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20375</f>
        <v>20375.0</v>
      </c>
      <c r="L96" s="34" t="s">
        <v>48</v>
      </c>
      <c r="M96" s="33" t="n">
        <f>25730</f>
        <v>25730.0</v>
      </c>
      <c r="N96" s="34" t="s">
        <v>49</v>
      </c>
      <c r="O96" s="33" t="n">
        <f>20125</f>
        <v>20125.0</v>
      </c>
      <c r="P96" s="34" t="s">
        <v>48</v>
      </c>
      <c r="Q96" s="33" t="n">
        <f>24760</f>
        <v>24760.0</v>
      </c>
      <c r="R96" s="34" t="s">
        <v>50</v>
      </c>
      <c r="S96" s="35" t="n">
        <f>23678.95</f>
        <v>23678.95</v>
      </c>
      <c r="T96" s="32" t="n">
        <f>132904941</f>
        <v>1.32904941E8</v>
      </c>
      <c r="U96" s="32" t="n">
        <f>1206528</f>
        <v>1206528.0</v>
      </c>
      <c r="V96" s="32" t="n">
        <f>3147972375709</f>
        <v>3.147972375709E12</v>
      </c>
      <c r="W96" s="32" t="n">
        <f>28184831759</f>
        <v>2.8184831759E10</v>
      </c>
      <c r="X96" s="36" t="n">
        <f>19</f>
        <v>19.0</v>
      </c>
    </row>
    <row r="97">
      <c r="A97" s="27" t="s">
        <v>42</v>
      </c>
      <c r="B97" s="27" t="s">
        <v>337</v>
      </c>
      <c r="C97" s="27" t="s">
        <v>338</v>
      </c>
      <c r="D97" s="27" t="s">
        <v>339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753</f>
        <v>753.0</v>
      </c>
      <c r="L97" s="34" t="s">
        <v>48</v>
      </c>
      <c r="M97" s="33" t="n">
        <f>760</f>
        <v>760.0</v>
      </c>
      <c r="N97" s="34" t="s">
        <v>48</v>
      </c>
      <c r="O97" s="33" t="n">
        <f>669</f>
        <v>669.0</v>
      </c>
      <c r="P97" s="34" t="s">
        <v>49</v>
      </c>
      <c r="Q97" s="33" t="n">
        <f>682</f>
        <v>682.0</v>
      </c>
      <c r="R97" s="34" t="s">
        <v>50</v>
      </c>
      <c r="S97" s="35" t="n">
        <f>699.74</f>
        <v>699.74</v>
      </c>
      <c r="T97" s="32" t="n">
        <f>75702582</f>
        <v>7.5702582E7</v>
      </c>
      <c r="U97" s="32" t="n">
        <f>7276208</f>
        <v>7276208.0</v>
      </c>
      <c r="V97" s="32" t="n">
        <f>52734095431</f>
        <v>5.2734095431E10</v>
      </c>
      <c r="W97" s="32" t="n">
        <f>5049657953</f>
        <v>5.049657953E9</v>
      </c>
      <c r="X97" s="36" t="n">
        <f>19</f>
        <v>19.0</v>
      </c>
    </row>
    <row r="98">
      <c r="A98" s="27" t="s">
        <v>42</v>
      </c>
      <c r="B98" s="27" t="s">
        <v>340</v>
      </c>
      <c r="C98" s="27" t="s">
        <v>341</v>
      </c>
      <c r="D98" s="27" t="s">
        <v>342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10.0</v>
      </c>
      <c r="K98" s="33" t="n">
        <f>3333</f>
        <v>3333.0</v>
      </c>
      <c r="L98" s="34" t="s">
        <v>48</v>
      </c>
      <c r="M98" s="33" t="n">
        <f>3394</f>
        <v>3394.0</v>
      </c>
      <c r="N98" s="34" t="s">
        <v>208</v>
      </c>
      <c r="O98" s="33" t="n">
        <f>2691</f>
        <v>2691.0</v>
      </c>
      <c r="P98" s="34" t="s">
        <v>213</v>
      </c>
      <c r="Q98" s="33" t="n">
        <f>2874.5</f>
        <v>2874.5</v>
      </c>
      <c r="R98" s="34" t="s">
        <v>50</v>
      </c>
      <c r="S98" s="35" t="n">
        <f>3036.26</f>
        <v>3036.26</v>
      </c>
      <c r="T98" s="32" t="n">
        <f>925020</f>
        <v>925020.0</v>
      </c>
      <c r="U98" s="32" t="str">
        <f>"－"</f>
        <v>－</v>
      </c>
      <c r="V98" s="32" t="n">
        <f>2783769425</f>
        <v>2.783769425E9</v>
      </c>
      <c r="W98" s="32" t="str">
        <f>"－"</f>
        <v>－</v>
      </c>
      <c r="X98" s="36" t="n">
        <f>19</f>
        <v>19.0</v>
      </c>
    </row>
    <row r="99">
      <c r="A99" s="27" t="s">
        <v>42</v>
      </c>
      <c r="B99" s="27" t="s">
        <v>343</v>
      </c>
      <c r="C99" s="27" t="s">
        <v>344</v>
      </c>
      <c r="D99" s="27" t="s">
        <v>345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10.0</v>
      </c>
      <c r="K99" s="33" t="n">
        <f>12670</f>
        <v>12670.0</v>
      </c>
      <c r="L99" s="34" t="s">
        <v>48</v>
      </c>
      <c r="M99" s="33" t="n">
        <f>14890</f>
        <v>14890.0</v>
      </c>
      <c r="N99" s="34" t="s">
        <v>213</v>
      </c>
      <c r="O99" s="33" t="n">
        <f>12620</f>
        <v>12620.0</v>
      </c>
      <c r="P99" s="34" t="s">
        <v>48</v>
      </c>
      <c r="Q99" s="33" t="n">
        <f>14320</f>
        <v>14320.0</v>
      </c>
      <c r="R99" s="34" t="s">
        <v>50</v>
      </c>
      <c r="S99" s="35" t="n">
        <f>13847.11</f>
        <v>13847.11</v>
      </c>
      <c r="T99" s="32" t="n">
        <f>86580</f>
        <v>86580.0</v>
      </c>
      <c r="U99" s="32" t="n">
        <f>220</f>
        <v>220.0</v>
      </c>
      <c r="V99" s="32" t="n">
        <f>1212906900</f>
        <v>1.2129069E9</v>
      </c>
      <c r="W99" s="32" t="n">
        <f>3083950</f>
        <v>3083950.0</v>
      </c>
      <c r="X99" s="36" t="n">
        <f>19</f>
        <v>19.0</v>
      </c>
    </row>
    <row r="100">
      <c r="A100" s="27" t="s">
        <v>42</v>
      </c>
      <c r="B100" s="27" t="s">
        <v>346</v>
      </c>
      <c r="C100" s="27" t="s">
        <v>347</v>
      </c>
      <c r="D100" s="27" t="s">
        <v>348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31910</f>
        <v>31910.0</v>
      </c>
      <c r="L100" s="34" t="s">
        <v>48</v>
      </c>
      <c r="M100" s="33" t="n">
        <f>34850</f>
        <v>34850.0</v>
      </c>
      <c r="N100" s="34" t="s">
        <v>50</v>
      </c>
      <c r="O100" s="33" t="n">
        <f>31670</f>
        <v>31670.0</v>
      </c>
      <c r="P100" s="34" t="s">
        <v>48</v>
      </c>
      <c r="Q100" s="33" t="n">
        <f>34840</f>
        <v>34840.0</v>
      </c>
      <c r="R100" s="34" t="s">
        <v>50</v>
      </c>
      <c r="S100" s="35" t="n">
        <f>33886.84</f>
        <v>33886.84</v>
      </c>
      <c r="T100" s="32" t="n">
        <f>199829</f>
        <v>199829.0</v>
      </c>
      <c r="U100" s="32" t="n">
        <f>107971</f>
        <v>107971.0</v>
      </c>
      <c r="V100" s="32" t="n">
        <f>6768705157</f>
        <v>6.768705157E9</v>
      </c>
      <c r="W100" s="32" t="n">
        <f>3654698057</f>
        <v>3.654698057E9</v>
      </c>
      <c r="X100" s="36" t="n">
        <f>19</f>
        <v>19.0</v>
      </c>
    </row>
    <row r="101">
      <c r="A101" s="27" t="s">
        <v>42</v>
      </c>
      <c r="B101" s="27" t="s">
        <v>349</v>
      </c>
      <c r="C101" s="27" t="s">
        <v>350</v>
      </c>
      <c r="D101" s="27" t="s">
        <v>351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1.0</v>
      </c>
      <c r="K101" s="33" t="n">
        <f>2628</f>
        <v>2628.0</v>
      </c>
      <c r="L101" s="34" t="s">
        <v>48</v>
      </c>
      <c r="M101" s="33" t="n">
        <f>2946</f>
        <v>2946.0</v>
      </c>
      <c r="N101" s="34" t="s">
        <v>49</v>
      </c>
      <c r="O101" s="33" t="n">
        <f>2606</f>
        <v>2606.0</v>
      </c>
      <c r="P101" s="34" t="s">
        <v>48</v>
      </c>
      <c r="Q101" s="33" t="n">
        <f>2891</f>
        <v>2891.0</v>
      </c>
      <c r="R101" s="34" t="s">
        <v>50</v>
      </c>
      <c r="S101" s="35" t="n">
        <f>2825.05</f>
        <v>2825.05</v>
      </c>
      <c r="T101" s="32" t="n">
        <f>361753</f>
        <v>361753.0</v>
      </c>
      <c r="U101" s="32" t="n">
        <f>180000</f>
        <v>180000.0</v>
      </c>
      <c r="V101" s="32" t="n">
        <f>1025284262</f>
        <v>1.025284262E9</v>
      </c>
      <c r="W101" s="32" t="n">
        <f>511020000</f>
        <v>5.1102E8</v>
      </c>
      <c r="X101" s="36" t="n">
        <f>19</f>
        <v>19.0</v>
      </c>
    </row>
    <row r="102">
      <c r="A102" s="27" t="s">
        <v>42</v>
      </c>
      <c r="B102" s="27" t="s">
        <v>352</v>
      </c>
      <c r="C102" s="27" t="s">
        <v>353</v>
      </c>
      <c r="D102" s="27" t="s">
        <v>354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21775</f>
        <v>21775.0</v>
      </c>
      <c r="L102" s="34" t="s">
        <v>48</v>
      </c>
      <c r="M102" s="33" t="n">
        <f>27515</f>
        <v>27515.0</v>
      </c>
      <c r="N102" s="34" t="s">
        <v>49</v>
      </c>
      <c r="O102" s="33" t="n">
        <f>21515</f>
        <v>21515.0</v>
      </c>
      <c r="P102" s="34" t="s">
        <v>48</v>
      </c>
      <c r="Q102" s="33" t="n">
        <f>26445</f>
        <v>26445.0</v>
      </c>
      <c r="R102" s="34" t="s">
        <v>50</v>
      </c>
      <c r="S102" s="35" t="n">
        <f>25313.42</f>
        <v>25313.42</v>
      </c>
      <c r="T102" s="32" t="n">
        <f>10759640</f>
        <v>1.075964E7</v>
      </c>
      <c r="U102" s="32" t="n">
        <f>29630</f>
        <v>29630.0</v>
      </c>
      <c r="V102" s="32" t="n">
        <f>272445068305</f>
        <v>2.72445068305E11</v>
      </c>
      <c r="W102" s="32" t="n">
        <f>762241055</f>
        <v>7.62241055E8</v>
      </c>
      <c r="X102" s="36" t="n">
        <f>19</f>
        <v>19.0</v>
      </c>
    </row>
    <row r="103">
      <c r="A103" s="27" t="s">
        <v>42</v>
      </c>
      <c r="B103" s="27" t="s">
        <v>355</v>
      </c>
      <c r="C103" s="27" t="s">
        <v>356</v>
      </c>
      <c r="D103" s="27" t="s">
        <v>357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1997</f>
        <v>1997.0</v>
      </c>
      <c r="L103" s="34" t="s">
        <v>48</v>
      </c>
      <c r="M103" s="33" t="n">
        <f>2015.5</f>
        <v>2015.5</v>
      </c>
      <c r="N103" s="34" t="s">
        <v>48</v>
      </c>
      <c r="O103" s="33" t="n">
        <f>1777</f>
        <v>1777.0</v>
      </c>
      <c r="P103" s="34" t="s">
        <v>49</v>
      </c>
      <c r="Q103" s="33" t="n">
        <f>1813</f>
        <v>1813.0</v>
      </c>
      <c r="R103" s="34" t="s">
        <v>50</v>
      </c>
      <c r="S103" s="35" t="n">
        <f>1857</f>
        <v>1857.0</v>
      </c>
      <c r="T103" s="32" t="n">
        <f>3485750</f>
        <v>3485750.0</v>
      </c>
      <c r="U103" s="32" t="n">
        <f>330000</f>
        <v>330000.0</v>
      </c>
      <c r="V103" s="32" t="n">
        <f>6515349850</f>
        <v>6.51534985E9</v>
      </c>
      <c r="W103" s="32" t="n">
        <f>633679500</f>
        <v>6.336795E8</v>
      </c>
      <c r="X103" s="36" t="n">
        <f>19</f>
        <v>19.0</v>
      </c>
    </row>
    <row r="104">
      <c r="A104" s="27" t="s">
        <v>42</v>
      </c>
      <c r="B104" s="27" t="s">
        <v>358</v>
      </c>
      <c r="C104" s="27" t="s">
        <v>359</v>
      </c>
      <c r="D104" s="27" t="s">
        <v>360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10.0</v>
      </c>
      <c r="K104" s="33" t="n">
        <f>1670</f>
        <v>1670.0</v>
      </c>
      <c r="L104" s="34" t="s">
        <v>48</v>
      </c>
      <c r="M104" s="33" t="n">
        <f>1799</f>
        <v>1799.0</v>
      </c>
      <c r="N104" s="34" t="s">
        <v>49</v>
      </c>
      <c r="O104" s="33" t="n">
        <f>1651.5</f>
        <v>1651.5</v>
      </c>
      <c r="P104" s="34" t="s">
        <v>48</v>
      </c>
      <c r="Q104" s="33" t="n">
        <f>1765</f>
        <v>1765.0</v>
      </c>
      <c r="R104" s="34" t="s">
        <v>50</v>
      </c>
      <c r="S104" s="35" t="n">
        <f>1747.92</f>
        <v>1747.92</v>
      </c>
      <c r="T104" s="32" t="n">
        <f>31860</f>
        <v>31860.0</v>
      </c>
      <c r="U104" s="32" t="n">
        <f>60</f>
        <v>60.0</v>
      </c>
      <c r="V104" s="32" t="n">
        <f>55222215</f>
        <v>5.5222215E7</v>
      </c>
      <c r="W104" s="32" t="n">
        <f>105345</f>
        <v>105345.0</v>
      </c>
      <c r="X104" s="36" t="n">
        <f>19</f>
        <v>19.0</v>
      </c>
    </row>
    <row r="105">
      <c r="A105" s="27" t="s">
        <v>42</v>
      </c>
      <c r="B105" s="27" t="s">
        <v>361</v>
      </c>
      <c r="C105" s="27" t="s">
        <v>362</v>
      </c>
      <c r="D105" s="27" t="s">
        <v>363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1.0</v>
      </c>
      <c r="K105" s="33" t="n">
        <f>1878</f>
        <v>1878.0</v>
      </c>
      <c r="L105" s="34" t="s">
        <v>48</v>
      </c>
      <c r="M105" s="33" t="n">
        <f>2115</f>
        <v>2115.0</v>
      </c>
      <c r="N105" s="34" t="s">
        <v>364</v>
      </c>
      <c r="O105" s="33" t="n">
        <f>1878</f>
        <v>1878.0</v>
      </c>
      <c r="P105" s="34" t="s">
        <v>48</v>
      </c>
      <c r="Q105" s="33" t="n">
        <f>2019</f>
        <v>2019.0</v>
      </c>
      <c r="R105" s="34" t="s">
        <v>50</v>
      </c>
      <c r="S105" s="35" t="n">
        <f>2012.58</f>
        <v>2012.58</v>
      </c>
      <c r="T105" s="32" t="n">
        <f>5758</f>
        <v>5758.0</v>
      </c>
      <c r="U105" s="32" t="str">
        <f>"－"</f>
        <v>－</v>
      </c>
      <c r="V105" s="32" t="n">
        <f>11415667</f>
        <v>1.1415667E7</v>
      </c>
      <c r="W105" s="32" t="str">
        <f>"－"</f>
        <v>－</v>
      </c>
      <c r="X105" s="36" t="n">
        <f>19</f>
        <v>19.0</v>
      </c>
    </row>
    <row r="106">
      <c r="A106" s="27" t="s">
        <v>42</v>
      </c>
      <c r="B106" s="27" t="s">
        <v>365</v>
      </c>
      <c r="C106" s="27" t="s">
        <v>366</v>
      </c>
      <c r="D106" s="27" t="s">
        <v>367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1.0</v>
      </c>
      <c r="K106" s="33" t="n">
        <f>21350</f>
        <v>21350.0</v>
      </c>
      <c r="L106" s="34" t="s">
        <v>48</v>
      </c>
      <c r="M106" s="33" t="n">
        <f>23340</f>
        <v>23340.0</v>
      </c>
      <c r="N106" s="34" t="s">
        <v>49</v>
      </c>
      <c r="O106" s="33" t="n">
        <f>21200</f>
        <v>21200.0</v>
      </c>
      <c r="P106" s="34" t="s">
        <v>48</v>
      </c>
      <c r="Q106" s="33" t="n">
        <f>23140</f>
        <v>23140.0</v>
      </c>
      <c r="R106" s="34" t="s">
        <v>50</v>
      </c>
      <c r="S106" s="35" t="n">
        <f>22653.95</f>
        <v>22653.95</v>
      </c>
      <c r="T106" s="32" t="n">
        <f>127894</f>
        <v>127894.0</v>
      </c>
      <c r="U106" s="32" t="n">
        <f>42120</f>
        <v>42120.0</v>
      </c>
      <c r="V106" s="32" t="n">
        <f>2909331006</f>
        <v>2.909331006E9</v>
      </c>
      <c r="W106" s="32" t="n">
        <f>955862316</f>
        <v>9.55862316E8</v>
      </c>
      <c r="X106" s="36" t="n">
        <f>19</f>
        <v>19.0</v>
      </c>
    </row>
    <row r="107">
      <c r="A107" s="27" t="s">
        <v>42</v>
      </c>
      <c r="B107" s="27" t="s">
        <v>368</v>
      </c>
      <c r="C107" s="27" t="s">
        <v>369</v>
      </c>
      <c r="D107" s="27" t="s">
        <v>370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1958</f>
        <v>1958.0</v>
      </c>
      <c r="L107" s="34" t="s">
        <v>48</v>
      </c>
      <c r="M107" s="33" t="n">
        <f>2132</f>
        <v>2132.0</v>
      </c>
      <c r="N107" s="34" t="s">
        <v>49</v>
      </c>
      <c r="O107" s="33" t="n">
        <f>1931</f>
        <v>1931.0</v>
      </c>
      <c r="P107" s="34" t="s">
        <v>48</v>
      </c>
      <c r="Q107" s="33" t="n">
        <f>2117</f>
        <v>2117.0</v>
      </c>
      <c r="R107" s="34" t="s">
        <v>50</v>
      </c>
      <c r="S107" s="35" t="n">
        <f>2069.21</f>
        <v>2069.21</v>
      </c>
      <c r="T107" s="32" t="n">
        <f>174278</f>
        <v>174278.0</v>
      </c>
      <c r="U107" s="32" t="n">
        <f>100000</f>
        <v>100000.0</v>
      </c>
      <c r="V107" s="32" t="n">
        <f>360898817</f>
        <v>3.60898817E8</v>
      </c>
      <c r="W107" s="32" t="n">
        <f>208510000</f>
        <v>2.0851E8</v>
      </c>
      <c r="X107" s="36" t="n">
        <f>19</f>
        <v>19.0</v>
      </c>
    </row>
    <row r="108">
      <c r="A108" s="27" t="s">
        <v>42</v>
      </c>
      <c r="B108" s="27" t="s">
        <v>371</v>
      </c>
      <c r="C108" s="27" t="s">
        <v>372</v>
      </c>
      <c r="D108" s="27" t="s">
        <v>373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22015</f>
        <v>22015.0</v>
      </c>
      <c r="L108" s="34" t="s">
        <v>48</v>
      </c>
      <c r="M108" s="33" t="n">
        <f>23810</f>
        <v>23810.0</v>
      </c>
      <c r="N108" s="34" t="s">
        <v>49</v>
      </c>
      <c r="O108" s="33" t="n">
        <f>21850</f>
        <v>21850.0</v>
      </c>
      <c r="P108" s="34" t="s">
        <v>48</v>
      </c>
      <c r="Q108" s="33" t="n">
        <f>23620</f>
        <v>23620.0</v>
      </c>
      <c r="R108" s="34" t="s">
        <v>50</v>
      </c>
      <c r="S108" s="35" t="n">
        <f>23205</f>
        <v>23205.0</v>
      </c>
      <c r="T108" s="32" t="n">
        <f>45880</f>
        <v>45880.0</v>
      </c>
      <c r="U108" s="32" t="n">
        <f>20350</f>
        <v>20350.0</v>
      </c>
      <c r="V108" s="32" t="n">
        <f>1062216015</f>
        <v>1.062216015E9</v>
      </c>
      <c r="W108" s="32" t="n">
        <f>468910920</f>
        <v>4.6891092E8</v>
      </c>
      <c r="X108" s="36" t="n">
        <f>19</f>
        <v>19.0</v>
      </c>
    </row>
    <row r="109">
      <c r="A109" s="27" t="s">
        <v>42</v>
      </c>
      <c r="B109" s="27" t="s">
        <v>374</v>
      </c>
      <c r="C109" s="27" t="s">
        <v>375</v>
      </c>
      <c r="D109" s="27" t="s">
        <v>376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10.0</v>
      </c>
      <c r="K109" s="33" t="n">
        <f>1859</f>
        <v>1859.0</v>
      </c>
      <c r="L109" s="34" t="s">
        <v>48</v>
      </c>
      <c r="M109" s="33" t="n">
        <f>1894</f>
        <v>1894.0</v>
      </c>
      <c r="N109" s="34" t="s">
        <v>49</v>
      </c>
      <c r="O109" s="33" t="n">
        <f>1786.5</f>
        <v>1786.5</v>
      </c>
      <c r="P109" s="34" t="s">
        <v>274</v>
      </c>
      <c r="Q109" s="33" t="n">
        <f>1837</f>
        <v>1837.0</v>
      </c>
      <c r="R109" s="34" t="s">
        <v>50</v>
      </c>
      <c r="S109" s="35" t="n">
        <f>1852.74</f>
        <v>1852.74</v>
      </c>
      <c r="T109" s="32" t="n">
        <f>1010320</f>
        <v>1010320.0</v>
      </c>
      <c r="U109" s="32" t="n">
        <f>10</f>
        <v>10.0</v>
      </c>
      <c r="V109" s="32" t="n">
        <f>1877553720</f>
        <v>1.87755372E9</v>
      </c>
      <c r="W109" s="32" t="n">
        <f>17150</f>
        <v>17150.0</v>
      </c>
      <c r="X109" s="36" t="n">
        <f>19</f>
        <v>19.0</v>
      </c>
    </row>
    <row r="110">
      <c r="A110" s="27" t="s">
        <v>42</v>
      </c>
      <c r="B110" s="27" t="s">
        <v>377</v>
      </c>
      <c r="C110" s="27" t="s">
        <v>378</v>
      </c>
      <c r="D110" s="27" t="s">
        <v>379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10.0</v>
      </c>
      <c r="K110" s="33" t="n">
        <f>1991</f>
        <v>1991.0</v>
      </c>
      <c r="L110" s="34" t="s">
        <v>48</v>
      </c>
      <c r="M110" s="33" t="n">
        <f>2122</f>
        <v>2122.0</v>
      </c>
      <c r="N110" s="34" t="s">
        <v>218</v>
      </c>
      <c r="O110" s="33" t="n">
        <f>1991</f>
        <v>1991.0</v>
      </c>
      <c r="P110" s="34" t="s">
        <v>48</v>
      </c>
      <c r="Q110" s="33" t="n">
        <f>2121</f>
        <v>2121.0</v>
      </c>
      <c r="R110" s="34" t="s">
        <v>87</v>
      </c>
      <c r="S110" s="35" t="n">
        <f>2079.71</f>
        <v>2079.71</v>
      </c>
      <c r="T110" s="32" t="n">
        <f>330</f>
        <v>330.0</v>
      </c>
      <c r="U110" s="32" t="str">
        <f>"－"</f>
        <v>－</v>
      </c>
      <c r="V110" s="32" t="n">
        <f>687090</f>
        <v>687090.0</v>
      </c>
      <c r="W110" s="32" t="str">
        <f>"－"</f>
        <v>－</v>
      </c>
      <c r="X110" s="36" t="n">
        <f>7</f>
        <v>7.0</v>
      </c>
    </row>
    <row r="111">
      <c r="A111" s="27" t="s">
        <v>42</v>
      </c>
      <c r="B111" s="27" t="s">
        <v>380</v>
      </c>
      <c r="C111" s="27" t="s">
        <v>381</v>
      </c>
      <c r="D111" s="27" t="s">
        <v>382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10.0</v>
      </c>
      <c r="K111" s="33" t="n">
        <f>1863</f>
        <v>1863.0</v>
      </c>
      <c r="L111" s="34" t="s">
        <v>48</v>
      </c>
      <c r="M111" s="33" t="n">
        <f>1899</f>
        <v>1899.0</v>
      </c>
      <c r="N111" s="34" t="s">
        <v>49</v>
      </c>
      <c r="O111" s="33" t="n">
        <f>1840</f>
        <v>1840.0</v>
      </c>
      <c r="P111" s="34" t="s">
        <v>48</v>
      </c>
      <c r="Q111" s="33" t="n">
        <f>1859.5</f>
        <v>1859.5</v>
      </c>
      <c r="R111" s="34" t="s">
        <v>50</v>
      </c>
      <c r="S111" s="35" t="n">
        <f>1870.71</f>
        <v>1870.71</v>
      </c>
      <c r="T111" s="32" t="n">
        <f>1252640</f>
        <v>1252640.0</v>
      </c>
      <c r="U111" s="32" t="n">
        <f>589150</f>
        <v>589150.0</v>
      </c>
      <c r="V111" s="32" t="n">
        <f>2346518946</f>
        <v>2.346518946E9</v>
      </c>
      <c r="W111" s="32" t="n">
        <f>1106854326</f>
        <v>1.106854326E9</v>
      </c>
      <c r="X111" s="36" t="n">
        <f>19</f>
        <v>19.0</v>
      </c>
    </row>
    <row r="112">
      <c r="A112" s="27" t="s">
        <v>42</v>
      </c>
      <c r="B112" s="27" t="s">
        <v>383</v>
      </c>
      <c r="C112" s="27" t="s">
        <v>384</v>
      </c>
      <c r="D112" s="27" t="s">
        <v>385</v>
      </c>
      <c r="E112" s="28" t="s">
        <v>46</v>
      </c>
      <c r="F112" s="29" t="s">
        <v>46</v>
      </c>
      <c r="G112" s="30" t="s">
        <v>46</v>
      </c>
      <c r="H112" s="31"/>
      <c r="I112" s="31" t="s">
        <v>47</v>
      </c>
      <c r="J112" s="32" t="n">
        <v>1.0</v>
      </c>
      <c r="K112" s="33" t="n">
        <f>21820</f>
        <v>21820.0</v>
      </c>
      <c r="L112" s="34" t="s">
        <v>48</v>
      </c>
      <c r="M112" s="33" t="n">
        <f>23575</f>
        <v>23575.0</v>
      </c>
      <c r="N112" s="34" t="s">
        <v>49</v>
      </c>
      <c r="O112" s="33" t="n">
        <f>21820</f>
        <v>21820.0</v>
      </c>
      <c r="P112" s="34" t="s">
        <v>48</v>
      </c>
      <c r="Q112" s="33" t="n">
        <f>23350</f>
        <v>23350.0</v>
      </c>
      <c r="R112" s="34" t="s">
        <v>50</v>
      </c>
      <c r="S112" s="35" t="n">
        <f>22909.74</f>
        <v>22909.74</v>
      </c>
      <c r="T112" s="32" t="n">
        <f>12968</f>
        <v>12968.0</v>
      </c>
      <c r="U112" s="32" t="n">
        <f>9000</f>
        <v>9000.0</v>
      </c>
      <c r="V112" s="32" t="n">
        <f>299411895</f>
        <v>2.99411895E8</v>
      </c>
      <c r="W112" s="32" t="n">
        <f>208830600</f>
        <v>2.088306E8</v>
      </c>
      <c r="X112" s="36" t="n">
        <f>19</f>
        <v>19.0</v>
      </c>
    </row>
    <row r="113">
      <c r="A113" s="27" t="s">
        <v>42</v>
      </c>
      <c r="B113" s="27" t="s">
        <v>386</v>
      </c>
      <c r="C113" s="27" t="s">
        <v>387</v>
      </c>
      <c r="D113" s="27" t="s">
        <v>388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100.0</v>
      </c>
      <c r="K113" s="33" t="n">
        <f>262</f>
        <v>262.0</v>
      </c>
      <c r="L113" s="34" t="s">
        <v>48</v>
      </c>
      <c r="M113" s="33" t="n">
        <f>292.5</f>
        <v>292.5</v>
      </c>
      <c r="N113" s="34" t="s">
        <v>159</v>
      </c>
      <c r="O113" s="33" t="n">
        <f>259.7</f>
        <v>259.7</v>
      </c>
      <c r="P113" s="34" t="s">
        <v>48</v>
      </c>
      <c r="Q113" s="33" t="n">
        <f>292.1</f>
        <v>292.1</v>
      </c>
      <c r="R113" s="34" t="s">
        <v>50</v>
      </c>
      <c r="S113" s="35" t="n">
        <f>278.27</f>
        <v>278.27</v>
      </c>
      <c r="T113" s="32" t="n">
        <f>118110300</f>
        <v>1.181103E8</v>
      </c>
      <c r="U113" s="32" t="n">
        <f>31135400</f>
        <v>3.11354E7</v>
      </c>
      <c r="V113" s="32" t="n">
        <f>33179599540</f>
        <v>3.317959954E10</v>
      </c>
      <c r="W113" s="32" t="n">
        <f>8867114380</f>
        <v>8.86711438E9</v>
      </c>
      <c r="X113" s="36" t="n">
        <f>19</f>
        <v>19.0</v>
      </c>
    </row>
    <row r="114">
      <c r="A114" s="27" t="s">
        <v>42</v>
      </c>
      <c r="B114" s="27" t="s">
        <v>389</v>
      </c>
      <c r="C114" s="27" t="s">
        <v>390</v>
      </c>
      <c r="D114" s="27" t="s">
        <v>391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1.0</v>
      </c>
      <c r="K114" s="33" t="n">
        <f>35610</f>
        <v>35610.0</v>
      </c>
      <c r="L114" s="34" t="s">
        <v>48</v>
      </c>
      <c r="M114" s="33" t="n">
        <f>37670</f>
        <v>37670.0</v>
      </c>
      <c r="N114" s="34" t="s">
        <v>49</v>
      </c>
      <c r="O114" s="33" t="n">
        <f>35500</f>
        <v>35500.0</v>
      </c>
      <c r="P114" s="34" t="s">
        <v>48</v>
      </c>
      <c r="Q114" s="33" t="n">
        <f>37370</f>
        <v>37370.0</v>
      </c>
      <c r="R114" s="34" t="s">
        <v>50</v>
      </c>
      <c r="S114" s="35" t="n">
        <f>37019.47</f>
        <v>37019.47</v>
      </c>
      <c r="T114" s="32" t="n">
        <f>3441</f>
        <v>3441.0</v>
      </c>
      <c r="U114" s="32" t="str">
        <f>"－"</f>
        <v>－</v>
      </c>
      <c r="V114" s="32" t="n">
        <f>127719670</f>
        <v>1.2771967E8</v>
      </c>
      <c r="W114" s="32" t="str">
        <f>"－"</f>
        <v>－</v>
      </c>
      <c r="X114" s="36" t="n">
        <f>19</f>
        <v>19.0</v>
      </c>
    </row>
    <row r="115">
      <c r="A115" s="27" t="s">
        <v>42</v>
      </c>
      <c r="B115" s="27" t="s">
        <v>392</v>
      </c>
      <c r="C115" s="27" t="s">
        <v>393</v>
      </c>
      <c r="D115" s="27" t="s">
        <v>394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17260</f>
        <v>17260.0</v>
      </c>
      <c r="L115" s="34" t="s">
        <v>48</v>
      </c>
      <c r="M115" s="33" t="n">
        <f>18930</f>
        <v>18930.0</v>
      </c>
      <c r="N115" s="34" t="s">
        <v>364</v>
      </c>
      <c r="O115" s="33" t="n">
        <f>17260</f>
        <v>17260.0</v>
      </c>
      <c r="P115" s="34" t="s">
        <v>48</v>
      </c>
      <c r="Q115" s="33" t="n">
        <f>18575</f>
        <v>18575.0</v>
      </c>
      <c r="R115" s="34" t="s">
        <v>50</v>
      </c>
      <c r="S115" s="35" t="n">
        <f>18413.42</f>
        <v>18413.42</v>
      </c>
      <c r="T115" s="32" t="n">
        <f>9020</f>
        <v>9020.0</v>
      </c>
      <c r="U115" s="32" t="str">
        <f>"－"</f>
        <v>－</v>
      </c>
      <c r="V115" s="32" t="n">
        <f>166164540</f>
        <v>1.6616454E8</v>
      </c>
      <c r="W115" s="32" t="str">
        <f>"－"</f>
        <v>－</v>
      </c>
      <c r="X115" s="36" t="n">
        <f>19</f>
        <v>19.0</v>
      </c>
    </row>
    <row r="116">
      <c r="A116" s="27" t="s">
        <v>42</v>
      </c>
      <c r="B116" s="27" t="s">
        <v>395</v>
      </c>
      <c r="C116" s="27" t="s">
        <v>396</v>
      </c>
      <c r="D116" s="27" t="s">
        <v>397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1.0</v>
      </c>
      <c r="K116" s="33" t="n">
        <f>27510</f>
        <v>27510.0</v>
      </c>
      <c r="L116" s="34" t="s">
        <v>48</v>
      </c>
      <c r="M116" s="33" t="n">
        <f>28760</f>
        <v>28760.0</v>
      </c>
      <c r="N116" s="34" t="s">
        <v>49</v>
      </c>
      <c r="O116" s="33" t="n">
        <f>26780</f>
        <v>26780.0</v>
      </c>
      <c r="P116" s="34" t="s">
        <v>48</v>
      </c>
      <c r="Q116" s="33" t="n">
        <f>28365</f>
        <v>28365.0</v>
      </c>
      <c r="R116" s="34" t="s">
        <v>50</v>
      </c>
      <c r="S116" s="35" t="n">
        <f>28009.74</f>
        <v>28009.74</v>
      </c>
      <c r="T116" s="32" t="n">
        <f>11551</f>
        <v>11551.0</v>
      </c>
      <c r="U116" s="32" t="str">
        <f>"－"</f>
        <v>－</v>
      </c>
      <c r="V116" s="32" t="n">
        <f>319290920</f>
        <v>3.1929092E8</v>
      </c>
      <c r="W116" s="32" t="str">
        <f>"－"</f>
        <v>－</v>
      </c>
      <c r="X116" s="36" t="n">
        <f>19</f>
        <v>19.0</v>
      </c>
    </row>
    <row r="117">
      <c r="A117" s="27" t="s">
        <v>42</v>
      </c>
      <c r="B117" s="27" t="s">
        <v>398</v>
      </c>
      <c r="C117" s="27" t="s">
        <v>399</v>
      </c>
      <c r="D117" s="27" t="s">
        <v>400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1.0</v>
      </c>
      <c r="K117" s="33" t="n">
        <f>28685</f>
        <v>28685.0</v>
      </c>
      <c r="L117" s="34" t="s">
        <v>48</v>
      </c>
      <c r="M117" s="33" t="n">
        <f>29930</f>
        <v>29930.0</v>
      </c>
      <c r="N117" s="34" t="s">
        <v>218</v>
      </c>
      <c r="O117" s="33" t="n">
        <f>28420</f>
        <v>28420.0</v>
      </c>
      <c r="P117" s="34" t="s">
        <v>48</v>
      </c>
      <c r="Q117" s="33" t="n">
        <f>29605</f>
        <v>29605.0</v>
      </c>
      <c r="R117" s="34" t="s">
        <v>50</v>
      </c>
      <c r="S117" s="35" t="n">
        <f>29333.16</f>
        <v>29333.16</v>
      </c>
      <c r="T117" s="32" t="n">
        <f>3237</f>
        <v>3237.0</v>
      </c>
      <c r="U117" s="32" t="str">
        <f>"－"</f>
        <v>－</v>
      </c>
      <c r="V117" s="32" t="n">
        <f>94600505</f>
        <v>9.4600505E7</v>
      </c>
      <c r="W117" s="32" t="str">
        <f>"－"</f>
        <v>－</v>
      </c>
      <c r="X117" s="36" t="n">
        <f>19</f>
        <v>19.0</v>
      </c>
    </row>
    <row r="118">
      <c r="A118" s="27" t="s">
        <v>42</v>
      </c>
      <c r="B118" s="27" t="s">
        <v>401</v>
      </c>
      <c r="C118" s="27" t="s">
        <v>402</v>
      </c>
      <c r="D118" s="27" t="s">
        <v>403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1.0</v>
      </c>
      <c r="K118" s="33" t="n">
        <f>25655</f>
        <v>25655.0</v>
      </c>
      <c r="L118" s="34" t="s">
        <v>48</v>
      </c>
      <c r="M118" s="33" t="n">
        <f>28050</f>
        <v>28050.0</v>
      </c>
      <c r="N118" s="34" t="s">
        <v>274</v>
      </c>
      <c r="O118" s="33" t="n">
        <f>25570</f>
        <v>25570.0</v>
      </c>
      <c r="P118" s="34" t="s">
        <v>48</v>
      </c>
      <c r="Q118" s="33" t="n">
        <f>27040</f>
        <v>27040.0</v>
      </c>
      <c r="R118" s="34" t="s">
        <v>50</v>
      </c>
      <c r="S118" s="35" t="n">
        <f>27156.58</f>
        <v>27156.58</v>
      </c>
      <c r="T118" s="32" t="n">
        <f>9436</f>
        <v>9436.0</v>
      </c>
      <c r="U118" s="32" t="str">
        <f>"－"</f>
        <v>－</v>
      </c>
      <c r="V118" s="32" t="n">
        <f>253726430</f>
        <v>2.5372643E8</v>
      </c>
      <c r="W118" s="32" t="str">
        <f>"－"</f>
        <v>－</v>
      </c>
      <c r="X118" s="36" t="n">
        <f>19</f>
        <v>19.0</v>
      </c>
    </row>
    <row r="119">
      <c r="A119" s="27" t="s">
        <v>42</v>
      </c>
      <c r="B119" s="27" t="s">
        <v>404</v>
      </c>
      <c r="C119" s="27" t="s">
        <v>405</v>
      </c>
      <c r="D119" s="27" t="s">
        <v>406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1.0</v>
      </c>
      <c r="K119" s="33" t="n">
        <f>28580</f>
        <v>28580.0</v>
      </c>
      <c r="L119" s="34" t="s">
        <v>48</v>
      </c>
      <c r="M119" s="33" t="n">
        <f>32400</f>
        <v>32400.0</v>
      </c>
      <c r="N119" s="34" t="s">
        <v>49</v>
      </c>
      <c r="O119" s="33" t="n">
        <f>28400</f>
        <v>28400.0</v>
      </c>
      <c r="P119" s="34" t="s">
        <v>48</v>
      </c>
      <c r="Q119" s="33" t="n">
        <f>32140</f>
        <v>32140.0</v>
      </c>
      <c r="R119" s="34" t="s">
        <v>50</v>
      </c>
      <c r="S119" s="35" t="n">
        <f>31034.74</f>
        <v>31034.74</v>
      </c>
      <c r="T119" s="32" t="n">
        <f>11298</f>
        <v>11298.0</v>
      </c>
      <c r="U119" s="32" t="str">
        <f>"－"</f>
        <v>－</v>
      </c>
      <c r="V119" s="32" t="n">
        <f>349884365</f>
        <v>3.49884365E8</v>
      </c>
      <c r="W119" s="32" t="str">
        <f>"－"</f>
        <v>－</v>
      </c>
      <c r="X119" s="36" t="n">
        <f>19</f>
        <v>19.0</v>
      </c>
    </row>
    <row r="120">
      <c r="A120" s="27" t="s">
        <v>42</v>
      </c>
      <c r="B120" s="27" t="s">
        <v>407</v>
      </c>
      <c r="C120" s="27" t="s">
        <v>408</v>
      </c>
      <c r="D120" s="27" t="s">
        <v>409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1.0</v>
      </c>
      <c r="K120" s="33" t="n">
        <f>23040</f>
        <v>23040.0</v>
      </c>
      <c r="L120" s="34" t="s">
        <v>48</v>
      </c>
      <c r="M120" s="33" t="n">
        <f>24815</f>
        <v>24815.0</v>
      </c>
      <c r="N120" s="34" t="s">
        <v>50</v>
      </c>
      <c r="O120" s="33" t="n">
        <f>22965</f>
        <v>22965.0</v>
      </c>
      <c r="P120" s="34" t="s">
        <v>48</v>
      </c>
      <c r="Q120" s="33" t="n">
        <f>24815</f>
        <v>24815.0</v>
      </c>
      <c r="R120" s="34" t="s">
        <v>50</v>
      </c>
      <c r="S120" s="35" t="n">
        <f>24109.74</f>
        <v>24109.74</v>
      </c>
      <c r="T120" s="32" t="n">
        <f>6114</f>
        <v>6114.0</v>
      </c>
      <c r="U120" s="32" t="n">
        <f>19</f>
        <v>19.0</v>
      </c>
      <c r="V120" s="32" t="n">
        <f>146686630</f>
        <v>1.4668663E8</v>
      </c>
      <c r="W120" s="32" t="n">
        <f>454860</f>
        <v>454860.0</v>
      </c>
      <c r="X120" s="36" t="n">
        <f>19</f>
        <v>19.0</v>
      </c>
    </row>
    <row r="121">
      <c r="A121" s="27" t="s">
        <v>42</v>
      </c>
      <c r="B121" s="27" t="s">
        <v>410</v>
      </c>
      <c r="C121" s="27" t="s">
        <v>411</v>
      </c>
      <c r="D121" s="27" t="s">
        <v>412</v>
      </c>
      <c r="E121" s="28" t="s">
        <v>46</v>
      </c>
      <c r="F121" s="29" t="s">
        <v>46</v>
      </c>
      <c r="G121" s="30" t="s">
        <v>46</v>
      </c>
      <c r="H121" s="31"/>
      <c r="I121" s="31" t="s">
        <v>47</v>
      </c>
      <c r="J121" s="32" t="n">
        <v>1.0</v>
      </c>
      <c r="K121" s="33" t="n">
        <f>47870</f>
        <v>47870.0</v>
      </c>
      <c r="L121" s="34" t="s">
        <v>48</v>
      </c>
      <c r="M121" s="33" t="n">
        <f>53080</f>
        <v>53080.0</v>
      </c>
      <c r="N121" s="34" t="s">
        <v>49</v>
      </c>
      <c r="O121" s="33" t="n">
        <f>47320</f>
        <v>47320.0</v>
      </c>
      <c r="P121" s="34" t="s">
        <v>48</v>
      </c>
      <c r="Q121" s="33" t="n">
        <f>52680</f>
        <v>52680.0</v>
      </c>
      <c r="R121" s="34" t="s">
        <v>50</v>
      </c>
      <c r="S121" s="35" t="n">
        <f>51135.79</f>
        <v>51135.79</v>
      </c>
      <c r="T121" s="32" t="n">
        <f>1376</f>
        <v>1376.0</v>
      </c>
      <c r="U121" s="32" t="str">
        <f>"－"</f>
        <v>－</v>
      </c>
      <c r="V121" s="32" t="n">
        <f>70442190</f>
        <v>7.044219E7</v>
      </c>
      <c r="W121" s="32" t="str">
        <f>"－"</f>
        <v>－</v>
      </c>
      <c r="X121" s="36" t="n">
        <f>19</f>
        <v>19.0</v>
      </c>
    </row>
    <row r="122">
      <c r="A122" s="27" t="s">
        <v>42</v>
      </c>
      <c r="B122" s="27" t="s">
        <v>413</v>
      </c>
      <c r="C122" s="27" t="s">
        <v>414</v>
      </c>
      <c r="D122" s="27" t="s">
        <v>415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1.0</v>
      </c>
      <c r="K122" s="33" t="n">
        <f>32830</f>
        <v>32830.0</v>
      </c>
      <c r="L122" s="34" t="s">
        <v>48</v>
      </c>
      <c r="M122" s="33" t="n">
        <f>36450</f>
        <v>36450.0</v>
      </c>
      <c r="N122" s="34" t="s">
        <v>49</v>
      </c>
      <c r="O122" s="33" t="n">
        <f>32280</f>
        <v>32280.0</v>
      </c>
      <c r="P122" s="34" t="s">
        <v>48</v>
      </c>
      <c r="Q122" s="33" t="n">
        <f>35560</f>
        <v>35560.0</v>
      </c>
      <c r="R122" s="34" t="s">
        <v>50</v>
      </c>
      <c r="S122" s="35" t="n">
        <f>34797.89</f>
        <v>34797.89</v>
      </c>
      <c r="T122" s="32" t="n">
        <f>25878</f>
        <v>25878.0</v>
      </c>
      <c r="U122" s="32" t="n">
        <f>3017</f>
        <v>3017.0</v>
      </c>
      <c r="V122" s="32" t="n">
        <f>896925220</f>
        <v>8.9692522E8</v>
      </c>
      <c r="W122" s="32" t="n">
        <f>98860390</f>
        <v>9.886039E7</v>
      </c>
      <c r="X122" s="36" t="n">
        <f>19</f>
        <v>19.0</v>
      </c>
    </row>
    <row r="123">
      <c r="A123" s="27" t="s">
        <v>42</v>
      </c>
      <c r="B123" s="27" t="s">
        <v>416</v>
      </c>
      <c r="C123" s="27" t="s">
        <v>417</v>
      </c>
      <c r="D123" s="27" t="s">
        <v>418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31340</f>
        <v>31340.0</v>
      </c>
      <c r="L123" s="34" t="s">
        <v>48</v>
      </c>
      <c r="M123" s="33" t="n">
        <f>34010</f>
        <v>34010.0</v>
      </c>
      <c r="N123" s="34" t="s">
        <v>49</v>
      </c>
      <c r="O123" s="33" t="n">
        <f>31180</f>
        <v>31180.0</v>
      </c>
      <c r="P123" s="34" t="s">
        <v>48</v>
      </c>
      <c r="Q123" s="33" t="n">
        <f>33280</f>
        <v>33280.0</v>
      </c>
      <c r="R123" s="34" t="s">
        <v>50</v>
      </c>
      <c r="S123" s="35" t="n">
        <f>33047.37</f>
        <v>33047.37</v>
      </c>
      <c r="T123" s="32" t="n">
        <f>5025</f>
        <v>5025.0</v>
      </c>
      <c r="U123" s="32" t="n">
        <f>2000</f>
        <v>2000.0</v>
      </c>
      <c r="V123" s="32" t="n">
        <f>165693560</f>
        <v>1.6569356E8</v>
      </c>
      <c r="W123" s="32" t="n">
        <f>65370200</f>
        <v>6.53702E7</v>
      </c>
      <c r="X123" s="36" t="n">
        <f>19</f>
        <v>19.0</v>
      </c>
    </row>
    <row r="124">
      <c r="A124" s="27" t="s">
        <v>42</v>
      </c>
      <c r="B124" s="27" t="s">
        <v>419</v>
      </c>
      <c r="C124" s="27" t="s">
        <v>420</v>
      </c>
      <c r="D124" s="27" t="s">
        <v>421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1.0</v>
      </c>
      <c r="K124" s="33" t="n">
        <f>7886</f>
        <v>7886.0</v>
      </c>
      <c r="L124" s="34" t="s">
        <v>48</v>
      </c>
      <c r="M124" s="33" t="n">
        <f>8664</f>
        <v>8664.0</v>
      </c>
      <c r="N124" s="34" t="s">
        <v>77</v>
      </c>
      <c r="O124" s="33" t="n">
        <f>7777</f>
        <v>7777.0</v>
      </c>
      <c r="P124" s="34" t="s">
        <v>48</v>
      </c>
      <c r="Q124" s="33" t="n">
        <f>8440</f>
        <v>8440.0</v>
      </c>
      <c r="R124" s="34" t="s">
        <v>50</v>
      </c>
      <c r="S124" s="35" t="n">
        <f>8357.95</f>
        <v>8357.95</v>
      </c>
      <c r="T124" s="32" t="n">
        <f>31485</f>
        <v>31485.0</v>
      </c>
      <c r="U124" s="32" t="n">
        <f>2</f>
        <v>2.0</v>
      </c>
      <c r="V124" s="32" t="n">
        <f>261900009</f>
        <v>2.61900009E8</v>
      </c>
      <c r="W124" s="32" t="n">
        <f>16576</f>
        <v>16576.0</v>
      </c>
      <c r="X124" s="36" t="n">
        <f>19</f>
        <v>19.0</v>
      </c>
    </row>
    <row r="125">
      <c r="A125" s="27" t="s">
        <v>42</v>
      </c>
      <c r="B125" s="27" t="s">
        <v>422</v>
      </c>
      <c r="C125" s="27" t="s">
        <v>423</v>
      </c>
      <c r="D125" s="27" t="s">
        <v>424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1.0</v>
      </c>
      <c r="K125" s="33" t="n">
        <f>18575</f>
        <v>18575.0</v>
      </c>
      <c r="L125" s="34" t="s">
        <v>48</v>
      </c>
      <c r="M125" s="33" t="n">
        <f>20045</f>
        <v>20045.0</v>
      </c>
      <c r="N125" s="34" t="s">
        <v>245</v>
      </c>
      <c r="O125" s="33" t="n">
        <f>18575</f>
        <v>18575.0</v>
      </c>
      <c r="P125" s="34" t="s">
        <v>48</v>
      </c>
      <c r="Q125" s="33" t="n">
        <f>19530</f>
        <v>19530.0</v>
      </c>
      <c r="R125" s="34" t="s">
        <v>50</v>
      </c>
      <c r="S125" s="35" t="n">
        <f>19416.05</f>
        <v>19416.05</v>
      </c>
      <c r="T125" s="32" t="n">
        <f>12172</f>
        <v>12172.0</v>
      </c>
      <c r="U125" s="32" t="n">
        <f>3</f>
        <v>3.0</v>
      </c>
      <c r="V125" s="32" t="n">
        <f>235123100</f>
        <v>2.351231E8</v>
      </c>
      <c r="W125" s="32" t="n">
        <f>59520</f>
        <v>59520.0</v>
      </c>
      <c r="X125" s="36" t="n">
        <f>19</f>
        <v>19.0</v>
      </c>
    </row>
    <row r="126">
      <c r="A126" s="27" t="s">
        <v>42</v>
      </c>
      <c r="B126" s="27" t="s">
        <v>425</v>
      </c>
      <c r="C126" s="27" t="s">
        <v>426</v>
      </c>
      <c r="D126" s="27" t="s">
        <v>427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1.0</v>
      </c>
      <c r="K126" s="33" t="n">
        <f>70210</f>
        <v>70210.0</v>
      </c>
      <c r="L126" s="34" t="s">
        <v>48</v>
      </c>
      <c r="M126" s="33" t="n">
        <f>79290</f>
        <v>79290.0</v>
      </c>
      <c r="N126" s="34" t="s">
        <v>49</v>
      </c>
      <c r="O126" s="33" t="n">
        <f>69500</f>
        <v>69500.0</v>
      </c>
      <c r="P126" s="34" t="s">
        <v>48</v>
      </c>
      <c r="Q126" s="33" t="n">
        <f>78790</f>
        <v>78790.0</v>
      </c>
      <c r="R126" s="34" t="s">
        <v>50</v>
      </c>
      <c r="S126" s="35" t="n">
        <f>76250</f>
        <v>76250.0</v>
      </c>
      <c r="T126" s="32" t="n">
        <f>21238</f>
        <v>21238.0</v>
      </c>
      <c r="U126" s="32" t="n">
        <f>1</f>
        <v>1.0</v>
      </c>
      <c r="V126" s="32" t="n">
        <f>1629310850</f>
        <v>1.62931085E9</v>
      </c>
      <c r="W126" s="32" t="n">
        <f>77210</f>
        <v>77210.0</v>
      </c>
      <c r="X126" s="36" t="n">
        <f>19</f>
        <v>19.0</v>
      </c>
    </row>
    <row r="127">
      <c r="A127" s="27" t="s">
        <v>42</v>
      </c>
      <c r="B127" s="27" t="s">
        <v>428</v>
      </c>
      <c r="C127" s="27" t="s">
        <v>429</v>
      </c>
      <c r="D127" s="27" t="s">
        <v>430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1.0</v>
      </c>
      <c r="K127" s="33" t="n">
        <f>26405</f>
        <v>26405.0</v>
      </c>
      <c r="L127" s="34" t="s">
        <v>48</v>
      </c>
      <c r="M127" s="33" t="n">
        <f>28170</f>
        <v>28170.0</v>
      </c>
      <c r="N127" s="34" t="s">
        <v>245</v>
      </c>
      <c r="O127" s="33" t="n">
        <f>26270</f>
        <v>26270.0</v>
      </c>
      <c r="P127" s="34" t="s">
        <v>48</v>
      </c>
      <c r="Q127" s="33" t="n">
        <f>27865</f>
        <v>27865.0</v>
      </c>
      <c r="R127" s="34" t="s">
        <v>50</v>
      </c>
      <c r="S127" s="35" t="n">
        <f>27602.37</f>
        <v>27602.37</v>
      </c>
      <c r="T127" s="32" t="n">
        <f>9706</f>
        <v>9706.0</v>
      </c>
      <c r="U127" s="32" t="n">
        <f>3007</f>
        <v>3007.0</v>
      </c>
      <c r="V127" s="32" t="n">
        <f>267312025</f>
        <v>2.67312025E8</v>
      </c>
      <c r="W127" s="32" t="n">
        <f>82048820</f>
        <v>8.204882E7</v>
      </c>
      <c r="X127" s="36" t="n">
        <f>19</f>
        <v>19.0</v>
      </c>
    </row>
    <row r="128">
      <c r="A128" s="27" t="s">
        <v>42</v>
      </c>
      <c r="B128" s="27" t="s">
        <v>431</v>
      </c>
      <c r="C128" s="27" t="s">
        <v>432</v>
      </c>
      <c r="D128" s="27" t="s">
        <v>433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13730</f>
        <v>13730.0</v>
      </c>
      <c r="L128" s="34" t="s">
        <v>48</v>
      </c>
      <c r="M128" s="33" t="n">
        <f>15355</f>
        <v>15355.0</v>
      </c>
      <c r="N128" s="34" t="s">
        <v>159</v>
      </c>
      <c r="O128" s="33" t="n">
        <f>13625</f>
        <v>13625.0</v>
      </c>
      <c r="P128" s="34" t="s">
        <v>48</v>
      </c>
      <c r="Q128" s="33" t="n">
        <f>15345</f>
        <v>15345.0</v>
      </c>
      <c r="R128" s="34" t="s">
        <v>50</v>
      </c>
      <c r="S128" s="35" t="n">
        <f>14589.47</f>
        <v>14589.47</v>
      </c>
      <c r="T128" s="32" t="n">
        <f>81101</f>
        <v>81101.0</v>
      </c>
      <c r="U128" s="32" t="n">
        <f>18515</f>
        <v>18515.0</v>
      </c>
      <c r="V128" s="32" t="n">
        <f>1193569290</f>
        <v>1.19356929E9</v>
      </c>
      <c r="W128" s="32" t="n">
        <f>277592500</f>
        <v>2.775925E8</v>
      </c>
      <c r="X128" s="36" t="n">
        <f>19</f>
        <v>19.0</v>
      </c>
    </row>
    <row r="129">
      <c r="A129" s="27" t="s">
        <v>42</v>
      </c>
      <c r="B129" s="27" t="s">
        <v>434</v>
      </c>
      <c r="C129" s="27" t="s">
        <v>435</v>
      </c>
      <c r="D129" s="27" t="s">
        <v>436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19600</f>
        <v>19600.0</v>
      </c>
      <c r="L129" s="34" t="s">
        <v>48</v>
      </c>
      <c r="M129" s="33" t="n">
        <f>21800</f>
        <v>21800.0</v>
      </c>
      <c r="N129" s="34" t="s">
        <v>50</v>
      </c>
      <c r="O129" s="33" t="n">
        <f>19445</f>
        <v>19445.0</v>
      </c>
      <c r="P129" s="34" t="s">
        <v>48</v>
      </c>
      <c r="Q129" s="33" t="n">
        <f>21800</f>
        <v>21800.0</v>
      </c>
      <c r="R129" s="34" t="s">
        <v>50</v>
      </c>
      <c r="S129" s="35" t="n">
        <f>21013.68</f>
        <v>21013.68</v>
      </c>
      <c r="T129" s="32" t="n">
        <f>13413</f>
        <v>13413.0</v>
      </c>
      <c r="U129" s="32" t="n">
        <f>23</f>
        <v>23.0</v>
      </c>
      <c r="V129" s="32" t="n">
        <f>275095415</f>
        <v>2.75095415E8</v>
      </c>
      <c r="W129" s="32" t="n">
        <f>486335</f>
        <v>486335.0</v>
      </c>
      <c r="X129" s="36" t="n">
        <f>19</f>
        <v>19.0</v>
      </c>
    </row>
    <row r="130">
      <c r="A130" s="27" t="s">
        <v>42</v>
      </c>
      <c r="B130" s="27" t="s">
        <v>437</v>
      </c>
      <c r="C130" s="27" t="s">
        <v>438</v>
      </c>
      <c r="D130" s="27" t="s">
        <v>439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33750</f>
        <v>33750.0</v>
      </c>
      <c r="L130" s="34" t="s">
        <v>48</v>
      </c>
      <c r="M130" s="33" t="n">
        <f>37030</f>
        <v>37030.0</v>
      </c>
      <c r="N130" s="34" t="s">
        <v>49</v>
      </c>
      <c r="O130" s="33" t="n">
        <f>33590</f>
        <v>33590.0</v>
      </c>
      <c r="P130" s="34" t="s">
        <v>48</v>
      </c>
      <c r="Q130" s="33" t="n">
        <f>36340</f>
        <v>36340.0</v>
      </c>
      <c r="R130" s="34" t="s">
        <v>50</v>
      </c>
      <c r="S130" s="35" t="n">
        <f>35795.26</f>
        <v>35795.26</v>
      </c>
      <c r="T130" s="32" t="n">
        <f>7619</f>
        <v>7619.0</v>
      </c>
      <c r="U130" s="32" t="n">
        <f>5000</f>
        <v>5000.0</v>
      </c>
      <c r="V130" s="32" t="n">
        <f>272319910</f>
        <v>2.7231991E8</v>
      </c>
      <c r="W130" s="32" t="n">
        <f>178120800</f>
        <v>1.781208E8</v>
      </c>
      <c r="X130" s="36" t="n">
        <f>19</f>
        <v>19.0</v>
      </c>
    </row>
    <row r="131">
      <c r="A131" s="27" t="s">
        <v>42</v>
      </c>
      <c r="B131" s="27" t="s">
        <v>440</v>
      </c>
      <c r="C131" s="27" t="s">
        <v>441</v>
      </c>
      <c r="D131" s="27" t="s">
        <v>442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10.0</v>
      </c>
      <c r="K131" s="33" t="n">
        <f>1627.5</f>
        <v>1627.5</v>
      </c>
      <c r="L131" s="34" t="s">
        <v>48</v>
      </c>
      <c r="M131" s="33" t="n">
        <f>1836</f>
        <v>1836.0</v>
      </c>
      <c r="N131" s="34" t="s">
        <v>50</v>
      </c>
      <c r="O131" s="33" t="n">
        <f>1625</f>
        <v>1625.0</v>
      </c>
      <c r="P131" s="34" t="s">
        <v>48</v>
      </c>
      <c r="Q131" s="33" t="n">
        <f>1836</f>
        <v>1836.0</v>
      </c>
      <c r="R131" s="34" t="s">
        <v>50</v>
      </c>
      <c r="S131" s="35" t="n">
        <f>1772.16</f>
        <v>1772.16</v>
      </c>
      <c r="T131" s="32" t="n">
        <f>2643830</f>
        <v>2643830.0</v>
      </c>
      <c r="U131" s="32" t="n">
        <f>1878460</f>
        <v>1878460.0</v>
      </c>
      <c r="V131" s="32" t="n">
        <f>4556511064</f>
        <v>4.556511064E9</v>
      </c>
      <c r="W131" s="32" t="n">
        <f>3201496184</f>
        <v>3.201496184E9</v>
      </c>
      <c r="X131" s="36" t="n">
        <f>19</f>
        <v>19.0</v>
      </c>
    </row>
    <row r="132">
      <c r="A132" s="27" t="s">
        <v>42</v>
      </c>
      <c r="B132" s="27" t="s">
        <v>443</v>
      </c>
      <c r="C132" s="27" t="s">
        <v>444</v>
      </c>
      <c r="D132" s="27" t="s">
        <v>445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10.0</v>
      </c>
      <c r="K132" s="33" t="n">
        <f>2717</f>
        <v>2717.0</v>
      </c>
      <c r="L132" s="34" t="s">
        <v>48</v>
      </c>
      <c r="M132" s="33" t="n">
        <f>2920.5</f>
        <v>2920.5</v>
      </c>
      <c r="N132" s="34" t="s">
        <v>49</v>
      </c>
      <c r="O132" s="33" t="n">
        <f>2704</f>
        <v>2704.0</v>
      </c>
      <c r="P132" s="34" t="s">
        <v>48</v>
      </c>
      <c r="Q132" s="33" t="n">
        <f>2906</f>
        <v>2906.0</v>
      </c>
      <c r="R132" s="34" t="s">
        <v>50</v>
      </c>
      <c r="S132" s="35" t="n">
        <f>2849</f>
        <v>2849.0</v>
      </c>
      <c r="T132" s="32" t="n">
        <f>60370</f>
        <v>60370.0</v>
      </c>
      <c r="U132" s="32" t="str">
        <f>"－"</f>
        <v>－</v>
      </c>
      <c r="V132" s="32" t="n">
        <f>172668920</f>
        <v>1.7266892E8</v>
      </c>
      <c r="W132" s="32" t="str">
        <f>"－"</f>
        <v>－</v>
      </c>
      <c r="X132" s="36" t="n">
        <f>19</f>
        <v>19.0</v>
      </c>
    </row>
    <row r="133">
      <c r="A133" s="27" t="s">
        <v>42</v>
      </c>
      <c r="B133" s="27" t="s">
        <v>446</v>
      </c>
      <c r="C133" s="27" t="s">
        <v>447</v>
      </c>
      <c r="D133" s="27" t="s">
        <v>448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2993.5</f>
        <v>2993.5</v>
      </c>
      <c r="L133" s="34" t="s">
        <v>48</v>
      </c>
      <c r="M133" s="33" t="n">
        <f>3220</f>
        <v>3220.0</v>
      </c>
      <c r="N133" s="34" t="s">
        <v>49</v>
      </c>
      <c r="O133" s="33" t="n">
        <f>2993.5</f>
        <v>2993.5</v>
      </c>
      <c r="P133" s="34" t="s">
        <v>48</v>
      </c>
      <c r="Q133" s="33" t="n">
        <f>3194</f>
        <v>3194.0</v>
      </c>
      <c r="R133" s="34" t="s">
        <v>214</v>
      </c>
      <c r="S133" s="35" t="n">
        <f>3139.67</f>
        <v>3139.67</v>
      </c>
      <c r="T133" s="32" t="n">
        <f>176010</f>
        <v>176010.0</v>
      </c>
      <c r="U133" s="32" t="n">
        <f>147000</f>
        <v>147000.0</v>
      </c>
      <c r="V133" s="32" t="n">
        <f>562034350</f>
        <v>5.6203435E8</v>
      </c>
      <c r="W133" s="32" t="n">
        <f>471198300</f>
        <v>4.711983E8</v>
      </c>
      <c r="X133" s="36" t="n">
        <f>18</f>
        <v>18.0</v>
      </c>
    </row>
    <row r="134">
      <c r="A134" s="27" t="s">
        <v>42</v>
      </c>
      <c r="B134" s="27" t="s">
        <v>449</v>
      </c>
      <c r="C134" s="27" t="s">
        <v>450</v>
      </c>
      <c r="D134" s="27" t="s">
        <v>451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1866</f>
        <v>1866.0</v>
      </c>
      <c r="L134" s="34" t="s">
        <v>48</v>
      </c>
      <c r="M134" s="33" t="n">
        <f>2030.5</f>
        <v>2030.5</v>
      </c>
      <c r="N134" s="34" t="s">
        <v>49</v>
      </c>
      <c r="O134" s="33" t="n">
        <f>1866</f>
        <v>1866.0</v>
      </c>
      <c r="P134" s="34" t="s">
        <v>48</v>
      </c>
      <c r="Q134" s="33" t="n">
        <f>2002</f>
        <v>2002.0</v>
      </c>
      <c r="R134" s="34" t="s">
        <v>214</v>
      </c>
      <c r="S134" s="35" t="n">
        <f>1969.86</f>
        <v>1969.86</v>
      </c>
      <c r="T134" s="32" t="n">
        <f>36170</f>
        <v>36170.0</v>
      </c>
      <c r="U134" s="32" t="n">
        <f>25000</f>
        <v>25000.0</v>
      </c>
      <c r="V134" s="32" t="n">
        <f>71453995</f>
        <v>7.1453995E7</v>
      </c>
      <c r="W134" s="32" t="n">
        <f>49635000</f>
        <v>4.9635E7</v>
      </c>
      <c r="X134" s="36" t="n">
        <f>18</f>
        <v>18.0</v>
      </c>
    </row>
    <row r="135">
      <c r="A135" s="27" t="s">
        <v>42</v>
      </c>
      <c r="B135" s="27" t="s">
        <v>452</v>
      </c>
      <c r="C135" s="27" t="s">
        <v>453</v>
      </c>
      <c r="D135" s="27" t="s">
        <v>454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10.0</v>
      </c>
      <c r="K135" s="33" t="n">
        <f>486.6</f>
        <v>486.6</v>
      </c>
      <c r="L135" s="34" t="s">
        <v>48</v>
      </c>
      <c r="M135" s="33" t="n">
        <f>525.2</f>
        <v>525.2</v>
      </c>
      <c r="N135" s="34" t="s">
        <v>214</v>
      </c>
      <c r="O135" s="33" t="n">
        <f>485.8</f>
        <v>485.8</v>
      </c>
      <c r="P135" s="34" t="s">
        <v>48</v>
      </c>
      <c r="Q135" s="33" t="n">
        <f>523.9</f>
        <v>523.9</v>
      </c>
      <c r="R135" s="34" t="s">
        <v>50</v>
      </c>
      <c r="S135" s="35" t="n">
        <f>509.49</f>
        <v>509.49</v>
      </c>
      <c r="T135" s="32" t="n">
        <f>43252130</f>
        <v>4.325213E7</v>
      </c>
      <c r="U135" s="32" t="n">
        <f>1202770</f>
        <v>1202770.0</v>
      </c>
      <c r="V135" s="32" t="n">
        <f>22030656588</f>
        <v>2.2030656588E10</v>
      </c>
      <c r="W135" s="32" t="n">
        <f>617769493</f>
        <v>6.17769493E8</v>
      </c>
      <c r="X135" s="36" t="n">
        <f>19</f>
        <v>19.0</v>
      </c>
    </row>
    <row r="136">
      <c r="A136" s="27" t="s">
        <v>42</v>
      </c>
      <c r="B136" s="27" t="s">
        <v>455</v>
      </c>
      <c r="C136" s="27" t="s">
        <v>456</v>
      </c>
      <c r="D136" s="27" t="s">
        <v>457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10.0</v>
      </c>
      <c r="K136" s="33" t="n">
        <f>288.2</f>
        <v>288.2</v>
      </c>
      <c r="L136" s="34" t="s">
        <v>48</v>
      </c>
      <c r="M136" s="33" t="n">
        <f>294.7</f>
        <v>294.7</v>
      </c>
      <c r="N136" s="34" t="s">
        <v>50</v>
      </c>
      <c r="O136" s="33" t="n">
        <f>287.1</f>
        <v>287.1</v>
      </c>
      <c r="P136" s="34" t="s">
        <v>88</v>
      </c>
      <c r="Q136" s="33" t="n">
        <f>294.7</f>
        <v>294.7</v>
      </c>
      <c r="R136" s="34" t="s">
        <v>50</v>
      </c>
      <c r="S136" s="35" t="n">
        <f>291.67</f>
        <v>291.67</v>
      </c>
      <c r="T136" s="32" t="n">
        <f>32046690</f>
        <v>3.204669E7</v>
      </c>
      <c r="U136" s="32" t="n">
        <f>24988100</f>
        <v>2.49881E7</v>
      </c>
      <c r="V136" s="32" t="n">
        <f>9351280043</f>
        <v>9.351280043E9</v>
      </c>
      <c r="W136" s="32" t="n">
        <f>7296914202</f>
        <v>7.296914202E9</v>
      </c>
      <c r="X136" s="36" t="n">
        <f>19</f>
        <v>19.0</v>
      </c>
    </row>
    <row r="137">
      <c r="A137" s="27" t="s">
        <v>42</v>
      </c>
      <c r="B137" s="27" t="s">
        <v>458</v>
      </c>
      <c r="C137" s="27" t="s">
        <v>459</v>
      </c>
      <c r="D137" s="27" t="s">
        <v>460</v>
      </c>
      <c r="E137" s="28" t="s">
        <v>46</v>
      </c>
      <c r="F137" s="29" t="s">
        <v>46</v>
      </c>
      <c r="G137" s="30" t="s">
        <v>46</v>
      </c>
      <c r="H137" s="31"/>
      <c r="I137" s="31" t="s">
        <v>47</v>
      </c>
      <c r="J137" s="32" t="n">
        <v>1.0</v>
      </c>
      <c r="K137" s="33" t="n">
        <f>4155</f>
        <v>4155.0</v>
      </c>
      <c r="L137" s="34" t="s">
        <v>48</v>
      </c>
      <c r="M137" s="33" t="n">
        <f>4450</f>
        <v>4450.0</v>
      </c>
      <c r="N137" s="34" t="s">
        <v>214</v>
      </c>
      <c r="O137" s="33" t="n">
        <f>4130</f>
        <v>4130.0</v>
      </c>
      <c r="P137" s="34" t="s">
        <v>274</v>
      </c>
      <c r="Q137" s="33" t="n">
        <f>4440</f>
        <v>4440.0</v>
      </c>
      <c r="R137" s="34" t="s">
        <v>50</v>
      </c>
      <c r="S137" s="35" t="n">
        <f>4323.68</f>
        <v>4323.68</v>
      </c>
      <c r="T137" s="32" t="n">
        <f>236023</f>
        <v>236023.0</v>
      </c>
      <c r="U137" s="32" t="n">
        <f>141475</f>
        <v>141475.0</v>
      </c>
      <c r="V137" s="32" t="n">
        <f>1034230184</f>
        <v>1.034230184E9</v>
      </c>
      <c r="W137" s="32" t="n">
        <f>628453939</f>
        <v>6.28453939E8</v>
      </c>
      <c r="X137" s="36" t="n">
        <f>19</f>
        <v>19.0</v>
      </c>
    </row>
    <row r="138">
      <c r="A138" s="27" t="s">
        <v>42</v>
      </c>
      <c r="B138" s="27" t="s">
        <v>461</v>
      </c>
      <c r="C138" s="27" t="s">
        <v>462</v>
      </c>
      <c r="D138" s="27" t="s">
        <v>463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1.0</v>
      </c>
      <c r="K138" s="33" t="n">
        <f>2421</f>
        <v>2421.0</v>
      </c>
      <c r="L138" s="34" t="s">
        <v>48</v>
      </c>
      <c r="M138" s="33" t="n">
        <f>2480</f>
        <v>2480.0</v>
      </c>
      <c r="N138" s="34" t="s">
        <v>214</v>
      </c>
      <c r="O138" s="33" t="n">
        <f>2341</f>
        <v>2341.0</v>
      </c>
      <c r="P138" s="34" t="s">
        <v>158</v>
      </c>
      <c r="Q138" s="33" t="n">
        <f>2437</f>
        <v>2437.0</v>
      </c>
      <c r="R138" s="34" t="s">
        <v>50</v>
      </c>
      <c r="S138" s="35" t="n">
        <f>2436.89</f>
        <v>2436.89</v>
      </c>
      <c r="T138" s="32" t="n">
        <f>98284</f>
        <v>98284.0</v>
      </c>
      <c r="U138" s="32" t="n">
        <f>4106</f>
        <v>4106.0</v>
      </c>
      <c r="V138" s="32" t="n">
        <f>239247382</f>
        <v>2.39247382E8</v>
      </c>
      <c r="W138" s="32" t="n">
        <f>9993993</f>
        <v>9993993.0</v>
      </c>
      <c r="X138" s="36" t="n">
        <f>19</f>
        <v>19.0</v>
      </c>
    </row>
    <row r="139">
      <c r="A139" s="27" t="s">
        <v>42</v>
      </c>
      <c r="B139" s="27" t="s">
        <v>464</v>
      </c>
      <c r="C139" s="27" t="s">
        <v>465</v>
      </c>
      <c r="D139" s="27" t="s">
        <v>466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2872</f>
        <v>2872.0</v>
      </c>
      <c r="L139" s="34" t="s">
        <v>48</v>
      </c>
      <c r="M139" s="33" t="n">
        <f>2954</f>
        <v>2954.0</v>
      </c>
      <c r="N139" s="34" t="s">
        <v>245</v>
      </c>
      <c r="O139" s="33" t="n">
        <f>2866</f>
        <v>2866.0</v>
      </c>
      <c r="P139" s="34" t="s">
        <v>48</v>
      </c>
      <c r="Q139" s="33" t="n">
        <f>2920</f>
        <v>2920.0</v>
      </c>
      <c r="R139" s="34" t="s">
        <v>50</v>
      </c>
      <c r="S139" s="35" t="n">
        <f>2918.84</f>
        <v>2918.84</v>
      </c>
      <c r="T139" s="32" t="n">
        <f>194533</f>
        <v>194533.0</v>
      </c>
      <c r="U139" s="32" t="n">
        <f>18</f>
        <v>18.0</v>
      </c>
      <c r="V139" s="32" t="n">
        <f>567560010</f>
        <v>5.6756001E8</v>
      </c>
      <c r="W139" s="32" t="n">
        <f>49591</f>
        <v>49591.0</v>
      </c>
      <c r="X139" s="36" t="n">
        <f>19</f>
        <v>19.0</v>
      </c>
    </row>
    <row r="140">
      <c r="A140" s="27" t="s">
        <v>42</v>
      </c>
      <c r="B140" s="27" t="s">
        <v>467</v>
      </c>
      <c r="C140" s="27" t="s">
        <v>468</v>
      </c>
      <c r="D140" s="27" t="s">
        <v>469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10435</f>
        <v>10435.0</v>
      </c>
      <c r="L140" s="34" t="s">
        <v>48</v>
      </c>
      <c r="M140" s="33" t="n">
        <f>10545</f>
        <v>10545.0</v>
      </c>
      <c r="N140" s="34" t="s">
        <v>49</v>
      </c>
      <c r="O140" s="33" t="n">
        <f>10300</f>
        <v>10300.0</v>
      </c>
      <c r="P140" s="34" t="s">
        <v>61</v>
      </c>
      <c r="Q140" s="33" t="n">
        <f>10375</f>
        <v>10375.0</v>
      </c>
      <c r="R140" s="34" t="s">
        <v>50</v>
      </c>
      <c r="S140" s="35" t="n">
        <f>10411.32</f>
        <v>10411.32</v>
      </c>
      <c r="T140" s="32" t="n">
        <f>183777</f>
        <v>183777.0</v>
      </c>
      <c r="U140" s="32" t="n">
        <f>122162</f>
        <v>122162.0</v>
      </c>
      <c r="V140" s="32" t="n">
        <f>1915893523</f>
        <v>1.915893523E9</v>
      </c>
      <c r="W140" s="32" t="n">
        <f>1274165793</f>
        <v>1.274165793E9</v>
      </c>
      <c r="X140" s="36" t="n">
        <f>19</f>
        <v>19.0</v>
      </c>
    </row>
    <row r="141">
      <c r="A141" s="27" t="s">
        <v>42</v>
      </c>
      <c r="B141" s="27" t="s">
        <v>470</v>
      </c>
      <c r="C141" s="27" t="s">
        <v>471</v>
      </c>
      <c r="D141" s="27" t="s">
        <v>472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2685</f>
        <v>2685.0</v>
      </c>
      <c r="L141" s="34" t="s">
        <v>48</v>
      </c>
      <c r="M141" s="33" t="n">
        <f>3010</f>
        <v>3010.0</v>
      </c>
      <c r="N141" s="34" t="s">
        <v>364</v>
      </c>
      <c r="O141" s="33" t="n">
        <f>2618</f>
        <v>2618.0</v>
      </c>
      <c r="P141" s="34" t="s">
        <v>88</v>
      </c>
      <c r="Q141" s="33" t="n">
        <f>2952</f>
        <v>2952.0</v>
      </c>
      <c r="R141" s="34" t="s">
        <v>50</v>
      </c>
      <c r="S141" s="35" t="n">
        <f>2796.84</f>
        <v>2796.84</v>
      </c>
      <c r="T141" s="32" t="n">
        <f>5764598</f>
        <v>5764598.0</v>
      </c>
      <c r="U141" s="32" t="n">
        <f>521</f>
        <v>521.0</v>
      </c>
      <c r="V141" s="32" t="n">
        <f>16137674433</f>
        <v>1.6137674433E10</v>
      </c>
      <c r="W141" s="32" t="n">
        <f>1394964</f>
        <v>1394964.0</v>
      </c>
      <c r="X141" s="36" t="n">
        <f>19</f>
        <v>19.0</v>
      </c>
    </row>
    <row r="142">
      <c r="A142" s="27" t="s">
        <v>42</v>
      </c>
      <c r="B142" s="27" t="s">
        <v>473</v>
      </c>
      <c r="C142" s="27" t="s">
        <v>474</v>
      </c>
      <c r="D142" s="27" t="s">
        <v>475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27345</f>
        <v>27345.0</v>
      </c>
      <c r="L142" s="34" t="s">
        <v>48</v>
      </c>
      <c r="M142" s="33" t="n">
        <f>28165</f>
        <v>28165.0</v>
      </c>
      <c r="N142" s="34" t="s">
        <v>49</v>
      </c>
      <c r="O142" s="33" t="n">
        <f>27290</f>
        <v>27290.0</v>
      </c>
      <c r="P142" s="34" t="s">
        <v>48</v>
      </c>
      <c r="Q142" s="33" t="n">
        <f>28145</f>
        <v>28145.0</v>
      </c>
      <c r="R142" s="34" t="s">
        <v>50</v>
      </c>
      <c r="S142" s="35" t="n">
        <f>27872.37</f>
        <v>27872.37</v>
      </c>
      <c r="T142" s="32" t="n">
        <f>5661</f>
        <v>5661.0</v>
      </c>
      <c r="U142" s="32" t="str">
        <f>"－"</f>
        <v>－</v>
      </c>
      <c r="V142" s="32" t="n">
        <f>157484030</f>
        <v>1.5748403E8</v>
      </c>
      <c r="W142" s="32" t="str">
        <f>"－"</f>
        <v>－</v>
      </c>
      <c r="X142" s="36" t="n">
        <f>19</f>
        <v>19.0</v>
      </c>
    </row>
    <row r="143">
      <c r="A143" s="27" t="s">
        <v>42</v>
      </c>
      <c r="B143" s="27" t="s">
        <v>476</v>
      </c>
      <c r="C143" s="27" t="s">
        <v>477</v>
      </c>
      <c r="D143" s="27" t="s">
        <v>478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10.0</v>
      </c>
      <c r="K143" s="33" t="n">
        <f>3055</f>
        <v>3055.0</v>
      </c>
      <c r="L143" s="34" t="s">
        <v>48</v>
      </c>
      <c r="M143" s="33" t="n">
        <f>3150</f>
        <v>3150.0</v>
      </c>
      <c r="N143" s="34" t="s">
        <v>214</v>
      </c>
      <c r="O143" s="33" t="n">
        <f>3002</f>
        <v>3002.0</v>
      </c>
      <c r="P143" s="34" t="s">
        <v>48</v>
      </c>
      <c r="Q143" s="33" t="n">
        <f>3130</f>
        <v>3130.0</v>
      </c>
      <c r="R143" s="34" t="s">
        <v>50</v>
      </c>
      <c r="S143" s="35" t="n">
        <f>3088.26</f>
        <v>3088.26</v>
      </c>
      <c r="T143" s="32" t="n">
        <f>38740</f>
        <v>38740.0</v>
      </c>
      <c r="U143" s="32" t="str">
        <f>"－"</f>
        <v>－</v>
      </c>
      <c r="V143" s="32" t="n">
        <f>119336860</f>
        <v>1.1933686E8</v>
      </c>
      <c r="W143" s="32" t="str">
        <f>"－"</f>
        <v>－</v>
      </c>
      <c r="X143" s="36" t="n">
        <f>19</f>
        <v>19.0</v>
      </c>
    </row>
    <row r="144">
      <c r="A144" s="27" t="s">
        <v>42</v>
      </c>
      <c r="B144" s="27" t="s">
        <v>479</v>
      </c>
      <c r="C144" s="27" t="s">
        <v>480</v>
      </c>
      <c r="D144" s="27" t="s">
        <v>481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12895</f>
        <v>12895.0</v>
      </c>
      <c r="L144" s="34" t="s">
        <v>48</v>
      </c>
      <c r="M144" s="33" t="n">
        <f>12895</f>
        <v>12895.0</v>
      </c>
      <c r="N144" s="34" t="s">
        <v>48</v>
      </c>
      <c r="O144" s="33" t="n">
        <f>12090</f>
        <v>12090.0</v>
      </c>
      <c r="P144" s="34" t="s">
        <v>61</v>
      </c>
      <c r="Q144" s="33" t="n">
        <f>12475</f>
        <v>12475.0</v>
      </c>
      <c r="R144" s="34" t="s">
        <v>50</v>
      </c>
      <c r="S144" s="35" t="n">
        <f>12417.37</f>
        <v>12417.37</v>
      </c>
      <c r="T144" s="32" t="n">
        <f>12176</f>
        <v>12176.0</v>
      </c>
      <c r="U144" s="32" t="str">
        <f>"－"</f>
        <v>－</v>
      </c>
      <c r="V144" s="32" t="n">
        <f>150909275</f>
        <v>1.50909275E8</v>
      </c>
      <c r="W144" s="32" t="str">
        <f>"－"</f>
        <v>－</v>
      </c>
      <c r="X144" s="36" t="n">
        <f>19</f>
        <v>19.0</v>
      </c>
    </row>
    <row r="145">
      <c r="A145" s="27" t="s">
        <v>42</v>
      </c>
      <c r="B145" s="27" t="s">
        <v>482</v>
      </c>
      <c r="C145" s="27" t="s">
        <v>483</v>
      </c>
      <c r="D145" s="27" t="s">
        <v>484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14460</f>
        <v>14460.0</v>
      </c>
      <c r="L145" s="34" t="s">
        <v>48</v>
      </c>
      <c r="M145" s="33" t="n">
        <f>15075</f>
        <v>15075.0</v>
      </c>
      <c r="N145" s="34" t="s">
        <v>48</v>
      </c>
      <c r="O145" s="33" t="n">
        <f>12900</f>
        <v>12900.0</v>
      </c>
      <c r="P145" s="34" t="s">
        <v>61</v>
      </c>
      <c r="Q145" s="33" t="n">
        <f>13370</f>
        <v>13370.0</v>
      </c>
      <c r="R145" s="34" t="s">
        <v>50</v>
      </c>
      <c r="S145" s="35" t="n">
        <f>13472.63</f>
        <v>13472.63</v>
      </c>
      <c r="T145" s="32" t="n">
        <f>14638</f>
        <v>14638.0</v>
      </c>
      <c r="U145" s="32" t="str">
        <f>"－"</f>
        <v>－</v>
      </c>
      <c r="V145" s="32" t="n">
        <f>196501060</f>
        <v>1.9650106E8</v>
      </c>
      <c r="W145" s="32" t="str">
        <f>"－"</f>
        <v>－</v>
      </c>
      <c r="X145" s="36" t="n">
        <f>19</f>
        <v>19.0</v>
      </c>
    </row>
    <row r="146">
      <c r="A146" s="27" t="s">
        <v>42</v>
      </c>
      <c r="B146" s="27" t="s">
        <v>485</v>
      </c>
      <c r="C146" s="27" t="s">
        <v>486</v>
      </c>
      <c r="D146" s="27" t="s">
        <v>487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18315</f>
        <v>18315.0</v>
      </c>
      <c r="L146" s="34" t="s">
        <v>48</v>
      </c>
      <c r="M146" s="33" t="n">
        <f>19825</f>
        <v>19825.0</v>
      </c>
      <c r="N146" s="34" t="s">
        <v>48</v>
      </c>
      <c r="O146" s="33" t="n">
        <f>18305</f>
        <v>18305.0</v>
      </c>
      <c r="P146" s="34" t="s">
        <v>48</v>
      </c>
      <c r="Q146" s="33" t="n">
        <f>19140</f>
        <v>19140.0</v>
      </c>
      <c r="R146" s="34" t="s">
        <v>50</v>
      </c>
      <c r="S146" s="35" t="n">
        <f>18890.77</f>
        <v>18890.77</v>
      </c>
      <c r="T146" s="32" t="n">
        <f>194</f>
        <v>194.0</v>
      </c>
      <c r="U146" s="32" t="str">
        <f>"－"</f>
        <v>－</v>
      </c>
      <c r="V146" s="32" t="n">
        <f>3682655</f>
        <v>3682655.0</v>
      </c>
      <c r="W146" s="32" t="str">
        <f>"－"</f>
        <v>－</v>
      </c>
      <c r="X146" s="36" t="n">
        <f>13</f>
        <v>13.0</v>
      </c>
    </row>
    <row r="147">
      <c r="A147" s="27" t="s">
        <v>42</v>
      </c>
      <c r="B147" s="27" t="s">
        <v>488</v>
      </c>
      <c r="C147" s="27" t="s">
        <v>489</v>
      </c>
      <c r="D147" s="27" t="s">
        <v>490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10.0</v>
      </c>
      <c r="K147" s="33" t="n">
        <f>53290</f>
        <v>53290.0</v>
      </c>
      <c r="L147" s="34" t="s">
        <v>48</v>
      </c>
      <c r="M147" s="33" t="n">
        <f>54890</f>
        <v>54890.0</v>
      </c>
      <c r="N147" s="34" t="s">
        <v>49</v>
      </c>
      <c r="O147" s="33" t="n">
        <f>53290</f>
        <v>53290.0</v>
      </c>
      <c r="P147" s="34" t="s">
        <v>48</v>
      </c>
      <c r="Q147" s="33" t="n">
        <f>54790</f>
        <v>54790.0</v>
      </c>
      <c r="R147" s="34" t="s">
        <v>50</v>
      </c>
      <c r="S147" s="35" t="n">
        <f>54332.11</f>
        <v>54332.11</v>
      </c>
      <c r="T147" s="32" t="n">
        <f>22180</f>
        <v>22180.0</v>
      </c>
      <c r="U147" s="32" t="n">
        <f>17030</f>
        <v>17030.0</v>
      </c>
      <c r="V147" s="32" t="n">
        <f>1209802800</f>
        <v>1.2098028E9</v>
      </c>
      <c r="W147" s="32" t="n">
        <f>931054800</f>
        <v>9.310548E8</v>
      </c>
      <c r="X147" s="36" t="n">
        <f>19</f>
        <v>19.0</v>
      </c>
    </row>
    <row r="148">
      <c r="A148" s="27" t="s">
        <v>42</v>
      </c>
      <c r="B148" s="27" t="s">
        <v>491</v>
      </c>
      <c r="C148" s="27" t="s">
        <v>492</v>
      </c>
      <c r="D148" s="27" t="s">
        <v>493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10.0</v>
      </c>
      <c r="K148" s="33" t="n">
        <f>327.1</f>
        <v>327.1</v>
      </c>
      <c r="L148" s="34" t="s">
        <v>48</v>
      </c>
      <c r="M148" s="33" t="n">
        <f>343.3</f>
        <v>343.3</v>
      </c>
      <c r="N148" s="34" t="s">
        <v>77</v>
      </c>
      <c r="O148" s="33" t="n">
        <f>324.9</f>
        <v>324.9</v>
      </c>
      <c r="P148" s="34" t="s">
        <v>48</v>
      </c>
      <c r="Q148" s="33" t="n">
        <f>339.3</f>
        <v>339.3</v>
      </c>
      <c r="R148" s="34" t="s">
        <v>50</v>
      </c>
      <c r="S148" s="35" t="n">
        <f>336.32</f>
        <v>336.32</v>
      </c>
      <c r="T148" s="32" t="n">
        <f>54061320</f>
        <v>5.406132E7</v>
      </c>
      <c r="U148" s="32" t="n">
        <f>445640</f>
        <v>445640.0</v>
      </c>
      <c r="V148" s="32" t="n">
        <f>18162966698</f>
        <v>1.8162966698E10</v>
      </c>
      <c r="W148" s="32" t="n">
        <f>147933730</f>
        <v>1.4793373E8</v>
      </c>
      <c r="X148" s="36" t="n">
        <f>19</f>
        <v>19.0</v>
      </c>
    </row>
    <row r="149">
      <c r="A149" s="27" t="s">
        <v>42</v>
      </c>
      <c r="B149" s="27" t="s">
        <v>494</v>
      </c>
      <c r="C149" s="27" t="s">
        <v>495</v>
      </c>
      <c r="D149" s="27" t="s">
        <v>496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10.0</v>
      </c>
      <c r="K149" s="33" t="n">
        <f>44850</f>
        <v>44850.0</v>
      </c>
      <c r="L149" s="34" t="s">
        <v>48</v>
      </c>
      <c r="M149" s="33" t="n">
        <f>47500</f>
        <v>47500.0</v>
      </c>
      <c r="N149" s="34" t="s">
        <v>50</v>
      </c>
      <c r="O149" s="33" t="n">
        <f>44690</f>
        <v>44690.0</v>
      </c>
      <c r="P149" s="34" t="s">
        <v>48</v>
      </c>
      <c r="Q149" s="33" t="n">
        <f>47500</f>
        <v>47500.0</v>
      </c>
      <c r="R149" s="34" t="s">
        <v>50</v>
      </c>
      <c r="S149" s="35" t="n">
        <f>46230.53</f>
        <v>46230.53</v>
      </c>
      <c r="T149" s="32" t="n">
        <f>2960</f>
        <v>2960.0</v>
      </c>
      <c r="U149" s="32" t="n">
        <f>10</f>
        <v>10.0</v>
      </c>
      <c r="V149" s="32" t="n">
        <f>135779000</f>
        <v>1.35779E8</v>
      </c>
      <c r="W149" s="32" t="n">
        <f>453000</f>
        <v>453000.0</v>
      </c>
      <c r="X149" s="36" t="n">
        <f>19</f>
        <v>19.0</v>
      </c>
    </row>
    <row r="150">
      <c r="A150" s="27" t="s">
        <v>42</v>
      </c>
      <c r="B150" s="27" t="s">
        <v>497</v>
      </c>
      <c r="C150" s="27" t="s">
        <v>498</v>
      </c>
      <c r="D150" s="27" t="s">
        <v>499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10.0</v>
      </c>
      <c r="K150" s="33" t="n">
        <f>4770</f>
        <v>4770.0</v>
      </c>
      <c r="L150" s="34" t="s">
        <v>48</v>
      </c>
      <c r="M150" s="33" t="n">
        <f>5040</f>
        <v>5040.0</v>
      </c>
      <c r="N150" s="34" t="s">
        <v>214</v>
      </c>
      <c r="O150" s="33" t="n">
        <f>4758</f>
        <v>4758.0</v>
      </c>
      <c r="P150" s="34" t="s">
        <v>48</v>
      </c>
      <c r="Q150" s="33" t="n">
        <f>5024</f>
        <v>5024.0</v>
      </c>
      <c r="R150" s="34" t="s">
        <v>50</v>
      </c>
      <c r="S150" s="35" t="n">
        <f>4933.74</f>
        <v>4933.74</v>
      </c>
      <c r="T150" s="32" t="n">
        <f>107930</f>
        <v>107930.0</v>
      </c>
      <c r="U150" s="32" t="n">
        <f>200</f>
        <v>200.0</v>
      </c>
      <c r="V150" s="32" t="n">
        <f>530021810</f>
        <v>5.3002181E8</v>
      </c>
      <c r="W150" s="32" t="n">
        <f>1007000</f>
        <v>1007000.0</v>
      </c>
      <c r="X150" s="36" t="n">
        <f>19</f>
        <v>19.0</v>
      </c>
    </row>
    <row r="151">
      <c r="A151" s="27" t="s">
        <v>42</v>
      </c>
      <c r="B151" s="27" t="s">
        <v>500</v>
      </c>
      <c r="C151" s="27" t="s">
        <v>501</v>
      </c>
      <c r="D151" s="27" t="s">
        <v>502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10.0</v>
      </c>
      <c r="K151" s="33" t="n">
        <f>1839</f>
        <v>1839.0</v>
      </c>
      <c r="L151" s="34" t="s">
        <v>48</v>
      </c>
      <c r="M151" s="33" t="n">
        <f>1848.5</f>
        <v>1848.5</v>
      </c>
      <c r="N151" s="34" t="s">
        <v>287</v>
      </c>
      <c r="O151" s="33" t="n">
        <f>1757.5</f>
        <v>1757.5</v>
      </c>
      <c r="P151" s="34" t="s">
        <v>61</v>
      </c>
      <c r="Q151" s="33" t="n">
        <f>1793.5</f>
        <v>1793.5</v>
      </c>
      <c r="R151" s="34" t="s">
        <v>50</v>
      </c>
      <c r="S151" s="35" t="n">
        <f>1810</f>
        <v>1810.0</v>
      </c>
      <c r="T151" s="32" t="n">
        <f>207870</f>
        <v>207870.0</v>
      </c>
      <c r="U151" s="32" t="n">
        <f>450</f>
        <v>450.0</v>
      </c>
      <c r="V151" s="32" t="n">
        <f>375320305</f>
        <v>3.75320305E8</v>
      </c>
      <c r="W151" s="32" t="n">
        <f>816075</f>
        <v>816075.0</v>
      </c>
      <c r="X151" s="36" t="n">
        <f>19</f>
        <v>19.0</v>
      </c>
    </row>
    <row r="152">
      <c r="A152" s="27" t="s">
        <v>42</v>
      </c>
      <c r="B152" s="27" t="s">
        <v>503</v>
      </c>
      <c r="C152" s="27" t="s">
        <v>504</v>
      </c>
      <c r="D152" s="27" t="s">
        <v>505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100.0</v>
      </c>
      <c r="K152" s="33" t="n">
        <f>239.8</f>
        <v>239.8</v>
      </c>
      <c r="L152" s="34" t="s">
        <v>48</v>
      </c>
      <c r="M152" s="33" t="n">
        <f>239.8</f>
        <v>239.8</v>
      </c>
      <c r="N152" s="34" t="s">
        <v>48</v>
      </c>
      <c r="O152" s="33" t="n">
        <f>228.3</f>
        <v>228.3</v>
      </c>
      <c r="P152" s="34" t="s">
        <v>218</v>
      </c>
      <c r="Q152" s="33" t="n">
        <f>234.4</f>
        <v>234.4</v>
      </c>
      <c r="R152" s="34" t="s">
        <v>50</v>
      </c>
      <c r="S152" s="35" t="n">
        <f>232.41</f>
        <v>232.41</v>
      </c>
      <c r="T152" s="32" t="n">
        <f>123000</f>
        <v>123000.0</v>
      </c>
      <c r="U152" s="32" t="n">
        <f>400</f>
        <v>400.0</v>
      </c>
      <c r="V152" s="32" t="n">
        <f>28612340</f>
        <v>2.861234E7</v>
      </c>
      <c r="W152" s="32" t="n">
        <f>93080</f>
        <v>93080.0</v>
      </c>
      <c r="X152" s="36" t="n">
        <f>19</f>
        <v>19.0</v>
      </c>
    </row>
    <row r="153">
      <c r="A153" s="27" t="s">
        <v>42</v>
      </c>
      <c r="B153" s="27" t="s">
        <v>506</v>
      </c>
      <c r="C153" s="27" t="s">
        <v>507</v>
      </c>
      <c r="D153" s="27" t="s">
        <v>508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10.0</v>
      </c>
      <c r="K153" s="33" t="n">
        <f>1561.5</f>
        <v>1561.5</v>
      </c>
      <c r="L153" s="34" t="s">
        <v>48</v>
      </c>
      <c r="M153" s="33" t="n">
        <f>1635</f>
        <v>1635.0</v>
      </c>
      <c r="N153" s="34" t="s">
        <v>88</v>
      </c>
      <c r="O153" s="33" t="n">
        <f>1513.5</f>
        <v>1513.5</v>
      </c>
      <c r="P153" s="34" t="s">
        <v>158</v>
      </c>
      <c r="Q153" s="33" t="n">
        <f>1579</f>
        <v>1579.0</v>
      </c>
      <c r="R153" s="34" t="s">
        <v>60</v>
      </c>
      <c r="S153" s="35" t="n">
        <f>1548.56</f>
        <v>1548.56</v>
      </c>
      <c r="T153" s="32" t="n">
        <f>1250</f>
        <v>1250.0</v>
      </c>
      <c r="U153" s="32" t="str">
        <f>"－"</f>
        <v>－</v>
      </c>
      <c r="V153" s="32" t="n">
        <f>1927235</f>
        <v>1927235.0</v>
      </c>
      <c r="W153" s="32" t="str">
        <f>"－"</f>
        <v>－</v>
      </c>
      <c r="X153" s="36" t="n">
        <f>9</f>
        <v>9.0</v>
      </c>
    </row>
    <row r="154">
      <c r="A154" s="27" t="s">
        <v>42</v>
      </c>
      <c r="B154" s="27" t="s">
        <v>509</v>
      </c>
      <c r="C154" s="27" t="s">
        <v>510</v>
      </c>
      <c r="D154" s="27" t="s">
        <v>511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10.0</v>
      </c>
      <c r="K154" s="33" t="n">
        <f>534.2</f>
        <v>534.2</v>
      </c>
      <c r="L154" s="34" t="s">
        <v>48</v>
      </c>
      <c r="M154" s="33" t="n">
        <f>562.1</f>
        <v>562.1</v>
      </c>
      <c r="N154" s="34" t="s">
        <v>364</v>
      </c>
      <c r="O154" s="33" t="n">
        <f>519.7</f>
        <v>519.7</v>
      </c>
      <c r="P154" s="34" t="s">
        <v>88</v>
      </c>
      <c r="Q154" s="33" t="n">
        <f>548.5</f>
        <v>548.5</v>
      </c>
      <c r="R154" s="34" t="s">
        <v>50</v>
      </c>
      <c r="S154" s="35" t="n">
        <f>540.55</f>
        <v>540.55</v>
      </c>
      <c r="T154" s="32" t="n">
        <f>56080</f>
        <v>56080.0</v>
      </c>
      <c r="U154" s="32" t="str">
        <f>"－"</f>
        <v>－</v>
      </c>
      <c r="V154" s="32" t="n">
        <f>30361552</f>
        <v>3.0361552E7</v>
      </c>
      <c r="W154" s="32" t="str">
        <f>"－"</f>
        <v>－</v>
      </c>
      <c r="X154" s="36" t="n">
        <f>19</f>
        <v>19.0</v>
      </c>
    </row>
    <row r="155">
      <c r="A155" s="27" t="s">
        <v>42</v>
      </c>
      <c r="B155" s="27" t="s">
        <v>512</v>
      </c>
      <c r="C155" s="27" t="s">
        <v>513</v>
      </c>
      <c r="D155" s="27" t="s">
        <v>514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10.0</v>
      </c>
      <c r="K155" s="33" t="n">
        <f>1989.5</f>
        <v>1989.5</v>
      </c>
      <c r="L155" s="34" t="s">
        <v>48</v>
      </c>
      <c r="M155" s="33" t="n">
        <f>2097.5</f>
        <v>2097.5</v>
      </c>
      <c r="N155" s="34" t="s">
        <v>50</v>
      </c>
      <c r="O155" s="33" t="n">
        <f>1970</f>
        <v>1970.0</v>
      </c>
      <c r="P155" s="34" t="s">
        <v>158</v>
      </c>
      <c r="Q155" s="33" t="n">
        <f>2097.5</f>
        <v>2097.5</v>
      </c>
      <c r="R155" s="34" t="s">
        <v>50</v>
      </c>
      <c r="S155" s="35" t="n">
        <f>2047.57</f>
        <v>2047.57</v>
      </c>
      <c r="T155" s="32" t="n">
        <f>1960</f>
        <v>1960.0</v>
      </c>
      <c r="U155" s="32" t="str">
        <f>"－"</f>
        <v>－</v>
      </c>
      <c r="V155" s="32" t="n">
        <f>4010590</f>
        <v>4010590.0</v>
      </c>
      <c r="W155" s="32" t="str">
        <f>"－"</f>
        <v>－</v>
      </c>
      <c r="X155" s="36" t="n">
        <f>15</f>
        <v>15.0</v>
      </c>
    </row>
    <row r="156">
      <c r="A156" s="27" t="s">
        <v>42</v>
      </c>
      <c r="B156" s="27" t="s">
        <v>515</v>
      </c>
      <c r="C156" s="27" t="s">
        <v>516</v>
      </c>
      <c r="D156" s="27" t="s">
        <v>517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896.1</f>
        <v>896.1</v>
      </c>
      <c r="L156" s="34" t="s">
        <v>48</v>
      </c>
      <c r="M156" s="33" t="n">
        <f>936.7</f>
        <v>936.7</v>
      </c>
      <c r="N156" s="34" t="s">
        <v>159</v>
      </c>
      <c r="O156" s="33" t="n">
        <f>888.3</f>
        <v>888.3</v>
      </c>
      <c r="P156" s="34" t="s">
        <v>88</v>
      </c>
      <c r="Q156" s="33" t="n">
        <f>921.6</f>
        <v>921.6</v>
      </c>
      <c r="R156" s="34" t="s">
        <v>50</v>
      </c>
      <c r="S156" s="35" t="n">
        <f>911.23</f>
        <v>911.23</v>
      </c>
      <c r="T156" s="32" t="n">
        <f>38500</f>
        <v>38500.0</v>
      </c>
      <c r="U156" s="32" t="str">
        <f>"－"</f>
        <v>－</v>
      </c>
      <c r="V156" s="32" t="n">
        <f>35062808</f>
        <v>3.5062808E7</v>
      </c>
      <c r="W156" s="32" t="str">
        <f>"－"</f>
        <v>－</v>
      </c>
      <c r="X156" s="36" t="n">
        <f>19</f>
        <v>19.0</v>
      </c>
    </row>
    <row r="157">
      <c r="A157" s="27" t="s">
        <v>42</v>
      </c>
      <c r="B157" s="27" t="s">
        <v>518</v>
      </c>
      <c r="C157" s="27" t="s">
        <v>519</v>
      </c>
      <c r="D157" s="27" t="s">
        <v>520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593.7</f>
        <v>593.7</v>
      </c>
      <c r="L157" s="34" t="s">
        <v>48</v>
      </c>
      <c r="M157" s="33" t="n">
        <f>604</f>
        <v>604.0</v>
      </c>
      <c r="N157" s="34" t="s">
        <v>159</v>
      </c>
      <c r="O157" s="33" t="n">
        <f>580</f>
        <v>580.0</v>
      </c>
      <c r="P157" s="34" t="s">
        <v>214</v>
      </c>
      <c r="Q157" s="33" t="n">
        <f>592.5</f>
        <v>592.5</v>
      </c>
      <c r="R157" s="34" t="s">
        <v>50</v>
      </c>
      <c r="S157" s="35" t="n">
        <f>592.18</f>
        <v>592.18</v>
      </c>
      <c r="T157" s="32" t="n">
        <f>131370</f>
        <v>131370.0</v>
      </c>
      <c r="U157" s="32" t="str">
        <f>"－"</f>
        <v>－</v>
      </c>
      <c r="V157" s="32" t="n">
        <f>77615765</f>
        <v>7.7615765E7</v>
      </c>
      <c r="W157" s="32" t="str">
        <f>"－"</f>
        <v>－</v>
      </c>
      <c r="X157" s="36" t="n">
        <f>19</f>
        <v>19.0</v>
      </c>
    </row>
    <row r="158">
      <c r="A158" s="27" t="s">
        <v>42</v>
      </c>
      <c r="B158" s="27" t="s">
        <v>521</v>
      </c>
      <c r="C158" s="27" t="s">
        <v>522</v>
      </c>
      <c r="D158" s="27" t="s">
        <v>523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1.0</v>
      </c>
      <c r="K158" s="33" t="n">
        <f>1636</f>
        <v>1636.0</v>
      </c>
      <c r="L158" s="34" t="s">
        <v>48</v>
      </c>
      <c r="M158" s="33" t="n">
        <f>1813</f>
        <v>1813.0</v>
      </c>
      <c r="N158" s="34" t="s">
        <v>158</v>
      </c>
      <c r="O158" s="33" t="n">
        <f>1414</f>
        <v>1414.0</v>
      </c>
      <c r="P158" s="34" t="s">
        <v>214</v>
      </c>
      <c r="Q158" s="33" t="n">
        <f>1421</f>
        <v>1421.0</v>
      </c>
      <c r="R158" s="34" t="s">
        <v>50</v>
      </c>
      <c r="S158" s="35" t="n">
        <f>1608.95</f>
        <v>1608.95</v>
      </c>
      <c r="T158" s="32" t="n">
        <f>1035885</f>
        <v>1035885.0</v>
      </c>
      <c r="U158" s="32" t="str">
        <f>"－"</f>
        <v>－</v>
      </c>
      <c r="V158" s="32" t="n">
        <f>1643791066</f>
        <v>1.643791066E9</v>
      </c>
      <c r="W158" s="32" t="str">
        <f>"－"</f>
        <v>－</v>
      </c>
      <c r="X158" s="36" t="n">
        <f>19</f>
        <v>19.0</v>
      </c>
    </row>
    <row r="159">
      <c r="A159" s="27" t="s">
        <v>42</v>
      </c>
      <c r="B159" s="27" t="s">
        <v>524</v>
      </c>
      <c r="C159" s="27" t="s">
        <v>525</v>
      </c>
      <c r="D159" s="27" t="s">
        <v>526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10.0</v>
      </c>
      <c r="K159" s="33" t="n">
        <f>1308</f>
        <v>1308.0</v>
      </c>
      <c r="L159" s="34" t="s">
        <v>48</v>
      </c>
      <c r="M159" s="33" t="n">
        <f>1460</f>
        <v>1460.0</v>
      </c>
      <c r="N159" s="34" t="s">
        <v>364</v>
      </c>
      <c r="O159" s="33" t="n">
        <f>1274</f>
        <v>1274.0</v>
      </c>
      <c r="P159" s="34" t="s">
        <v>88</v>
      </c>
      <c r="Q159" s="33" t="n">
        <f>1428.5</f>
        <v>1428.5</v>
      </c>
      <c r="R159" s="34" t="s">
        <v>50</v>
      </c>
      <c r="S159" s="35" t="n">
        <f>1359.45</f>
        <v>1359.45</v>
      </c>
      <c r="T159" s="32" t="n">
        <f>60840</f>
        <v>60840.0</v>
      </c>
      <c r="U159" s="32" t="str">
        <f>"－"</f>
        <v>－</v>
      </c>
      <c r="V159" s="32" t="n">
        <f>82995285</f>
        <v>8.2995285E7</v>
      </c>
      <c r="W159" s="32" t="str">
        <f>"－"</f>
        <v>－</v>
      </c>
      <c r="X159" s="36" t="n">
        <f>19</f>
        <v>19.0</v>
      </c>
    </row>
    <row r="160">
      <c r="A160" s="27" t="s">
        <v>42</v>
      </c>
      <c r="B160" s="27" t="s">
        <v>527</v>
      </c>
      <c r="C160" s="27" t="s">
        <v>528</v>
      </c>
      <c r="D160" s="27" t="s">
        <v>529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7090</f>
        <v>7090.0</v>
      </c>
      <c r="L160" s="34" t="s">
        <v>48</v>
      </c>
      <c r="M160" s="33" t="n">
        <f>8034</f>
        <v>8034.0</v>
      </c>
      <c r="N160" s="34" t="s">
        <v>364</v>
      </c>
      <c r="O160" s="33" t="n">
        <f>6851</f>
        <v>6851.0</v>
      </c>
      <c r="P160" s="34" t="s">
        <v>88</v>
      </c>
      <c r="Q160" s="33" t="n">
        <f>7830</f>
        <v>7830.0</v>
      </c>
      <c r="R160" s="34" t="s">
        <v>50</v>
      </c>
      <c r="S160" s="35" t="n">
        <f>7462.61</f>
        <v>7462.61</v>
      </c>
      <c r="T160" s="32" t="n">
        <f>2704</f>
        <v>2704.0</v>
      </c>
      <c r="U160" s="32" t="str">
        <f>"－"</f>
        <v>－</v>
      </c>
      <c r="V160" s="32" t="n">
        <f>20104743</f>
        <v>2.0104743E7</v>
      </c>
      <c r="W160" s="32" t="str">
        <f>"－"</f>
        <v>－</v>
      </c>
      <c r="X160" s="36" t="n">
        <f>18</f>
        <v>18.0</v>
      </c>
    </row>
    <row r="161">
      <c r="A161" s="27" t="s">
        <v>42</v>
      </c>
      <c r="B161" s="27" t="s">
        <v>530</v>
      </c>
      <c r="C161" s="27" t="s">
        <v>531</v>
      </c>
      <c r="D161" s="27" t="s">
        <v>532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100.0</v>
      </c>
      <c r="K161" s="33" t="n">
        <f>433</f>
        <v>433.0</v>
      </c>
      <c r="L161" s="34" t="s">
        <v>48</v>
      </c>
      <c r="M161" s="33" t="n">
        <f>449.2</f>
        <v>449.2</v>
      </c>
      <c r="N161" s="34" t="s">
        <v>48</v>
      </c>
      <c r="O161" s="33" t="n">
        <f>424</f>
        <v>424.0</v>
      </c>
      <c r="P161" s="34" t="s">
        <v>49</v>
      </c>
      <c r="Q161" s="33" t="n">
        <f>442.4</f>
        <v>442.4</v>
      </c>
      <c r="R161" s="34" t="s">
        <v>50</v>
      </c>
      <c r="S161" s="35" t="n">
        <f>432.1</f>
        <v>432.1</v>
      </c>
      <c r="T161" s="32" t="n">
        <f>79100</f>
        <v>79100.0</v>
      </c>
      <c r="U161" s="32" t="str">
        <f>"－"</f>
        <v>－</v>
      </c>
      <c r="V161" s="32" t="n">
        <f>34550500</f>
        <v>3.45505E7</v>
      </c>
      <c r="W161" s="32" t="str">
        <f>"－"</f>
        <v>－</v>
      </c>
      <c r="X161" s="36" t="n">
        <f>19</f>
        <v>19.0</v>
      </c>
    </row>
    <row r="162">
      <c r="A162" s="27" t="s">
        <v>42</v>
      </c>
      <c r="B162" s="27" t="s">
        <v>533</v>
      </c>
      <c r="C162" s="27" t="s">
        <v>534</v>
      </c>
      <c r="D162" s="27" t="s">
        <v>535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10.0</v>
      </c>
      <c r="K162" s="33" t="n">
        <f>4930</f>
        <v>4930.0</v>
      </c>
      <c r="L162" s="34" t="s">
        <v>48</v>
      </c>
      <c r="M162" s="33" t="n">
        <f>5150</f>
        <v>5150.0</v>
      </c>
      <c r="N162" s="34" t="s">
        <v>50</v>
      </c>
      <c r="O162" s="33" t="n">
        <f>4851</f>
        <v>4851.0</v>
      </c>
      <c r="P162" s="34" t="s">
        <v>158</v>
      </c>
      <c r="Q162" s="33" t="n">
        <f>5126</f>
        <v>5126.0</v>
      </c>
      <c r="R162" s="34" t="s">
        <v>50</v>
      </c>
      <c r="S162" s="35" t="n">
        <f>4980.16</f>
        <v>4980.16</v>
      </c>
      <c r="T162" s="32" t="n">
        <f>24730</f>
        <v>24730.0</v>
      </c>
      <c r="U162" s="32" t="str">
        <f>"－"</f>
        <v>－</v>
      </c>
      <c r="V162" s="32" t="n">
        <f>122724750</f>
        <v>1.2272475E8</v>
      </c>
      <c r="W162" s="32" t="str">
        <f>"－"</f>
        <v>－</v>
      </c>
      <c r="X162" s="36" t="n">
        <f>19</f>
        <v>19.0</v>
      </c>
    </row>
    <row r="163">
      <c r="A163" s="27" t="s">
        <v>42</v>
      </c>
      <c r="B163" s="27" t="s">
        <v>536</v>
      </c>
      <c r="C163" s="27" t="s">
        <v>537</v>
      </c>
      <c r="D163" s="27" t="s">
        <v>538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10.0</v>
      </c>
      <c r="K163" s="33" t="n">
        <f>2105</f>
        <v>2105.0</v>
      </c>
      <c r="L163" s="34" t="s">
        <v>48</v>
      </c>
      <c r="M163" s="33" t="n">
        <f>2276</f>
        <v>2276.0</v>
      </c>
      <c r="N163" s="34" t="s">
        <v>364</v>
      </c>
      <c r="O163" s="33" t="n">
        <f>2103</f>
        <v>2103.0</v>
      </c>
      <c r="P163" s="34" t="s">
        <v>48</v>
      </c>
      <c r="Q163" s="33" t="n">
        <f>2223</f>
        <v>2223.0</v>
      </c>
      <c r="R163" s="34" t="s">
        <v>50</v>
      </c>
      <c r="S163" s="35" t="n">
        <f>2192.11</f>
        <v>2192.11</v>
      </c>
      <c r="T163" s="32" t="n">
        <f>21080</f>
        <v>21080.0</v>
      </c>
      <c r="U163" s="32" t="str">
        <f>"－"</f>
        <v>－</v>
      </c>
      <c r="V163" s="32" t="n">
        <f>46306775</f>
        <v>4.6306775E7</v>
      </c>
      <c r="W163" s="32" t="str">
        <f>"－"</f>
        <v>－</v>
      </c>
      <c r="X163" s="36" t="n">
        <f>19</f>
        <v>19.0</v>
      </c>
    </row>
    <row r="164">
      <c r="A164" s="27" t="s">
        <v>42</v>
      </c>
      <c r="B164" s="27" t="s">
        <v>539</v>
      </c>
      <c r="C164" s="27" t="s">
        <v>540</v>
      </c>
      <c r="D164" s="27" t="s">
        <v>541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3595</f>
        <v>3595.0</v>
      </c>
      <c r="L164" s="34" t="s">
        <v>48</v>
      </c>
      <c r="M164" s="33" t="n">
        <f>3765</f>
        <v>3765.0</v>
      </c>
      <c r="N164" s="34" t="s">
        <v>159</v>
      </c>
      <c r="O164" s="33" t="n">
        <f>3530</f>
        <v>3530.0</v>
      </c>
      <c r="P164" s="34" t="s">
        <v>88</v>
      </c>
      <c r="Q164" s="33" t="n">
        <f>3685</f>
        <v>3685.0</v>
      </c>
      <c r="R164" s="34" t="s">
        <v>50</v>
      </c>
      <c r="S164" s="35" t="n">
        <f>3634.74</f>
        <v>3634.74</v>
      </c>
      <c r="T164" s="32" t="n">
        <f>150741</f>
        <v>150741.0</v>
      </c>
      <c r="U164" s="32" t="str">
        <f>"－"</f>
        <v>－</v>
      </c>
      <c r="V164" s="32" t="n">
        <f>547039495</f>
        <v>5.47039495E8</v>
      </c>
      <c r="W164" s="32" t="str">
        <f>"－"</f>
        <v>－</v>
      </c>
      <c r="X164" s="36" t="n">
        <f>19</f>
        <v>19.0</v>
      </c>
    </row>
    <row r="165">
      <c r="A165" s="27" t="s">
        <v>42</v>
      </c>
      <c r="B165" s="27" t="s">
        <v>542</v>
      </c>
      <c r="C165" s="27" t="s">
        <v>543</v>
      </c>
      <c r="D165" s="27" t="s">
        <v>544</v>
      </c>
      <c r="E165" s="28" t="s">
        <v>46</v>
      </c>
      <c r="F165" s="29" t="s">
        <v>46</v>
      </c>
      <c r="G165" s="30" t="s">
        <v>46</v>
      </c>
      <c r="H165" s="31"/>
      <c r="I165" s="31" t="s">
        <v>47</v>
      </c>
      <c r="J165" s="32" t="n">
        <v>1.0</v>
      </c>
      <c r="K165" s="33" t="n">
        <f>3380</f>
        <v>3380.0</v>
      </c>
      <c r="L165" s="34" t="s">
        <v>48</v>
      </c>
      <c r="M165" s="33" t="n">
        <f>3450</f>
        <v>3450.0</v>
      </c>
      <c r="N165" s="34" t="s">
        <v>208</v>
      </c>
      <c r="O165" s="33" t="n">
        <f>3290</f>
        <v>3290.0</v>
      </c>
      <c r="P165" s="34" t="s">
        <v>214</v>
      </c>
      <c r="Q165" s="33" t="n">
        <f>3375</f>
        <v>3375.0</v>
      </c>
      <c r="R165" s="34" t="s">
        <v>50</v>
      </c>
      <c r="S165" s="35" t="n">
        <f>3369.47</f>
        <v>3369.47</v>
      </c>
      <c r="T165" s="32" t="n">
        <f>22947</f>
        <v>22947.0</v>
      </c>
      <c r="U165" s="32" t="str">
        <f>"－"</f>
        <v>－</v>
      </c>
      <c r="V165" s="32" t="n">
        <f>77243730</f>
        <v>7.724373E7</v>
      </c>
      <c r="W165" s="32" t="str">
        <f>"－"</f>
        <v>－</v>
      </c>
      <c r="X165" s="36" t="n">
        <f>19</f>
        <v>19.0</v>
      </c>
    </row>
    <row r="166">
      <c r="A166" s="27" t="s">
        <v>42</v>
      </c>
      <c r="B166" s="27" t="s">
        <v>545</v>
      </c>
      <c r="C166" s="27" t="s">
        <v>546</v>
      </c>
      <c r="D166" s="27" t="s">
        <v>547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10.0</v>
      </c>
      <c r="K166" s="33" t="n">
        <f>4350</f>
        <v>4350.0</v>
      </c>
      <c r="L166" s="34" t="s">
        <v>48</v>
      </c>
      <c r="M166" s="33" t="n">
        <f>4408</f>
        <v>4408.0</v>
      </c>
      <c r="N166" s="34" t="s">
        <v>159</v>
      </c>
      <c r="O166" s="33" t="n">
        <f>4206</f>
        <v>4206.0</v>
      </c>
      <c r="P166" s="34" t="s">
        <v>214</v>
      </c>
      <c r="Q166" s="33" t="n">
        <f>4285</f>
        <v>4285.0</v>
      </c>
      <c r="R166" s="34" t="s">
        <v>50</v>
      </c>
      <c r="S166" s="35" t="n">
        <f>4327.42</f>
        <v>4327.42</v>
      </c>
      <c r="T166" s="32" t="n">
        <f>9840</f>
        <v>9840.0</v>
      </c>
      <c r="U166" s="32" t="str">
        <f>"－"</f>
        <v>－</v>
      </c>
      <c r="V166" s="32" t="n">
        <f>42491290</f>
        <v>4.249129E7</v>
      </c>
      <c r="W166" s="32" t="str">
        <f>"－"</f>
        <v>－</v>
      </c>
      <c r="X166" s="36" t="n">
        <f>19</f>
        <v>19.0</v>
      </c>
    </row>
    <row r="167">
      <c r="A167" s="27" t="s">
        <v>42</v>
      </c>
      <c r="B167" s="27" t="s">
        <v>548</v>
      </c>
      <c r="C167" s="27" t="s">
        <v>549</v>
      </c>
      <c r="D167" s="27" t="s">
        <v>550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10.0</v>
      </c>
      <c r="K167" s="33" t="n">
        <f>2582.5</f>
        <v>2582.5</v>
      </c>
      <c r="L167" s="34" t="s">
        <v>48</v>
      </c>
      <c r="M167" s="33" t="n">
        <f>2796</f>
        <v>2796.0</v>
      </c>
      <c r="N167" s="34" t="s">
        <v>50</v>
      </c>
      <c r="O167" s="33" t="n">
        <f>2570</f>
        <v>2570.0</v>
      </c>
      <c r="P167" s="34" t="s">
        <v>48</v>
      </c>
      <c r="Q167" s="33" t="n">
        <f>2796</f>
        <v>2796.0</v>
      </c>
      <c r="R167" s="34" t="s">
        <v>50</v>
      </c>
      <c r="S167" s="35" t="n">
        <f>2724.18</f>
        <v>2724.18</v>
      </c>
      <c r="T167" s="32" t="n">
        <f>450720</f>
        <v>450720.0</v>
      </c>
      <c r="U167" s="32" t="n">
        <f>208300</f>
        <v>208300.0</v>
      </c>
      <c r="V167" s="32" t="n">
        <f>1222622616</f>
        <v>1.222622616E9</v>
      </c>
      <c r="W167" s="32" t="n">
        <f>565871816</f>
        <v>5.65871816E8</v>
      </c>
      <c r="X167" s="36" t="n">
        <f>19</f>
        <v>19.0</v>
      </c>
    </row>
    <row r="168">
      <c r="A168" s="27" t="s">
        <v>42</v>
      </c>
      <c r="B168" s="27" t="s">
        <v>551</v>
      </c>
      <c r="C168" s="27" t="s">
        <v>552</v>
      </c>
      <c r="D168" s="27" t="s">
        <v>553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10.0</v>
      </c>
      <c r="K168" s="33" t="n">
        <f>361.6</f>
        <v>361.6</v>
      </c>
      <c r="L168" s="34" t="s">
        <v>48</v>
      </c>
      <c r="M168" s="33" t="n">
        <f>402.3</f>
        <v>402.3</v>
      </c>
      <c r="N168" s="34" t="s">
        <v>364</v>
      </c>
      <c r="O168" s="33" t="n">
        <f>351.5</f>
        <v>351.5</v>
      </c>
      <c r="P168" s="34" t="s">
        <v>88</v>
      </c>
      <c r="Q168" s="33" t="n">
        <f>394.8</f>
        <v>394.8</v>
      </c>
      <c r="R168" s="34" t="s">
        <v>50</v>
      </c>
      <c r="S168" s="35" t="n">
        <f>374.84</f>
        <v>374.84</v>
      </c>
      <c r="T168" s="32" t="n">
        <f>17148920</f>
        <v>1.714892E7</v>
      </c>
      <c r="U168" s="32" t="n">
        <f>6580</f>
        <v>6580.0</v>
      </c>
      <c r="V168" s="32" t="n">
        <f>6426041501</f>
        <v>6.426041501E9</v>
      </c>
      <c r="W168" s="32" t="n">
        <f>2492776</f>
        <v>2492776.0</v>
      </c>
      <c r="X168" s="36" t="n">
        <f>19</f>
        <v>19.0</v>
      </c>
    </row>
    <row r="169">
      <c r="A169" s="27" t="s">
        <v>42</v>
      </c>
      <c r="B169" s="27" t="s">
        <v>554</v>
      </c>
      <c r="C169" s="27" t="s">
        <v>555</v>
      </c>
      <c r="D169" s="27" t="s">
        <v>556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10.0</v>
      </c>
      <c r="K169" s="33" t="n">
        <f>503.4</f>
        <v>503.4</v>
      </c>
      <c r="L169" s="34" t="s">
        <v>48</v>
      </c>
      <c r="M169" s="33" t="n">
        <f>539</f>
        <v>539.0</v>
      </c>
      <c r="N169" s="34" t="s">
        <v>49</v>
      </c>
      <c r="O169" s="33" t="n">
        <f>498.3</f>
        <v>498.3</v>
      </c>
      <c r="P169" s="34" t="s">
        <v>48</v>
      </c>
      <c r="Q169" s="33" t="n">
        <f>533.3</f>
        <v>533.3</v>
      </c>
      <c r="R169" s="34" t="s">
        <v>50</v>
      </c>
      <c r="S169" s="35" t="n">
        <f>523.87</f>
        <v>523.87</v>
      </c>
      <c r="T169" s="32" t="n">
        <f>1181460</f>
        <v>1181460.0</v>
      </c>
      <c r="U169" s="32" t="n">
        <f>85000</f>
        <v>85000.0</v>
      </c>
      <c r="V169" s="32" t="n">
        <f>616190334</f>
        <v>6.16190334E8</v>
      </c>
      <c r="W169" s="32" t="n">
        <f>44150417</f>
        <v>4.4150417E7</v>
      </c>
      <c r="X169" s="36" t="n">
        <f>19</f>
        <v>19.0</v>
      </c>
    </row>
    <row r="170">
      <c r="A170" s="27" t="s">
        <v>42</v>
      </c>
      <c r="B170" s="27" t="s">
        <v>557</v>
      </c>
      <c r="C170" s="27" t="s">
        <v>558</v>
      </c>
      <c r="D170" s="27" t="s">
        <v>559</v>
      </c>
      <c r="E170" s="28" t="s">
        <v>101</v>
      </c>
      <c r="F170" s="29" t="s">
        <v>102</v>
      </c>
      <c r="G170" s="30" t="s">
        <v>560</v>
      </c>
      <c r="H170" s="31"/>
      <c r="I170" s="31" t="s">
        <v>47</v>
      </c>
      <c r="J170" s="32" t="n">
        <v>10.0</v>
      </c>
      <c r="K170" s="33" t="n">
        <f>202.5</f>
        <v>202.5</v>
      </c>
      <c r="L170" s="34" t="s">
        <v>61</v>
      </c>
      <c r="M170" s="33" t="n">
        <f>210.1</f>
        <v>210.1</v>
      </c>
      <c r="N170" s="34" t="s">
        <v>213</v>
      </c>
      <c r="O170" s="33" t="n">
        <f>195.1</f>
        <v>195.1</v>
      </c>
      <c r="P170" s="34" t="s">
        <v>60</v>
      </c>
      <c r="Q170" s="33" t="n">
        <f>200.7</f>
        <v>200.7</v>
      </c>
      <c r="R170" s="34" t="s">
        <v>50</v>
      </c>
      <c r="S170" s="35" t="n">
        <f>200.96</f>
        <v>200.96</v>
      </c>
      <c r="T170" s="32" t="n">
        <f>6484450</f>
        <v>6484450.0</v>
      </c>
      <c r="U170" s="32" t="str">
        <f>"－"</f>
        <v>－</v>
      </c>
      <c r="V170" s="32" t="n">
        <f>1302277355</f>
        <v>1.302277355E9</v>
      </c>
      <c r="W170" s="32" t="str">
        <f>"－"</f>
        <v>－</v>
      </c>
      <c r="X170" s="36" t="n">
        <f>10</f>
        <v>10.0</v>
      </c>
    </row>
    <row r="171">
      <c r="A171" s="27" t="s">
        <v>42</v>
      </c>
      <c r="B171" s="27" t="s">
        <v>561</v>
      </c>
      <c r="C171" s="27" t="s">
        <v>562</v>
      </c>
      <c r="D171" s="27" t="s">
        <v>563</v>
      </c>
      <c r="E171" s="28" t="s">
        <v>101</v>
      </c>
      <c r="F171" s="29" t="s">
        <v>102</v>
      </c>
      <c r="G171" s="30" t="s">
        <v>560</v>
      </c>
      <c r="H171" s="31"/>
      <c r="I171" s="31" t="s">
        <v>47</v>
      </c>
      <c r="J171" s="32" t="n">
        <v>10.0</v>
      </c>
      <c r="K171" s="33" t="n">
        <f>208</f>
        <v>208.0</v>
      </c>
      <c r="L171" s="34" t="s">
        <v>61</v>
      </c>
      <c r="M171" s="33" t="n">
        <f>210</f>
        <v>210.0</v>
      </c>
      <c r="N171" s="34" t="s">
        <v>61</v>
      </c>
      <c r="O171" s="33" t="n">
        <f>200.6</f>
        <v>200.6</v>
      </c>
      <c r="P171" s="34" t="s">
        <v>209</v>
      </c>
      <c r="Q171" s="33" t="n">
        <f>205.9</f>
        <v>205.9</v>
      </c>
      <c r="R171" s="34" t="s">
        <v>50</v>
      </c>
      <c r="S171" s="35" t="n">
        <f>203</f>
        <v>203.0</v>
      </c>
      <c r="T171" s="32" t="n">
        <f>7764210</f>
        <v>7764210.0</v>
      </c>
      <c r="U171" s="32" t="n">
        <f>2260</f>
        <v>2260.0</v>
      </c>
      <c r="V171" s="32" t="n">
        <f>1575477258</f>
        <v>1.575477258E9</v>
      </c>
      <c r="W171" s="32" t="n">
        <f>452444</f>
        <v>452444.0</v>
      </c>
      <c r="X171" s="36" t="n">
        <f>10</f>
        <v>10.0</v>
      </c>
    </row>
    <row r="172">
      <c r="A172" s="27" t="s">
        <v>42</v>
      </c>
      <c r="B172" s="27" t="s">
        <v>564</v>
      </c>
      <c r="C172" s="27" t="s">
        <v>565</v>
      </c>
      <c r="D172" s="27" t="s">
        <v>566</v>
      </c>
      <c r="E172" s="28" t="s">
        <v>101</v>
      </c>
      <c r="F172" s="29" t="s">
        <v>102</v>
      </c>
      <c r="G172" s="30" t="s">
        <v>560</v>
      </c>
      <c r="H172" s="31"/>
      <c r="I172" s="31" t="s">
        <v>47</v>
      </c>
      <c r="J172" s="32" t="n">
        <v>10.0</v>
      </c>
      <c r="K172" s="33" t="n">
        <f>208</f>
        <v>208.0</v>
      </c>
      <c r="L172" s="34" t="s">
        <v>61</v>
      </c>
      <c r="M172" s="33" t="n">
        <f>208.9</f>
        <v>208.9</v>
      </c>
      <c r="N172" s="34" t="s">
        <v>61</v>
      </c>
      <c r="O172" s="33" t="n">
        <f>201.1</f>
        <v>201.1</v>
      </c>
      <c r="P172" s="34" t="s">
        <v>61</v>
      </c>
      <c r="Q172" s="33" t="n">
        <f>207.3</f>
        <v>207.3</v>
      </c>
      <c r="R172" s="34" t="s">
        <v>50</v>
      </c>
      <c r="S172" s="35" t="n">
        <f>204.7</f>
        <v>204.7</v>
      </c>
      <c r="T172" s="32" t="n">
        <f>12351890</f>
        <v>1.235189E7</v>
      </c>
      <c r="U172" s="32" t="n">
        <f>50500</f>
        <v>50500.0</v>
      </c>
      <c r="V172" s="32" t="n">
        <f>2522568459</f>
        <v>2.522568459E9</v>
      </c>
      <c r="W172" s="32" t="n">
        <f>10160160</f>
        <v>1.016016E7</v>
      </c>
      <c r="X172" s="36" t="n">
        <f>10</f>
        <v>10.0</v>
      </c>
    </row>
    <row r="173">
      <c r="A173" s="27" t="s">
        <v>42</v>
      </c>
      <c r="B173" s="27" t="s">
        <v>567</v>
      </c>
      <c r="C173" s="27" t="s">
        <v>568</v>
      </c>
      <c r="D173" s="27" t="s">
        <v>569</v>
      </c>
      <c r="E173" s="28" t="s">
        <v>101</v>
      </c>
      <c r="F173" s="29" t="s">
        <v>102</v>
      </c>
      <c r="G173" s="30" t="s">
        <v>560</v>
      </c>
      <c r="H173" s="31"/>
      <c r="I173" s="31" t="s">
        <v>47</v>
      </c>
      <c r="J173" s="32" t="n">
        <v>1.0</v>
      </c>
      <c r="K173" s="33" t="n">
        <f>2007</f>
        <v>2007.0</v>
      </c>
      <c r="L173" s="34" t="s">
        <v>61</v>
      </c>
      <c r="M173" s="33" t="n">
        <f>2014</f>
        <v>2014.0</v>
      </c>
      <c r="N173" s="34" t="s">
        <v>50</v>
      </c>
      <c r="O173" s="33" t="n">
        <f>1984</f>
        <v>1984.0</v>
      </c>
      <c r="P173" s="34" t="s">
        <v>159</v>
      </c>
      <c r="Q173" s="33" t="n">
        <f>2014</f>
        <v>2014.0</v>
      </c>
      <c r="R173" s="34" t="s">
        <v>50</v>
      </c>
      <c r="S173" s="35" t="n">
        <f>2002.1</f>
        <v>2002.1</v>
      </c>
      <c r="T173" s="32" t="n">
        <f>220922</f>
        <v>220922.0</v>
      </c>
      <c r="U173" s="32" t="str">
        <f>"－"</f>
        <v>－</v>
      </c>
      <c r="V173" s="32" t="n">
        <f>441955595</f>
        <v>4.41955595E8</v>
      </c>
      <c r="W173" s="32" t="str">
        <f>"－"</f>
        <v>－</v>
      </c>
      <c r="X173" s="36" t="n">
        <f>10</f>
        <v>10.0</v>
      </c>
    </row>
    <row r="174">
      <c r="A174" s="27" t="s">
        <v>42</v>
      </c>
      <c r="B174" s="27" t="s">
        <v>570</v>
      </c>
      <c r="C174" s="27" t="s">
        <v>571</v>
      </c>
      <c r="D174" s="27" t="s">
        <v>572</v>
      </c>
      <c r="E174" s="28" t="s">
        <v>101</v>
      </c>
      <c r="F174" s="29" t="s">
        <v>102</v>
      </c>
      <c r="G174" s="30" t="s">
        <v>560</v>
      </c>
      <c r="H174" s="31"/>
      <c r="I174" s="31" t="s">
        <v>47</v>
      </c>
      <c r="J174" s="32" t="n">
        <v>1.0</v>
      </c>
      <c r="K174" s="33" t="n">
        <f>1997</f>
        <v>1997.0</v>
      </c>
      <c r="L174" s="34" t="s">
        <v>61</v>
      </c>
      <c r="M174" s="33" t="n">
        <f>2005</f>
        <v>2005.0</v>
      </c>
      <c r="N174" s="34" t="s">
        <v>50</v>
      </c>
      <c r="O174" s="33" t="n">
        <f>1980</f>
        <v>1980.0</v>
      </c>
      <c r="P174" s="34" t="s">
        <v>159</v>
      </c>
      <c r="Q174" s="33" t="n">
        <f>2003</f>
        <v>2003.0</v>
      </c>
      <c r="R174" s="34" t="s">
        <v>50</v>
      </c>
      <c r="S174" s="35" t="n">
        <f>1993</f>
        <v>1993.0</v>
      </c>
      <c r="T174" s="32" t="n">
        <f>70454</f>
        <v>70454.0</v>
      </c>
      <c r="U174" s="32" t="str">
        <f>"－"</f>
        <v>－</v>
      </c>
      <c r="V174" s="32" t="n">
        <f>140482219</f>
        <v>1.40482219E8</v>
      </c>
      <c r="W174" s="32" t="str">
        <f>"－"</f>
        <v>－</v>
      </c>
      <c r="X174" s="36" t="n">
        <f>10</f>
        <v>10.0</v>
      </c>
    </row>
    <row r="175">
      <c r="A175" s="27" t="s">
        <v>42</v>
      </c>
      <c r="B175" s="27" t="s">
        <v>573</v>
      </c>
      <c r="C175" s="27" t="s">
        <v>574</v>
      </c>
      <c r="D175" s="27" t="s">
        <v>575</v>
      </c>
      <c r="E175" s="28" t="s">
        <v>101</v>
      </c>
      <c r="F175" s="29" t="s">
        <v>102</v>
      </c>
      <c r="G175" s="30" t="s">
        <v>576</v>
      </c>
      <c r="H175" s="31"/>
      <c r="I175" s="31" t="s">
        <v>47</v>
      </c>
      <c r="J175" s="32" t="n">
        <v>1.0</v>
      </c>
      <c r="K175" s="33" t="n">
        <f>1018</f>
        <v>1018.0</v>
      </c>
      <c r="L175" s="34" t="s">
        <v>87</v>
      </c>
      <c r="M175" s="33" t="n">
        <f>1039</f>
        <v>1039.0</v>
      </c>
      <c r="N175" s="34" t="s">
        <v>87</v>
      </c>
      <c r="O175" s="33" t="n">
        <f>991</f>
        <v>991.0</v>
      </c>
      <c r="P175" s="34" t="s">
        <v>60</v>
      </c>
      <c r="Q175" s="33" t="n">
        <f>1012</f>
        <v>1012.0</v>
      </c>
      <c r="R175" s="34" t="s">
        <v>50</v>
      </c>
      <c r="S175" s="35" t="n">
        <f>1004.67</f>
        <v>1004.67</v>
      </c>
      <c r="T175" s="32" t="n">
        <f>5719601</f>
        <v>5719601.0</v>
      </c>
      <c r="U175" s="32" t="n">
        <f>650790</f>
        <v>650790.0</v>
      </c>
      <c r="V175" s="32" t="n">
        <f>5739671532</f>
        <v>5.739671532E9</v>
      </c>
      <c r="W175" s="32" t="n">
        <f>651587464</f>
        <v>6.51587464E8</v>
      </c>
      <c r="X175" s="36" t="n">
        <f>6</f>
        <v>6.0</v>
      </c>
    </row>
    <row r="176">
      <c r="A176" s="27" t="s">
        <v>42</v>
      </c>
      <c r="B176" s="27" t="s">
        <v>577</v>
      </c>
      <c r="C176" s="27" t="s">
        <v>578</v>
      </c>
      <c r="D176" s="27" t="s">
        <v>579</v>
      </c>
      <c r="E176" s="28" t="s">
        <v>101</v>
      </c>
      <c r="F176" s="29" t="s">
        <v>102</v>
      </c>
      <c r="G176" s="30" t="s">
        <v>103</v>
      </c>
      <c r="H176" s="31"/>
      <c r="I176" s="31" t="s">
        <v>47</v>
      </c>
      <c r="J176" s="32" t="n">
        <v>1.0</v>
      </c>
      <c r="K176" s="33" t="n">
        <f>996</f>
        <v>996.0</v>
      </c>
      <c r="L176" s="34" t="s">
        <v>50</v>
      </c>
      <c r="M176" s="33" t="n">
        <f>1030</f>
        <v>1030.0</v>
      </c>
      <c r="N176" s="34" t="s">
        <v>50</v>
      </c>
      <c r="O176" s="33" t="n">
        <f>994</f>
        <v>994.0</v>
      </c>
      <c r="P176" s="34" t="s">
        <v>50</v>
      </c>
      <c r="Q176" s="33" t="n">
        <f>1000</f>
        <v>1000.0</v>
      </c>
      <c r="R176" s="34" t="s">
        <v>50</v>
      </c>
      <c r="S176" s="35" t="n">
        <f>1000</f>
        <v>1000.0</v>
      </c>
      <c r="T176" s="32" t="n">
        <f>11188</f>
        <v>11188.0</v>
      </c>
      <c r="U176" s="32" t="n">
        <f>1</f>
        <v>1.0</v>
      </c>
      <c r="V176" s="32" t="n">
        <f>11169640</f>
        <v>1.116964E7</v>
      </c>
      <c r="W176" s="32" t="n">
        <f>999</f>
        <v>999.0</v>
      </c>
      <c r="X176" s="36" t="n">
        <f>1</f>
        <v>1.0</v>
      </c>
    </row>
    <row r="177">
      <c r="A177" s="27" t="s">
        <v>42</v>
      </c>
      <c r="B177" s="27" t="s">
        <v>580</v>
      </c>
      <c r="C177" s="27" t="s">
        <v>581</v>
      </c>
      <c r="D177" s="27" t="s">
        <v>582</v>
      </c>
      <c r="E177" s="28" t="s">
        <v>101</v>
      </c>
      <c r="F177" s="29" t="s">
        <v>102</v>
      </c>
      <c r="G177" s="30" t="s">
        <v>103</v>
      </c>
      <c r="H177" s="31"/>
      <c r="I177" s="31" t="s">
        <v>47</v>
      </c>
      <c r="J177" s="32" t="n">
        <v>1.0</v>
      </c>
      <c r="K177" s="33" t="n">
        <f>1004</f>
        <v>1004.0</v>
      </c>
      <c r="L177" s="34" t="s">
        <v>50</v>
      </c>
      <c r="M177" s="33" t="n">
        <f>1023</f>
        <v>1023.0</v>
      </c>
      <c r="N177" s="34" t="s">
        <v>50</v>
      </c>
      <c r="O177" s="33" t="n">
        <f>1000</f>
        <v>1000.0</v>
      </c>
      <c r="P177" s="34" t="s">
        <v>50</v>
      </c>
      <c r="Q177" s="33" t="n">
        <f>1006</f>
        <v>1006.0</v>
      </c>
      <c r="R177" s="34" t="s">
        <v>50</v>
      </c>
      <c r="S177" s="35" t="n">
        <f>1006</f>
        <v>1006.0</v>
      </c>
      <c r="T177" s="32" t="n">
        <f>90982</f>
        <v>90982.0</v>
      </c>
      <c r="U177" s="32" t="str">
        <f>"－"</f>
        <v>－</v>
      </c>
      <c r="V177" s="32" t="n">
        <f>91284401</f>
        <v>9.1284401E7</v>
      </c>
      <c r="W177" s="32" t="str">
        <f>"－"</f>
        <v>－</v>
      </c>
      <c r="X177" s="36" t="n">
        <f>1</f>
        <v>1.0</v>
      </c>
    </row>
    <row r="178">
      <c r="A178" s="27" t="s">
        <v>42</v>
      </c>
      <c r="B178" s="27" t="s">
        <v>583</v>
      </c>
      <c r="C178" s="27" t="s">
        <v>584</v>
      </c>
      <c r="D178" s="27" t="s">
        <v>585</v>
      </c>
      <c r="E178" s="28" t="s">
        <v>46</v>
      </c>
      <c r="F178" s="29" t="s">
        <v>46</v>
      </c>
      <c r="G178" s="30" t="s">
        <v>46</v>
      </c>
      <c r="H178" s="31"/>
      <c r="I178" s="31" t="s">
        <v>586</v>
      </c>
      <c r="J178" s="32" t="n">
        <v>1.0</v>
      </c>
      <c r="K178" s="33" t="n">
        <f>3995</f>
        <v>3995.0</v>
      </c>
      <c r="L178" s="34" t="s">
        <v>48</v>
      </c>
      <c r="M178" s="33" t="n">
        <f>4070</f>
        <v>4070.0</v>
      </c>
      <c r="N178" s="34" t="s">
        <v>208</v>
      </c>
      <c r="O178" s="33" t="n">
        <f>3360</f>
        <v>3360.0</v>
      </c>
      <c r="P178" s="34" t="s">
        <v>213</v>
      </c>
      <c r="Q178" s="33" t="n">
        <f>3550</f>
        <v>3550.0</v>
      </c>
      <c r="R178" s="34" t="s">
        <v>50</v>
      </c>
      <c r="S178" s="35" t="n">
        <f>3761.05</f>
        <v>3761.05</v>
      </c>
      <c r="T178" s="32" t="n">
        <f>264986</f>
        <v>264986.0</v>
      </c>
      <c r="U178" s="32" t="str">
        <f>"－"</f>
        <v>－</v>
      </c>
      <c r="V178" s="32" t="n">
        <f>981292590</f>
        <v>9.8129259E8</v>
      </c>
      <c r="W178" s="32" t="str">
        <f>"－"</f>
        <v>－</v>
      </c>
      <c r="X178" s="36" t="n">
        <f>19</f>
        <v>19.0</v>
      </c>
    </row>
    <row r="179">
      <c r="A179" s="27" t="s">
        <v>42</v>
      </c>
      <c r="B179" s="27" t="s">
        <v>587</v>
      </c>
      <c r="C179" s="27" t="s">
        <v>588</v>
      </c>
      <c r="D179" s="27" t="s">
        <v>589</v>
      </c>
      <c r="E179" s="28" t="s">
        <v>46</v>
      </c>
      <c r="F179" s="29" t="s">
        <v>46</v>
      </c>
      <c r="G179" s="30" t="s">
        <v>46</v>
      </c>
      <c r="H179" s="31"/>
      <c r="I179" s="31" t="s">
        <v>586</v>
      </c>
      <c r="J179" s="32" t="n">
        <v>1.0</v>
      </c>
      <c r="K179" s="33" t="n">
        <f>9301</f>
        <v>9301.0</v>
      </c>
      <c r="L179" s="34" t="s">
        <v>48</v>
      </c>
      <c r="M179" s="33" t="n">
        <f>10925</f>
        <v>10925.0</v>
      </c>
      <c r="N179" s="34" t="s">
        <v>213</v>
      </c>
      <c r="O179" s="33" t="n">
        <f>9279</f>
        <v>9279.0</v>
      </c>
      <c r="P179" s="34" t="s">
        <v>48</v>
      </c>
      <c r="Q179" s="33" t="n">
        <f>10455</f>
        <v>10455.0</v>
      </c>
      <c r="R179" s="34" t="s">
        <v>50</v>
      </c>
      <c r="S179" s="35" t="n">
        <f>10117</f>
        <v>10117.0</v>
      </c>
      <c r="T179" s="32" t="n">
        <f>22127</f>
        <v>22127.0</v>
      </c>
      <c r="U179" s="32" t="str">
        <f>"－"</f>
        <v>－</v>
      </c>
      <c r="V179" s="32" t="n">
        <f>226513625</f>
        <v>2.26513625E8</v>
      </c>
      <c r="W179" s="32" t="str">
        <f>"－"</f>
        <v>－</v>
      </c>
      <c r="X179" s="36" t="n">
        <f>19</f>
        <v>19.0</v>
      </c>
    </row>
    <row r="180">
      <c r="A180" s="27" t="s">
        <v>42</v>
      </c>
      <c r="B180" s="27" t="s">
        <v>590</v>
      </c>
      <c r="C180" s="27" t="s">
        <v>591</v>
      </c>
      <c r="D180" s="27" t="s">
        <v>592</v>
      </c>
      <c r="E180" s="28" t="s">
        <v>46</v>
      </c>
      <c r="F180" s="29" t="s">
        <v>46</v>
      </c>
      <c r="G180" s="30" t="s">
        <v>46</v>
      </c>
      <c r="H180" s="31"/>
      <c r="I180" s="31" t="s">
        <v>586</v>
      </c>
      <c r="J180" s="32" t="n">
        <v>1.0</v>
      </c>
      <c r="K180" s="33" t="n">
        <f>12945</f>
        <v>12945.0</v>
      </c>
      <c r="L180" s="34" t="s">
        <v>48</v>
      </c>
      <c r="M180" s="33" t="n">
        <f>12945</f>
        <v>12945.0</v>
      </c>
      <c r="N180" s="34" t="s">
        <v>48</v>
      </c>
      <c r="O180" s="33" t="n">
        <f>11270</f>
        <v>11270.0</v>
      </c>
      <c r="P180" s="34" t="s">
        <v>245</v>
      </c>
      <c r="Q180" s="33" t="n">
        <f>11860</f>
        <v>11860.0</v>
      </c>
      <c r="R180" s="34" t="s">
        <v>50</v>
      </c>
      <c r="S180" s="35" t="n">
        <f>12013.06</f>
        <v>12013.06</v>
      </c>
      <c r="T180" s="32" t="n">
        <f>1162</f>
        <v>1162.0</v>
      </c>
      <c r="U180" s="32" t="str">
        <f>"－"</f>
        <v>－</v>
      </c>
      <c r="V180" s="32" t="n">
        <f>13725245</f>
        <v>1.3725245E7</v>
      </c>
      <c r="W180" s="32" t="str">
        <f>"－"</f>
        <v>－</v>
      </c>
      <c r="X180" s="36" t="n">
        <f>18</f>
        <v>18.0</v>
      </c>
    </row>
    <row r="181">
      <c r="A181" s="27" t="s">
        <v>42</v>
      </c>
      <c r="B181" s="27" t="s">
        <v>593</v>
      </c>
      <c r="C181" s="27" t="s">
        <v>594</v>
      </c>
      <c r="D181" s="27" t="s">
        <v>595</v>
      </c>
      <c r="E181" s="28" t="s">
        <v>46</v>
      </c>
      <c r="F181" s="29" t="s">
        <v>46</v>
      </c>
      <c r="G181" s="30" t="s">
        <v>46</v>
      </c>
      <c r="H181" s="31"/>
      <c r="I181" s="31" t="s">
        <v>586</v>
      </c>
      <c r="J181" s="32" t="n">
        <v>1.0</v>
      </c>
      <c r="K181" s="33" t="n">
        <f>7575</f>
        <v>7575.0</v>
      </c>
      <c r="L181" s="34" t="s">
        <v>48</v>
      </c>
      <c r="M181" s="33" t="n">
        <f>8377</f>
        <v>8377.0</v>
      </c>
      <c r="N181" s="34" t="s">
        <v>61</v>
      </c>
      <c r="O181" s="33" t="n">
        <f>7575</f>
        <v>7575.0</v>
      </c>
      <c r="P181" s="34" t="s">
        <v>48</v>
      </c>
      <c r="Q181" s="33" t="n">
        <f>8125</f>
        <v>8125.0</v>
      </c>
      <c r="R181" s="34" t="s">
        <v>50</v>
      </c>
      <c r="S181" s="35" t="n">
        <f>8083.16</f>
        <v>8083.16</v>
      </c>
      <c r="T181" s="32" t="n">
        <f>8588</f>
        <v>8588.0</v>
      </c>
      <c r="U181" s="32" t="str">
        <f>"－"</f>
        <v>－</v>
      </c>
      <c r="V181" s="32" t="n">
        <f>68733083</f>
        <v>6.8733083E7</v>
      </c>
      <c r="W181" s="32" t="str">
        <f>"－"</f>
        <v>－</v>
      </c>
      <c r="X181" s="36" t="n">
        <f>19</f>
        <v>19.0</v>
      </c>
    </row>
    <row r="182">
      <c r="A182" s="27" t="s">
        <v>42</v>
      </c>
      <c r="B182" s="27" t="s">
        <v>596</v>
      </c>
      <c r="C182" s="27" t="s">
        <v>597</v>
      </c>
      <c r="D182" s="27" t="s">
        <v>598</v>
      </c>
      <c r="E182" s="28" t="s">
        <v>46</v>
      </c>
      <c r="F182" s="29" t="s">
        <v>46</v>
      </c>
      <c r="G182" s="30" t="s">
        <v>46</v>
      </c>
      <c r="H182" s="31"/>
      <c r="I182" s="31" t="s">
        <v>586</v>
      </c>
      <c r="J182" s="32" t="n">
        <v>1.0</v>
      </c>
      <c r="K182" s="33" t="n">
        <f>37030</f>
        <v>37030.0</v>
      </c>
      <c r="L182" s="34" t="s">
        <v>48</v>
      </c>
      <c r="M182" s="33" t="n">
        <f>38880</f>
        <v>38880.0</v>
      </c>
      <c r="N182" s="34" t="s">
        <v>87</v>
      </c>
      <c r="O182" s="33" t="n">
        <f>36770</f>
        <v>36770.0</v>
      </c>
      <c r="P182" s="34" t="s">
        <v>48</v>
      </c>
      <c r="Q182" s="33" t="n">
        <f>38520</f>
        <v>38520.0</v>
      </c>
      <c r="R182" s="34" t="s">
        <v>50</v>
      </c>
      <c r="S182" s="35" t="n">
        <f>37954.21</f>
        <v>37954.21</v>
      </c>
      <c r="T182" s="32" t="n">
        <f>32463</f>
        <v>32463.0</v>
      </c>
      <c r="U182" s="32" t="n">
        <f>111</f>
        <v>111.0</v>
      </c>
      <c r="V182" s="32" t="n">
        <f>1232379620</f>
        <v>1.23237962E9</v>
      </c>
      <c r="W182" s="32" t="n">
        <f>4250760</f>
        <v>4250760.0</v>
      </c>
      <c r="X182" s="36" t="n">
        <f>19</f>
        <v>19.0</v>
      </c>
    </row>
    <row r="183">
      <c r="A183" s="27" t="s">
        <v>42</v>
      </c>
      <c r="B183" s="27" t="s">
        <v>599</v>
      </c>
      <c r="C183" s="27" t="s">
        <v>600</v>
      </c>
      <c r="D183" s="27" t="s">
        <v>601</v>
      </c>
      <c r="E183" s="28" t="s">
        <v>46</v>
      </c>
      <c r="F183" s="29" t="s">
        <v>46</v>
      </c>
      <c r="G183" s="30" t="s">
        <v>46</v>
      </c>
      <c r="H183" s="31"/>
      <c r="I183" s="31" t="s">
        <v>586</v>
      </c>
      <c r="J183" s="32" t="n">
        <v>1.0</v>
      </c>
      <c r="K183" s="33" t="n">
        <f>3570</f>
        <v>3570.0</v>
      </c>
      <c r="L183" s="34" t="s">
        <v>48</v>
      </c>
      <c r="M183" s="33" t="n">
        <f>3585</f>
        <v>3585.0</v>
      </c>
      <c r="N183" s="34" t="s">
        <v>88</v>
      </c>
      <c r="O183" s="33" t="n">
        <f>3425</f>
        <v>3425.0</v>
      </c>
      <c r="P183" s="34" t="s">
        <v>50</v>
      </c>
      <c r="Q183" s="33" t="n">
        <f>3430</f>
        <v>3430.0</v>
      </c>
      <c r="R183" s="34" t="s">
        <v>50</v>
      </c>
      <c r="S183" s="35" t="n">
        <f>3480</f>
        <v>3480.0</v>
      </c>
      <c r="T183" s="32" t="n">
        <f>3958</f>
        <v>3958.0</v>
      </c>
      <c r="U183" s="32" t="str">
        <f>"－"</f>
        <v>－</v>
      </c>
      <c r="V183" s="32" t="n">
        <f>13745795</f>
        <v>1.3745795E7</v>
      </c>
      <c r="W183" s="32" t="str">
        <f>"－"</f>
        <v>－</v>
      </c>
      <c r="X183" s="36" t="n">
        <f>19</f>
        <v>19.0</v>
      </c>
    </row>
    <row r="184">
      <c r="A184" s="27" t="s">
        <v>42</v>
      </c>
      <c r="B184" s="27" t="s">
        <v>602</v>
      </c>
      <c r="C184" s="27" t="s">
        <v>603</v>
      </c>
      <c r="D184" s="27" t="s">
        <v>604</v>
      </c>
      <c r="E184" s="28" t="s">
        <v>46</v>
      </c>
      <c r="F184" s="29" t="s">
        <v>46</v>
      </c>
      <c r="G184" s="30" t="s">
        <v>46</v>
      </c>
      <c r="H184" s="31"/>
      <c r="I184" s="31" t="s">
        <v>586</v>
      </c>
      <c r="J184" s="32" t="n">
        <v>1.0</v>
      </c>
      <c r="K184" s="33" t="n">
        <f>1630</f>
        <v>1630.0</v>
      </c>
      <c r="L184" s="34" t="s">
        <v>48</v>
      </c>
      <c r="M184" s="33" t="n">
        <f>1949</f>
        <v>1949.0</v>
      </c>
      <c r="N184" s="34" t="s">
        <v>364</v>
      </c>
      <c r="O184" s="33" t="n">
        <f>1550</f>
        <v>1550.0</v>
      </c>
      <c r="P184" s="34" t="s">
        <v>88</v>
      </c>
      <c r="Q184" s="33" t="n">
        <f>1882</f>
        <v>1882.0</v>
      </c>
      <c r="R184" s="34" t="s">
        <v>50</v>
      </c>
      <c r="S184" s="35" t="n">
        <f>1725.21</f>
        <v>1725.21</v>
      </c>
      <c r="T184" s="32" t="n">
        <f>12370224</f>
        <v>1.2370224E7</v>
      </c>
      <c r="U184" s="32" t="n">
        <f>401017</f>
        <v>401017.0</v>
      </c>
      <c r="V184" s="32" t="n">
        <f>21318954435</f>
        <v>2.1318954435E10</v>
      </c>
      <c r="W184" s="32" t="n">
        <f>801635174</f>
        <v>8.01635174E8</v>
      </c>
      <c r="X184" s="36" t="n">
        <f>19</f>
        <v>19.0</v>
      </c>
    </row>
    <row r="185">
      <c r="A185" s="27" t="s">
        <v>42</v>
      </c>
      <c r="B185" s="27" t="s">
        <v>605</v>
      </c>
      <c r="C185" s="27" t="s">
        <v>606</v>
      </c>
      <c r="D185" s="27" t="s">
        <v>607</v>
      </c>
      <c r="E185" s="28" t="s">
        <v>46</v>
      </c>
      <c r="F185" s="29" t="s">
        <v>46</v>
      </c>
      <c r="G185" s="30" t="s">
        <v>46</v>
      </c>
      <c r="H185" s="31"/>
      <c r="I185" s="31" t="s">
        <v>586</v>
      </c>
      <c r="J185" s="32" t="n">
        <v>1.0</v>
      </c>
      <c r="K185" s="33" t="n">
        <f>1128</f>
        <v>1128.0</v>
      </c>
      <c r="L185" s="34" t="s">
        <v>48</v>
      </c>
      <c r="M185" s="33" t="n">
        <f>1158</f>
        <v>1158.0</v>
      </c>
      <c r="N185" s="34" t="s">
        <v>88</v>
      </c>
      <c r="O185" s="33" t="n">
        <f>1030</f>
        <v>1030.0</v>
      </c>
      <c r="P185" s="34" t="s">
        <v>364</v>
      </c>
      <c r="Q185" s="33" t="n">
        <f>1045</f>
        <v>1045.0</v>
      </c>
      <c r="R185" s="34" t="s">
        <v>50</v>
      </c>
      <c r="S185" s="35" t="n">
        <f>1096.21</f>
        <v>1096.21</v>
      </c>
      <c r="T185" s="32" t="n">
        <f>1065585</f>
        <v>1065585.0</v>
      </c>
      <c r="U185" s="32" t="n">
        <f>946</f>
        <v>946.0</v>
      </c>
      <c r="V185" s="32" t="n">
        <f>1168914162</f>
        <v>1.168914162E9</v>
      </c>
      <c r="W185" s="32" t="n">
        <f>998978</f>
        <v>998978.0</v>
      </c>
      <c r="X185" s="36" t="n">
        <f>19</f>
        <v>19.0</v>
      </c>
    </row>
    <row r="186">
      <c r="A186" s="27" t="s">
        <v>42</v>
      </c>
      <c r="B186" s="27" t="s">
        <v>608</v>
      </c>
      <c r="C186" s="27" t="s">
        <v>609</v>
      </c>
      <c r="D186" s="27" t="s">
        <v>610</v>
      </c>
      <c r="E186" s="28" t="s">
        <v>46</v>
      </c>
      <c r="F186" s="29" t="s">
        <v>46</v>
      </c>
      <c r="G186" s="30" t="s">
        <v>46</v>
      </c>
      <c r="H186" s="31"/>
      <c r="I186" s="31" t="s">
        <v>586</v>
      </c>
      <c r="J186" s="32" t="n">
        <v>1.0</v>
      </c>
      <c r="K186" s="33" t="n">
        <f>27230</f>
        <v>27230.0</v>
      </c>
      <c r="L186" s="34" t="s">
        <v>48</v>
      </c>
      <c r="M186" s="33" t="n">
        <f>28550</f>
        <v>28550.0</v>
      </c>
      <c r="N186" s="34" t="s">
        <v>50</v>
      </c>
      <c r="O186" s="33" t="n">
        <f>26740</f>
        <v>26740.0</v>
      </c>
      <c r="P186" s="34" t="s">
        <v>61</v>
      </c>
      <c r="Q186" s="33" t="n">
        <f>28520</f>
        <v>28520.0</v>
      </c>
      <c r="R186" s="34" t="s">
        <v>50</v>
      </c>
      <c r="S186" s="35" t="n">
        <f>27521.32</f>
        <v>27521.32</v>
      </c>
      <c r="T186" s="32" t="n">
        <f>39532</f>
        <v>39532.0</v>
      </c>
      <c r="U186" s="32" t="n">
        <f>25</f>
        <v>25.0</v>
      </c>
      <c r="V186" s="32" t="n">
        <f>1087999995</f>
        <v>1.087999995E9</v>
      </c>
      <c r="W186" s="32" t="n">
        <f>682675</f>
        <v>682675.0</v>
      </c>
      <c r="X186" s="36" t="n">
        <f>19</f>
        <v>19.0</v>
      </c>
    </row>
    <row r="187">
      <c r="A187" s="27" t="s">
        <v>42</v>
      </c>
      <c r="B187" s="27" t="s">
        <v>611</v>
      </c>
      <c r="C187" s="27" t="s">
        <v>612</v>
      </c>
      <c r="D187" s="27" t="s">
        <v>613</v>
      </c>
      <c r="E187" s="28" t="s">
        <v>46</v>
      </c>
      <c r="F187" s="29" t="s">
        <v>46</v>
      </c>
      <c r="G187" s="30" t="s">
        <v>46</v>
      </c>
      <c r="H187" s="31"/>
      <c r="I187" s="31" t="s">
        <v>586</v>
      </c>
      <c r="J187" s="32" t="n">
        <v>1.0</v>
      </c>
      <c r="K187" s="33" t="n">
        <f>2681</f>
        <v>2681.0</v>
      </c>
      <c r="L187" s="34" t="s">
        <v>48</v>
      </c>
      <c r="M187" s="33" t="n">
        <f>2686</f>
        <v>2686.0</v>
      </c>
      <c r="N187" s="34" t="s">
        <v>61</v>
      </c>
      <c r="O187" s="33" t="n">
        <f>2601</f>
        <v>2601.0</v>
      </c>
      <c r="P187" s="34" t="s">
        <v>50</v>
      </c>
      <c r="Q187" s="33" t="n">
        <f>2603</f>
        <v>2603.0</v>
      </c>
      <c r="R187" s="34" t="s">
        <v>50</v>
      </c>
      <c r="S187" s="35" t="n">
        <f>2646.89</f>
        <v>2646.89</v>
      </c>
      <c r="T187" s="32" t="n">
        <f>276675</f>
        <v>276675.0</v>
      </c>
      <c r="U187" s="32" t="n">
        <f>55</f>
        <v>55.0</v>
      </c>
      <c r="V187" s="32" t="n">
        <f>732959598</f>
        <v>7.32959598E8</v>
      </c>
      <c r="W187" s="32" t="n">
        <f>144155</f>
        <v>144155.0</v>
      </c>
      <c r="X187" s="36" t="n">
        <f>19</f>
        <v>19.0</v>
      </c>
    </row>
    <row r="188">
      <c r="A188" s="27" t="s">
        <v>42</v>
      </c>
      <c r="B188" s="27" t="s">
        <v>614</v>
      </c>
      <c r="C188" s="27" t="s">
        <v>615</v>
      </c>
      <c r="D188" s="27" t="s">
        <v>616</v>
      </c>
      <c r="E188" s="28" t="s">
        <v>46</v>
      </c>
      <c r="F188" s="29" t="s">
        <v>46</v>
      </c>
      <c r="G188" s="30" t="s">
        <v>46</v>
      </c>
      <c r="H188" s="31"/>
      <c r="I188" s="31" t="s">
        <v>586</v>
      </c>
      <c r="J188" s="32" t="n">
        <v>1.0</v>
      </c>
      <c r="K188" s="33" t="n">
        <f>7448</f>
        <v>7448.0</v>
      </c>
      <c r="L188" s="34" t="s">
        <v>48</v>
      </c>
      <c r="M188" s="33" t="n">
        <f>7705</f>
        <v>7705.0</v>
      </c>
      <c r="N188" s="34" t="s">
        <v>214</v>
      </c>
      <c r="O188" s="33" t="n">
        <f>7238</f>
        <v>7238.0</v>
      </c>
      <c r="P188" s="34" t="s">
        <v>61</v>
      </c>
      <c r="Q188" s="33" t="n">
        <f>7550</f>
        <v>7550.0</v>
      </c>
      <c r="R188" s="34" t="s">
        <v>50</v>
      </c>
      <c r="S188" s="35" t="n">
        <f>7483.95</f>
        <v>7483.95</v>
      </c>
      <c r="T188" s="32" t="n">
        <f>106542</f>
        <v>106542.0</v>
      </c>
      <c r="U188" s="32" t="n">
        <f>7509</f>
        <v>7509.0</v>
      </c>
      <c r="V188" s="32" t="n">
        <f>800440586</f>
        <v>8.00440586E8</v>
      </c>
      <c r="W188" s="32" t="n">
        <f>55868008</f>
        <v>5.5868008E7</v>
      </c>
      <c r="X188" s="36" t="n">
        <f>19</f>
        <v>19.0</v>
      </c>
    </row>
    <row r="189">
      <c r="A189" s="27" t="s">
        <v>42</v>
      </c>
      <c r="B189" s="27" t="s">
        <v>617</v>
      </c>
      <c r="C189" s="27" t="s">
        <v>618</v>
      </c>
      <c r="D189" s="27" t="s">
        <v>619</v>
      </c>
      <c r="E189" s="28" t="s">
        <v>46</v>
      </c>
      <c r="F189" s="29" t="s">
        <v>46</v>
      </c>
      <c r="G189" s="30" t="s">
        <v>46</v>
      </c>
      <c r="H189" s="31"/>
      <c r="I189" s="31" t="s">
        <v>586</v>
      </c>
      <c r="J189" s="32" t="n">
        <v>1.0</v>
      </c>
      <c r="K189" s="33" t="n">
        <f>17430</f>
        <v>17430.0</v>
      </c>
      <c r="L189" s="34" t="s">
        <v>48</v>
      </c>
      <c r="M189" s="33" t="n">
        <f>17810</f>
        <v>17810.0</v>
      </c>
      <c r="N189" s="34" t="s">
        <v>213</v>
      </c>
      <c r="O189" s="33" t="n">
        <f>17060</f>
        <v>17060.0</v>
      </c>
      <c r="P189" s="34" t="s">
        <v>48</v>
      </c>
      <c r="Q189" s="33" t="n">
        <f>17330</f>
        <v>17330.0</v>
      </c>
      <c r="R189" s="34" t="s">
        <v>50</v>
      </c>
      <c r="S189" s="35" t="n">
        <f>17371.47</f>
        <v>17371.47</v>
      </c>
      <c r="T189" s="32" t="n">
        <f>475</f>
        <v>475.0</v>
      </c>
      <c r="U189" s="32" t="n">
        <f>3</f>
        <v>3.0</v>
      </c>
      <c r="V189" s="32" t="n">
        <f>8232635</f>
        <v>8232635.0</v>
      </c>
      <c r="W189" s="32" t="n">
        <f>51330</f>
        <v>51330.0</v>
      </c>
      <c r="X189" s="36" t="n">
        <f>17</f>
        <v>17.0</v>
      </c>
    </row>
    <row r="190">
      <c r="A190" s="27" t="s">
        <v>42</v>
      </c>
      <c r="B190" s="27" t="s">
        <v>620</v>
      </c>
      <c r="C190" s="27" t="s">
        <v>621</v>
      </c>
      <c r="D190" s="27" t="s">
        <v>622</v>
      </c>
      <c r="E190" s="28" t="s">
        <v>46</v>
      </c>
      <c r="F190" s="29" t="s">
        <v>46</v>
      </c>
      <c r="G190" s="30" t="s">
        <v>46</v>
      </c>
      <c r="H190" s="31"/>
      <c r="I190" s="31" t="s">
        <v>586</v>
      </c>
      <c r="J190" s="32" t="n">
        <v>1.0</v>
      </c>
      <c r="K190" s="33" t="n">
        <f>25900</f>
        <v>25900.0</v>
      </c>
      <c r="L190" s="34" t="s">
        <v>48</v>
      </c>
      <c r="M190" s="33" t="n">
        <f>26900</f>
        <v>26900.0</v>
      </c>
      <c r="N190" s="34" t="s">
        <v>50</v>
      </c>
      <c r="O190" s="33" t="n">
        <f>25680</f>
        <v>25680.0</v>
      </c>
      <c r="P190" s="34" t="s">
        <v>48</v>
      </c>
      <c r="Q190" s="33" t="n">
        <f>26900</f>
        <v>26900.0</v>
      </c>
      <c r="R190" s="34" t="s">
        <v>50</v>
      </c>
      <c r="S190" s="35" t="n">
        <f>26294.74</f>
        <v>26294.74</v>
      </c>
      <c r="T190" s="32" t="n">
        <f>13676</f>
        <v>13676.0</v>
      </c>
      <c r="U190" s="32" t="str">
        <f>"－"</f>
        <v>－</v>
      </c>
      <c r="V190" s="32" t="n">
        <f>359617505</f>
        <v>3.59617505E8</v>
      </c>
      <c r="W190" s="32" t="str">
        <f>"－"</f>
        <v>－</v>
      </c>
      <c r="X190" s="36" t="n">
        <f>19</f>
        <v>19.0</v>
      </c>
    </row>
    <row r="191">
      <c r="A191" s="27" t="s">
        <v>42</v>
      </c>
      <c r="B191" s="27" t="s">
        <v>623</v>
      </c>
      <c r="C191" s="27" t="s">
        <v>624</v>
      </c>
      <c r="D191" s="27" t="s">
        <v>625</v>
      </c>
      <c r="E191" s="28" t="s">
        <v>46</v>
      </c>
      <c r="F191" s="29" t="s">
        <v>46</v>
      </c>
      <c r="G191" s="30" t="s">
        <v>46</v>
      </c>
      <c r="H191" s="31"/>
      <c r="I191" s="31" t="s">
        <v>586</v>
      </c>
      <c r="J191" s="32" t="n">
        <v>1.0</v>
      </c>
      <c r="K191" s="33" t="n">
        <f>16200</f>
        <v>16200.0</v>
      </c>
      <c r="L191" s="34" t="s">
        <v>48</v>
      </c>
      <c r="M191" s="33" t="n">
        <f>16915</f>
        <v>16915.0</v>
      </c>
      <c r="N191" s="34" t="s">
        <v>245</v>
      </c>
      <c r="O191" s="33" t="n">
        <f>15865</f>
        <v>15865.0</v>
      </c>
      <c r="P191" s="34" t="s">
        <v>214</v>
      </c>
      <c r="Q191" s="33" t="n">
        <f>16190</f>
        <v>16190.0</v>
      </c>
      <c r="R191" s="34" t="s">
        <v>50</v>
      </c>
      <c r="S191" s="35" t="n">
        <f>16419</f>
        <v>16419.0</v>
      </c>
      <c r="T191" s="32" t="n">
        <f>447</f>
        <v>447.0</v>
      </c>
      <c r="U191" s="32" t="str">
        <f>"－"</f>
        <v>－</v>
      </c>
      <c r="V191" s="32" t="n">
        <f>7340525</f>
        <v>7340525.0</v>
      </c>
      <c r="W191" s="32" t="str">
        <f>"－"</f>
        <v>－</v>
      </c>
      <c r="X191" s="36" t="n">
        <f>15</f>
        <v>15.0</v>
      </c>
    </row>
    <row r="192">
      <c r="A192" s="27" t="s">
        <v>42</v>
      </c>
      <c r="B192" s="27" t="s">
        <v>626</v>
      </c>
      <c r="C192" s="27" t="s">
        <v>627</v>
      </c>
      <c r="D192" s="27" t="s">
        <v>628</v>
      </c>
      <c r="E192" s="28" t="s">
        <v>46</v>
      </c>
      <c r="F192" s="29" t="s">
        <v>46</v>
      </c>
      <c r="G192" s="30" t="s">
        <v>46</v>
      </c>
      <c r="H192" s="31"/>
      <c r="I192" s="31" t="s">
        <v>586</v>
      </c>
      <c r="J192" s="32" t="n">
        <v>1.0</v>
      </c>
      <c r="K192" s="33" t="n">
        <f>26180</f>
        <v>26180.0</v>
      </c>
      <c r="L192" s="34" t="s">
        <v>48</v>
      </c>
      <c r="M192" s="33" t="n">
        <f>28680</f>
        <v>28680.0</v>
      </c>
      <c r="N192" s="34" t="s">
        <v>77</v>
      </c>
      <c r="O192" s="33" t="n">
        <f>25940</f>
        <v>25940.0</v>
      </c>
      <c r="P192" s="34" t="s">
        <v>48</v>
      </c>
      <c r="Q192" s="33" t="n">
        <f>27500</f>
        <v>27500.0</v>
      </c>
      <c r="R192" s="34" t="s">
        <v>50</v>
      </c>
      <c r="S192" s="35" t="n">
        <f>27125.26</f>
        <v>27125.26</v>
      </c>
      <c r="T192" s="32" t="n">
        <f>123948</f>
        <v>123948.0</v>
      </c>
      <c r="U192" s="32" t="n">
        <f>145</f>
        <v>145.0</v>
      </c>
      <c r="V192" s="32" t="n">
        <f>3368276485</f>
        <v>3.368276485E9</v>
      </c>
      <c r="W192" s="32" t="n">
        <f>3931395</f>
        <v>3931395.0</v>
      </c>
      <c r="X192" s="36" t="n">
        <f>19</f>
        <v>19.0</v>
      </c>
    </row>
    <row r="193">
      <c r="A193" s="27" t="s">
        <v>42</v>
      </c>
      <c r="B193" s="27" t="s">
        <v>629</v>
      </c>
      <c r="C193" s="27" t="s">
        <v>630</v>
      </c>
      <c r="D193" s="27" t="s">
        <v>631</v>
      </c>
      <c r="E193" s="28" t="s">
        <v>46</v>
      </c>
      <c r="F193" s="29" t="s">
        <v>46</v>
      </c>
      <c r="G193" s="30" t="s">
        <v>46</v>
      </c>
      <c r="H193" s="31"/>
      <c r="I193" s="31" t="s">
        <v>586</v>
      </c>
      <c r="J193" s="32" t="n">
        <v>1.0</v>
      </c>
      <c r="K193" s="33" t="n">
        <f>3900</f>
        <v>3900.0</v>
      </c>
      <c r="L193" s="34" t="s">
        <v>48</v>
      </c>
      <c r="M193" s="33" t="n">
        <f>4030</f>
        <v>4030.0</v>
      </c>
      <c r="N193" s="34" t="s">
        <v>61</v>
      </c>
      <c r="O193" s="33" t="n">
        <f>3750</f>
        <v>3750.0</v>
      </c>
      <c r="P193" s="34" t="s">
        <v>218</v>
      </c>
      <c r="Q193" s="33" t="n">
        <f>3890</f>
        <v>3890.0</v>
      </c>
      <c r="R193" s="34" t="s">
        <v>50</v>
      </c>
      <c r="S193" s="35" t="n">
        <f>3892.89</f>
        <v>3892.89</v>
      </c>
      <c r="T193" s="32" t="n">
        <f>9592</f>
        <v>9592.0</v>
      </c>
      <c r="U193" s="32" t="str">
        <f>"－"</f>
        <v>－</v>
      </c>
      <c r="V193" s="32" t="n">
        <f>37550720</f>
        <v>3.755072E7</v>
      </c>
      <c r="W193" s="32" t="str">
        <f>"－"</f>
        <v>－</v>
      </c>
      <c r="X193" s="36" t="n">
        <f>19</f>
        <v>19.0</v>
      </c>
    </row>
    <row r="194">
      <c r="A194" s="27" t="s">
        <v>42</v>
      </c>
      <c r="B194" s="27" t="s">
        <v>632</v>
      </c>
      <c r="C194" s="27" t="s">
        <v>633</v>
      </c>
      <c r="D194" s="27" t="s">
        <v>634</v>
      </c>
      <c r="E194" s="28" t="s">
        <v>46</v>
      </c>
      <c r="F194" s="29" t="s">
        <v>46</v>
      </c>
      <c r="G194" s="30" t="s">
        <v>46</v>
      </c>
      <c r="H194" s="31"/>
      <c r="I194" s="31" t="s">
        <v>586</v>
      </c>
      <c r="J194" s="32" t="n">
        <v>1.0</v>
      </c>
      <c r="K194" s="33" t="n">
        <f>22810</f>
        <v>22810.0</v>
      </c>
      <c r="L194" s="34" t="s">
        <v>48</v>
      </c>
      <c r="M194" s="33" t="n">
        <f>26380</f>
        <v>26380.0</v>
      </c>
      <c r="N194" s="34" t="s">
        <v>214</v>
      </c>
      <c r="O194" s="33" t="n">
        <f>22810</f>
        <v>22810.0</v>
      </c>
      <c r="P194" s="34" t="s">
        <v>48</v>
      </c>
      <c r="Q194" s="33" t="n">
        <f>25935</f>
        <v>25935.0</v>
      </c>
      <c r="R194" s="34" t="s">
        <v>50</v>
      </c>
      <c r="S194" s="35" t="n">
        <f>25330.53</f>
        <v>25330.53</v>
      </c>
      <c r="T194" s="32" t="n">
        <f>2903</f>
        <v>2903.0</v>
      </c>
      <c r="U194" s="32" t="str">
        <f>"－"</f>
        <v>－</v>
      </c>
      <c r="V194" s="32" t="n">
        <f>72307650</f>
        <v>7.230765E7</v>
      </c>
      <c r="W194" s="32" t="str">
        <f>"－"</f>
        <v>－</v>
      </c>
      <c r="X194" s="36" t="n">
        <f>19</f>
        <v>19.0</v>
      </c>
    </row>
    <row r="195">
      <c r="A195" s="27" t="s">
        <v>42</v>
      </c>
      <c r="B195" s="27" t="s">
        <v>635</v>
      </c>
      <c r="C195" s="27" t="s">
        <v>636</v>
      </c>
      <c r="D195" s="27" t="s">
        <v>637</v>
      </c>
      <c r="E195" s="28" t="s">
        <v>46</v>
      </c>
      <c r="F195" s="29" t="s">
        <v>46</v>
      </c>
      <c r="G195" s="30" t="s">
        <v>46</v>
      </c>
      <c r="H195" s="31"/>
      <c r="I195" s="31" t="s">
        <v>586</v>
      </c>
      <c r="J195" s="32" t="n">
        <v>1.0</v>
      </c>
      <c r="K195" s="33" t="n">
        <f>16545</f>
        <v>16545.0</v>
      </c>
      <c r="L195" s="34" t="s">
        <v>208</v>
      </c>
      <c r="M195" s="33" t="n">
        <f>17540</f>
        <v>17540.0</v>
      </c>
      <c r="N195" s="34" t="s">
        <v>49</v>
      </c>
      <c r="O195" s="33" t="n">
        <f>16545</f>
        <v>16545.0</v>
      </c>
      <c r="P195" s="34" t="s">
        <v>208</v>
      </c>
      <c r="Q195" s="33" t="n">
        <f>17315</f>
        <v>17315.0</v>
      </c>
      <c r="R195" s="34" t="s">
        <v>364</v>
      </c>
      <c r="S195" s="35" t="n">
        <f>17149.29</f>
        <v>17149.29</v>
      </c>
      <c r="T195" s="32" t="n">
        <f>39</f>
        <v>39.0</v>
      </c>
      <c r="U195" s="32" t="str">
        <f>"－"</f>
        <v>－</v>
      </c>
      <c r="V195" s="32" t="n">
        <f>673915</f>
        <v>673915.0</v>
      </c>
      <c r="W195" s="32" t="str">
        <f>"－"</f>
        <v>－</v>
      </c>
      <c r="X195" s="36" t="n">
        <f>7</f>
        <v>7.0</v>
      </c>
    </row>
    <row r="196">
      <c r="A196" s="27" t="s">
        <v>42</v>
      </c>
      <c r="B196" s="27" t="s">
        <v>638</v>
      </c>
      <c r="C196" s="27" t="s">
        <v>639</v>
      </c>
      <c r="D196" s="27" t="s">
        <v>640</v>
      </c>
      <c r="E196" s="28" t="s">
        <v>46</v>
      </c>
      <c r="F196" s="29" t="s">
        <v>46</v>
      </c>
      <c r="G196" s="30" t="s">
        <v>46</v>
      </c>
      <c r="H196" s="31"/>
      <c r="I196" s="31" t="s">
        <v>586</v>
      </c>
      <c r="J196" s="32" t="n">
        <v>1.0</v>
      </c>
      <c r="K196" s="33" t="n">
        <f>27015</f>
        <v>27015.0</v>
      </c>
      <c r="L196" s="34" t="s">
        <v>48</v>
      </c>
      <c r="M196" s="33" t="n">
        <f>29530</f>
        <v>29530.0</v>
      </c>
      <c r="N196" s="34" t="s">
        <v>49</v>
      </c>
      <c r="O196" s="33" t="n">
        <f>27015</f>
        <v>27015.0</v>
      </c>
      <c r="P196" s="34" t="s">
        <v>48</v>
      </c>
      <c r="Q196" s="33" t="n">
        <f>29350</f>
        <v>29350.0</v>
      </c>
      <c r="R196" s="34" t="s">
        <v>50</v>
      </c>
      <c r="S196" s="35" t="n">
        <f>28738.75</f>
        <v>28738.75</v>
      </c>
      <c r="T196" s="32" t="n">
        <f>290</f>
        <v>290.0</v>
      </c>
      <c r="U196" s="32" t="str">
        <f>"－"</f>
        <v>－</v>
      </c>
      <c r="V196" s="32" t="n">
        <f>8237300</f>
        <v>8237300.0</v>
      </c>
      <c r="W196" s="32" t="str">
        <f>"－"</f>
        <v>－</v>
      </c>
      <c r="X196" s="36" t="n">
        <f>16</f>
        <v>16.0</v>
      </c>
    </row>
    <row r="197">
      <c r="A197" s="27" t="s">
        <v>42</v>
      </c>
      <c r="B197" s="27" t="s">
        <v>641</v>
      </c>
      <c r="C197" s="27" t="s">
        <v>642</v>
      </c>
      <c r="D197" s="27" t="s">
        <v>643</v>
      </c>
      <c r="E197" s="28" t="s">
        <v>46</v>
      </c>
      <c r="F197" s="29" t="s">
        <v>46</v>
      </c>
      <c r="G197" s="30" t="s">
        <v>46</v>
      </c>
      <c r="H197" s="31"/>
      <c r="I197" s="31" t="s">
        <v>586</v>
      </c>
      <c r="J197" s="32" t="n">
        <v>1.0</v>
      </c>
      <c r="K197" s="33" t="n">
        <f>17770</f>
        <v>17770.0</v>
      </c>
      <c r="L197" s="34" t="s">
        <v>48</v>
      </c>
      <c r="M197" s="33" t="n">
        <f>18670</f>
        <v>18670.0</v>
      </c>
      <c r="N197" s="34" t="s">
        <v>218</v>
      </c>
      <c r="O197" s="33" t="n">
        <f>17770</f>
        <v>17770.0</v>
      </c>
      <c r="P197" s="34" t="s">
        <v>48</v>
      </c>
      <c r="Q197" s="33" t="n">
        <f>18670</f>
        <v>18670.0</v>
      </c>
      <c r="R197" s="34" t="s">
        <v>364</v>
      </c>
      <c r="S197" s="35" t="n">
        <f>18352.86</f>
        <v>18352.86</v>
      </c>
      <c r="T197" s="32" t="n">
        <f>4988</f>
        <v>4988.0</v>
      </c>
      <c r="U197" s="32" t="str">
        <f>"－"</f>
        <v>－</v>
      </c>
      <c r="V197" s="32" t="n">
        <f>89949170</f>
        <v>8.994917E7</v>
      </c>
      <c r="W197" s="32" t="str">
        <f>"－"</f>
        <v>－</v>
      </c>
      <c r="X197" s="36" t="n">
        <f>7</f>
        <v>7.0</v>
      </c>
    </row>
    <row r="198">
      <c r="A198" s="27" t="s">
        <v>42</v>
      </c>
      <c r="B198" s="27" t="s">
        <v>644</v>
      </c>
      <c r="C198" s="27" t="s">
        <v>645</v>
      </c>
      <c r="D198" s="27" t="s">
        <v>646</v>
      </c>
      <c r="E198" s="28" t="s">
        <v>46</v>
      </c>
      <c r="F198" s="29" t="s">
        <v>46</v>
      </c>
      <c r="G198" s="30" t="s">
        <v>46</v>
      </c>
      <c r="H198" s="31"/>
      <c r="I198" s="31" t="s">
        <v>586</v>
      </c>
      <c r="J198" s="32" t="n">
        <v>1.0</v>
      </c>
      <c r="K198" s="33" t="n">
        <f>16340</f>
        <v>16340.0</v>
      </c>
      <c r="L198" s="34" t="s">
        <v>48</v>
      </c>
      <c r="M198" s="33" t="n">
        <f>18025</f>
        <v>18025.0</v>
      </c>
      <c r="N198" s="34" t="s">
        <v>49</v>
      </c>
      <c r="O198" s="33" t="n">
        <f>16340</f>
        <v>16340.0</v>
      </c>
      <c r="P198" s="34" t="s">
        <v>48</v>
      </c>
      <c r="Q198" s="33" t="n">
        <f>17840</f>
        <v>17840.0</v>
      </c>
      <c r="R198" s="34" t="s">
        <v>214</v>
      </c>
      <c r="S198" s="35" t="n">
        <f>17551.56</f>
        <v>17551.56</v>
      </c>
      <c r="T198" s="32" t="n">
        <f>840</f>
        <v>840.0</v>
      </c>
      <c r="U198" s="32" t="n">
        <f>1</f>
        <v>1.0</v>
      </c>
      <c r="V198" s="32" t="n">
        <f>14697930</f>
        <v>1.469793E7</v>
      </c>
      <c r="W198" s="32" t="n">
        <f>16955</f>
        <v>16955.0</v>
      </c>
      <c r="X198" s="36" t="n">
        <f>16</f>
        <v>16.0</v>
      </c>
    </row>
    <row r="199">
      <c r="A199" s="27" t="s">
        <v>42</v>
      </c>
      <c r="B199" s="27" t="s">
        <v>647</v>
      </c>
      <c r="C199" s="27" t="s">
        <v>648</v>
      </c>
      <c r="D199" s="27" t="s">
        <v>649</v>
      </c>
      <c r="E199" s="28" t="s">
        <v>46</v>
      </c>
      <c r="F199" s="29" t="s">
        <v>46</v>
      </c>
      <c r="G199" s="30" t="s">
        <v>46</v>
      </c>
      <c r="H199" s="31"/>
      <c r="I199" s="31" t="s">
        <v>586</v>
      </c>
      <c r="J199" s="32" t="n">
        <v>1.0</v>
      </c>
      <c r="K199" s="33" t="n">
        <f>18790</f>
        <v>18790.0</v>
      </c>
      <c r="L199" s="34" t="s">
        <v>48</v>
      </c>
      <c r="M199" s="33" t="n">
        <f>20565</f>
        <v>20565.0</v>
      </c>
      <c r="N199" s="34" t="s">
        <v>218</v>
      </c>
      <c r="O199" s="33" t="n">
        <f>18790</f>
        <v>18790.0</v>
      </c>
      <c r="P199" s="34" t="s">
        <v>48</v>
      </c>
      <c r="Q199" s="33" t="n">
        <f>20355</f>
        <v>20355.0</v>
      </c>
      <c r="R199" s="34" t="s">
        <v>218</v>
      </c>
      <c r="S199" s="35" t="n">
        <f>19572.5</f>
        <v>19572.5</v>
      </c>
      <c r="T199" s="32" t="n">
        <f>41</f>
        <v>41.0</v>
      </c>
      <c r="U199" s="32" t="str">
        <f>"－"</f>
        <v>－</v>
      </c>
      <c r="V199" s="32" t="n">
        <f>837190</f>
        <v>837190.0</v>
      </c>
      <c r="W199" s="32" t="str">
        <f>"－"</f>
        <v>－</v>
      </c>
      <c r="X199" s="36" t="n">
        <f>2</f>
        <v>2.0</v>
      </c>
    </row>
    <row r="200">
      <c r="A200" s="27" t="s">
        <v>42</v>
      </c>
      <c r="B200" s="27" t="s">
        <v>650</v>
      </c>
      <c r="C200" s="27" t="s">
        <v>651</v>
      </c>
      <c r="D200" s="27" t="s">
        <v>652</v>
      </c>
      <c r="E200" s="28" t="s">
        <v>46</v>
      </c>
      <c r="F200" s="29" t="s">
        <v>46</v>
      </c>
      <c r="G200" s="30" t="s">
        <v>46</v>
      </c>
      <c r="H200" s="31"/>
      <c r="I200" s="31" t="s">
        <v>586</v>
      </c>
      <c r="J200" s="32" t="n">
        <v>1.0</v>
      </c>
      <c r="K200" s="33" t="n">
        <f>17555</f>
        <v>17555.0</v>
      </c>
      <c r="L200" s="34" t="s">
        <v>87</v>
      </c>
      <c r="M200" s="33" t="n">
        <f>17555</f>
        <v>17555.0</v>
      </c>
      <c r="N200" s="34" t="s">
        <v>87</v>
      </c>
      <c r="O200" s="33" t="n">
        <f>17255</f>
        <v>17255.0</v>
      </c>
      <c r="P200" s="34" t="s">
        <v>60</v>
      </c>
      <c r="Q200" s="33" t="n">
        <f>17370</f>
        <v>17370.0</v>
      </c>
      <c r="R200" s="34" t="s">
        <v>50</v>
      </c>
      <c r="S200" s="35" t="n">
        <f>17377.5</f>
        <v>17377.5</v>
      </c>
      <c r="T200" s="32" t="n">
        <f>326</f>
        <v>326.0</v>
      </c>
      <c r="U200" s="32" t="str">
        <f>"－"</f>
        <v>－</v>
      </c>
      <c r="V200" s="32" t="n">
        <f>5664170</f>
        <v>5664170.0</v>
      </c>
      <c r="W200" s="32" t="str">
        <f>"－"</f>
        <v>－</v>
      </c>
      <c r="X200" s="36" t="n">
        <f>4</f>
        <v>4.0</v>
      </c>
    </row>
    <row r="201">
      <c r="A201" s="27" t="s">
        <v>42</v>
      </c>
      <c r="B201" s="27" t="s">
        <v>653</v>
      </c>
      <c r="C201" s="27" t="s">
        <v>654</v>
      </c>
      <c r="D201" s="27" t="s">
        <v>655</v>
      </c>
      <c r="E201" s="28" t="s">
        <v>46</v>
      </c>
      <c r="F201" s="29" t="s">
        <v>46</v>
      </c>
      <c r="G201" s="30" t="s">
        <v>46</v>
      </c>
      <c r="H201" s="31"/>
      <c r="I201" s="31" t="s">
        <v>586</v>
      </c>
      <c r="J201" s="32" t="n">
        <v>1.0</v>
      </c>
      <c r="K201" s="33" t="n">
        <f>10560</f>
        <v>10560.0</v>
      </c>
      <c r="L201" s="34" t="s">
        <v>208</v>
      </c>
      <c r="M201" s="33" t="n">
        <f>11150</f>
        <v>11150.0</v>
      </c>
      <c r="N201" s="34" t="s">
        <v>49</v>
      </c>
      <c r="O201" s="33" t="n">
        <f>10560</f>
        <v>10560.0</v>
      </c>
      <c r="P201" s="34" t="s">
        <v>208</v>
      </c>
      <c r="Q201" s="33" t="n">
        <f>11025</f>
        <v>11025.0</v>
      </c>
      <c r="R201" s="34" t="s">
        <v>50</v>
      </c>
      <c r="S201" s="35" t="n">
        <f>10955</f>
        <v>10955.0</v>
      </c>
      <c r="T201" s="32" t="n">
        <f>3501</f>
        <v>3501.0</v>
      </c>
      <c r="U201" s="32" t="str">
        <f>"－"</f>
        <v>－</v>
      </c>
      <c r="V201" s="32" t="n">
        <f>38459780</f>
        <v>3.845978E7</v>
      </c>
      <c r="W201" s="32" t="str">
        <f>"－"</f>
        <v>－</v>
      </c>
      <c r="X201" s="36" t="n">
        <f>13</f>
        <v>13.0</v>
      </c>
    </row>
    <row r="202">
      <c r="A202" s="27" t="s">
        <v>42</v>
      </c>
      <c r="B202" s="27" t="s">
        <v>656</v>
      </c>
      <c r="C202" s="27" t="s">
        <v>657</v>
      </c>
      <c r="D202" s="27" t="s">
        <v>658</v>
      </c>
      <c r="E202" s="28" t="s">
        <v>46</v>
      </c>
      <c r="F202" s="29" t="s">
        <v>46</v>
      </c>
      <c r="G202" s="30" t="s">
        <v>46</v>
      </c>
      <c r="H202" s="31"/>
      <c r="I202" s="31" t="s">
        <v>586</v>
      </c>
      <c r="J202" s="32" t="n">
        <v>1.0</v>
      </c>
      <c r="K202" s="33" t="n">
        <f>12590</f>
        <v>12590.0</v>
      </c>
      <c r="L202" s="34" t="s">
        <v>48</v>
      </c>
      <c r="M202" s="33" t="n">
        <f>13470</f>
        <v>13470.0</v>
      </c>
      <c r="N202" s="34" t="s">
        <v>49</v>
      </c>
      <c r="O202" s="33" t="n">
        <f>12540</f>
        <v>12540.0</v>
      </c>
      <c r="P202" s="34" t="s">
        <v>48</v>
      </c>
      <c r="Q202" s="33" t="n">
        <f>13185</f>
        <v>13185.0</v>
      </c>
      <c r="R202" s="34" t="s">
        <v>50</v>
      </c>
      <c r="S202" s="35" t="n">
        <f>13084.44</f>
        <v>13084.44</v>
      </c>
      <c r="T202" s="32" t="n">
        <f>24920</f>
        <v>24920.0</v>
      </c>
      <c r="U202" s="32" t="str">
        <f>"－"</f>
        <v>－</v>
      </c>
      <c r="V202" s="32" t="n">
        <f>326890400</f>
        <v>3.268904E8</v>
      </c>
      <c r="W202" s="32" t="str">
        <f>"－"</f>
        <v>－</v>
      </c>
      <c r="X202" s="36" t="n">
        <f>18</f>
        <v>18.0</v>
      </c>
    </row>
    <row r="203">
      <c r="A203" s="27" t="s">
        <v>42</v>
      </c>
      <c r="B203" s="27" t="s">
        <v>659</v>
      </c>
      <c r="C203" s="27" t="s">
        <v>660</v>
      </c>
      <c r="D203" s="27" t="s">
        <v>661</v>
      </c>
      <c r="E203" s="28" t="s">
        <v>46</v>
      </c>
      <c r="F203" s="29" t="s">
        <v>46</v>
      </c>
      <c r="G203" s="30" t="s">
        <v>46</v>
      </c>
      <c r="H203" s="31"/>
      <c r="I203" s="31" t="s">
        <v>586</v>
      </c>
      <c r="J203" s="32" t="n">
        <v>1.0</v>
      </c>
      <c r="K203" s="33" t="n">
        <f>11520</f>
        <v>11520.0</v>
      </c>
      <c r="L203" s="34" t="s">
        <v>48</v>
      </c>
      <c r="M203" s="33" t="n">
        <f>12175</f>
        <v>12175.0</v>
      </c>
      <c r="N203" s="34" t="s">
        <v>218</v>
      </c>
      <c r="O203" s="33" t="n">
        <f>11520</f>
        <v>11520.0</v>
      </c>
      <c r="P203" s="34" t="s">
        <v>48</v>
      </c>
      <c r="Q203" s="33" t="n">
        <f>12050</f>
        <v>12050.0</v>
      </c>
      <c r="R203" s="34" t="s">
        <v>364</v>
      </c>
      <c r="S203" s="35" t="n">
        <f>11960.31</f>
        <v>11960.31</v>
      </c>
      <c r="T203" s="32" t="n">
        <f>7625</f>
        <v>7625.0</v>
      </c>
      <c r="U203" s="32" t="str">
        <f>"－"</f>
        <v>－</v>
      </c>
      <c r="V203" s="32" t="n">
        <f>91767315</f>
        <v>9.1767315E7</v>
      </c>
      <c r="W203" s="32" t="str">
        <f>"－"</f>
        <v>－</v>
      </c>
      <c r="X203" s="36" t="n">
        <f>16</f>
        <v>16.0</v>
      </c>
    </row>
    <row r="204">
      <c r="A204" s="27" t="s">
        <v>42</v>
      </c>
      <c r="B204" s="27" t="s">
        <v>662</v>
      </c>
      <c r="C204" s="27" t="s">
        <v>663</v>
      </c>
      <c r="D204" s="27" t="s">
        <v>664</v>
      </c>
      <c r="E204" s="28" t="s">
        <v>46</v>
      </c>
      <c r="F204" s="29" t="s">
        <v>46</v>
      </c>
      <c r="G204" s="30" t="s">
        <v>46</v>
      </c>
      <c r="H204" s="31"/>
      <c r="I204" s="31" t="s">
        <v>586</v>
      </c>
      <c r="J204" s="32" t="n">
        <v>1.0</v>
      </c>
      <c r="K204" s="33" t="n">
        <f>12035</f>
        <v>12035.0</v>
      </c>
      <c r="L204" s="34" t="s">
        <v>48</v>
      </c>
      <c r="M204" s="33" t="n">
        <f>12530</f>
        <v>12530.0</v>
      </c>
      <c r="N204" s="34" t="s">
        <v>287</v>
      </c>
      <c r="O204" s="33" t="n">
        <f>12035</f>
        <v>12035.0</v>
      </c>
      <c r="P204" s="34" t="s">
        <v>48</v>
      </c>
      <c r="Q204" s="33" t="n">
        <f>12250</f>
        <v>12250.0</v>
      </c>
      <c r="R204" s="34" t="s">
        <v>50</v>
      </c>
      <c r="S204" s="35" t="n">
        <f>12258.75</f>
        <v>12258.75</v>
      </c>
      <c r="T204" s="32" t="n">
        <f>2364</f>
        <v>2364.0</v>
      </c>
      <c r="U204" s="32" t="str">
        <f>"－"</f>
        <v>－</v>
      </c>
      <c r="V204" s="32" t="n">
        <f>29355505</f>
        <v>2.9355505E7</v>
      </c>
      <c r="W204" s="32" t="str">
        <f>"－"</f>
        <v>－</v>
      </c>
      <c r="X204" s="36" t="n">
        <f>4</f>
        <v>4.0</v>
      </c>
    </row>
    <row r="205">
      <c r="A205" s="27" t="s">
        <v>42</v>
      </c>
      <c r="B205" s="27" t="s">
        <v>665</v>
      </c>
      <c r="C205" s="27" t="s">
        <v>666</v>
      </c>
      <c r="D205" s="27" t="s">
        <v>667</v>
      </c>
      <c r="E205" s="28" t="s">
        <v>46</v>
      </c>
      <c r="F205" s="29" t="s">
        <v>46</v>
      </c>
      <c r="G205" s="30" t="s">
        <v>46</v>
      </c>
      <c r="H205" s="31"/>
      <c r="I205" s="31" t="s">
        <v>47</v>
      </c>
      <c r="J205" s="32" t="n">
        <v>1.0</v>
      </c>
      <c r="K205" s="33" t="n">
        <f>994</f>
        <v>994.0</v>
      </c>
      <c r="L205" s="34" t="s">
        <v>48</v>
      </c>
      <c r="M205" s="33" t="n">
        <f>1083</f>
        <v>1083.0</v>
      </c>
      <c r="N205" s="34" t="s">
        <v>50</v>
      </c>
      <c r="O205" s="33" t="n">
        <f>988</f>
        <v>988.0</v>
      </c>
      <c r="P205" s="34" t="s">
        <v>48</v>
      </c>
      <c r="Q205" s="33" t="n">
        <f>1083</f>
        <v>1083.0</v>
      </c>
      <c r="R205" s="34" t="s">
        <v>50</v>
      </c>
      <c r="S205" s="35" t="n">
        <f>1050.95</f>
        <v>1050.95</v>
      </c>
      <c r="T205" s="32" t="n">
        <f>11201233</f>
        <v>1.1201233E7</v>
      </c>
      <c r="U205" s="32" t="n">
        <f>56938</f>
        <v>56938.0</v>
      </c>
      <c r="V205" s="32" t="n">
        <f>11729203813</f>
        <v>1.1729203813E10</v>
      </c>
      <c r="W205" s="32" t="n">
        <f>58660583</f>
        <v>5.8660583E7</v>
      </c>
      <c r="X205" s="36" t="n">
        <f>19</f>
        <v>19.0</v>
      </c>
    </row>
    <row r="206">
      <c r="A206" s="27" t="s">
        <v>42</v>
      </c>
      <c r="B206" s="27" t="s">
        <v>668</v>
      </c>
      <c r="C206" s="27" t="s">
        <v>669</v>
      </c>
      <c r="D206" s="27" t="s">
        <v>670</v>
      </c>
      <c r="E206" s="28" t="s">
        <v>46</v>
      </c>
      <c r="F206" s="29" t="s">
        <v>46</v>
      </c>
      <c r="G206" s="30" t="s">
        <v>46</v>
      </c>
      <c r="H206" s="31"/>
      <c r="I206" s="31" t="s">
        <v>47</v>
      </c>
      <c r="J206" s="32" t="n">
        <v>1.0</v>
      </c>
      <c r="K206" s="33" t="n">
        <f>987</f>
        <v>987.0</v>
      </c>
      <c r="L206" s="34" t="s">
        <v>48</v>
      </c>
      <c r="M206" s="33" t="n">
        <f>1080</f>
        <v>1080.0</v>
      </c>
      <c r="N206" s="34" t="s">
        <v>50</v>
      </c>
      <c r="O206" s="33" t="n">
        <f>977</f>
        <v>977.0</v>
      </c>
      <c r="P206" s="34" t="s">
        <v>48</v>
      </c>
      <c r="Q206" s="33" t="n">
        <f>1075</f>
        <v>1075.0</v>
      </c>
      <c r="R206" s="34" t="s">
        <v>50</v>
      </c>
      <c r="S206" s="35" t="n">
        <f>1046.37</f>
        <v>1046.37</v>
      </c>
      <c r="T206" s="32" t="n">
        <f>101262</f>
        <v>101262.0</v>
      </c>
      <c r="U206" s="32" t="str">
        <f>"－"</f>
        <v>－</v>
      </c>
      <c r="V206" s="32" t="n">
        <f>105957756</f>
        <v>1.05957756E8</v>
      </c>
      <c r="W206" s="32" t="str">
        <f>"－"</f>
        <v>－</v>
      </c>
      <c r="X206" s="36" t="n">
        <f>19</f>
        <v>19.0</v>
      </c>
    </row>
    <row r="207">
      <c r="A207" s="27" t="s">
        <v>42</v>
      </c>
      <c r="B207" s="27" t="s">
        <v>671</v>
      </c>
      <c r="C207" s="27" t="s">
        <v>672</v>
      </c>
      <c r="D207" s="27" t="s">
        <v>673</v>
      </c>
      <c r="E207" s="28" t="s">
        <v>46</v>
      </c>
      <c r="F207" s="29" t="s">
        <v>46</v>
      </c>
      <c r="G207" s="30" t="s">
        <v>46</v>
      </c>
      <c r="H207" s="31"/>
      <c r="I207" s="31" t="s">
        <v>47</v>
      </c>
      <c r="J207" s="32" t="n">
        <v>1.0</v>
      </c>
      <c r="K207" s="33" t="n">
        <f>961</f>
        <v>961.0</v>
      </c>
      <c r="L207" s="34" t="s">
        <v>48</v>
      </c>
      <c r="M207" s="33" t="n">
        <f>1036</f>
        <v>1036.0</v>
      </c>
      <c r="N207" s="34" t="s">
        <v>49</v>
      </c>
      <c r="O207" s="33" t="n">
        <f>953</f>
        <v>953.0</v>
      </c>
      <c r="P207" s="34" t="s">
        <v>48</v>
      </c>
      <c r="Q207" s="33" t="n">
        <f>1023</f>
        <v>1023.0</v>
      </c>
      <c r="R207" s="34" t="s">
        <v>50</v>
      </c>
      <c r="S207" s="35" t="n">
        <f>1007.74</f>
        <v>1007.74</v>
      </c>
      <c r="T207" s="32" t="n">
        <f>87170</f>
        <v>87170.0</v>
      </c>
      <c r="U207" s="32" t="str">
        <f>"－"</f>
        <v>－</v>
      </c>
      <c r="V207" s="32" t="n">
        <f>87524599</f>
        <v>8.7524599E7</v>
      </c>
      <c r="W207" s="32" t="str">
        <f>"－"</f>
        <v>－</v>
      </c>
      <c r="X207" s="36" t="n">
        <f>19</f>
        <v>19.0</v>
      </c>
    </row>
    <row r="208">
      <c r="A208" s="27" t="s">
        <v>42</v>
      </c>
      <c r="B208" s="27" t="s">
        <v>674</v>
      </c>
      <c r="C208" s="27" t="s">
        <v>675</v>
      </c>
      <c r="D208" s="27" t="s">
        <v>676</v>
      </c>
      <c r="E208" s="28" t="s">
        <v>46</v>
      </c>
      <c r="F208" s="29" t="s">
        <v>46</v>
      </c>
      <c r="G208" s="30" t="s">
        <v>46</v>
      </c>
      <c r="H208" s="31"/>
      <c r="I208" s="31" t="s">
        <v>47</v>
      </c>
      <c r="J208" s="32" t="n">
        <v>1.0</v>
      </c>
      <c r="K208" s="33" t="n">
        <f>2007</f>
        <v>2007.0</v>
      </c>
      <c r="L208" s="34" t="s">
        <v>48</v>
      </c>
      <c r="M208" s="33" t="n">
        <f>2165</f>
        <v>2165.0</v>
      </c>
      <c r="N208" s="34" t="s">
        <v>49</v>
      </c>
      <c r="O208" s="33" t="n">
        <f>1989</f>
        <v>1989.0</v>
      </c>
      <c r="P208" s="34" t="s">
        <v>48</v>
      </c>
      <c r="Q208" s="33" t="n">
        <f>2128</f>
        <v>2128.0</v>
      </c>
      <c r="R208" s="34" t="s">
        <v>50</v>
      </c>
      <c r="S208" s="35" t="n">
        <f>2100.84</f>
        <v>2100.84</v>
      </c>
      <c r="T208" s="32" t="n">
        <f>870659</f>
        <v>870659.0</v>
      </c>
      <c r="U208" s="32" t="n">
        <f>399060</f>
        <v>399060.0</v>
      </c>
      <c r="V208" s="32" t="n">
        <f>1827192758</f>
        <v>1.827192758E9</v>
      </c>
      <c r="W208" s="32" t="n">
        <f>840021510</f>
        <v>8.4002151E8</v>
      </c>
      <c r="X208" s="36" t="n">
        <f>19</f>
        <v>19.0</v>
      </c>
    </row>
    <row r="209">
      <c r="A209" s="27" t="s">
        <v>42</v>
      </c>
      <c r="B209" s="27" t="s">
        <v>677</v>
      </c>
      <c r="C209" s="27" t="s">
        <v>678</v>
      </c>
      <c r="D209" s="27" t="s">
        <v>679</v>
      </c>
      <c r="E209" s="28" t="s">
        <v>46</v>
      </c>
      <c r="F209" s="29" t="s">
        <v>46</v>
      </c>
      <c r="G209" s="30" t="s">
        <v>46</v>
      </c>
      <c r="H209" s="31"/>
      <c r="I209" s="31" t="s">
        <v>47</v>
      </c>
      <c r="J209" s="32" t="n">
        <v>1.0</v>
      </c>
      <c r="K209" s="33" t="n">
        <f>2009</f>
        <v>2009.0</v>
      </c>
      <c r="L209" s="34" t="s">
        <v>48</v>
      </c>
      <c r="M209" s="33" t="n">
        <f>2176</f>
        <v>2176.0</v>
      </c>
      <c r="N209" s="34" t="s">
        <v>50</v>
      </c>
      <c r="O209" s="33" t="n">
        <f>1994</f>
        <v>1994.0</v>
      </c>
      <c r="P209" s="34" t="s">
        <v>48</v>
      </c>
      <c r="Q209" s="33" t="n">
        <f>2176</f>
        <v>2176.0</v>
      </c>
      <c r="R209" s="34" t="s">
        <v>50</v>
      </c>
      <c r="S209" s="35" t="n">
        <f>2121.68</f>
        <v>2121.68</v>
      </c>
      <c r="T209" s="32" t="n">
        <f>2049930</f>
        <v>2049930.0</v>
      </c>
      <c r="U209" s="32" t="n">
        <f>390004</f>
        <v>390004.0</v>
      </c>
      <c r="V209" s="32" t="n">
        <f>4354705748</f>
        <v>4.354705748E9</v>
      </c>
      <c r="W209" s="32" t="n">
        <f>846697692</f>
        <v>8.46697692E8</v>
      </c>
      <c r="X209" s="36" t="n">
        <f>19</f>
        <v>19.0</v>
      </c>
    </row>
    <row r="210">
      <c r="A210" s="27" t="s">
        <v>42</v>
      </c>
      <c r="B210" s="27" t="s">
        <v>680</v>
      </c>
      <c r="C210" s="27" t="s">
        <v>681</v>
      </c>
      <c r="D210" s="27" t="s">
        <v>682</v>
      </c>
      <c r="E210" s="28" t="s">
        <v>46</v>
      </c>
      <c r="F210" s="29" t="s">
        <v>46</v>
      </c>
      <c r="G210" s="30" t="s">
        <v>46</v>
      </c>
      <c r="H210" s="31"/>
      <c r="I210" s="31" t="s">
        <v>47</v>
      </c>
      <c r="J210" s="32" t="n">
        <v>10.0</v>
      </c>
      <c r="K210" s="33" t="n">
        <f>514.5</f>
        <v>514.5</v>
      </c>
      <c r="L210" s="34" t="s">
        <v>48</v>
      </c>
      <c r="M210" s="33" t="n">
        <f>555</f>
        <v>555.0</v>
      </c>
      <c r="N210" s="34" t="s">
        <v>50</v>
      </c>
      <c r="O210" s="33" t="n">
        <f>512.2</f>
        <v>512.2</v>
      </c>
      <c r="P210" s="34" t="s">
        <v>48</v>
      </c>
      <c r="Q210" s="33" t="n">
        <f>555</f>
        <v>555.0</v>
      </c>
      <c r="R210" s="34" t="s">
        <v>50</v>
      </c>
      <c r="S210" s="35" t="n">
        <f>542.67</f>
        <v>542.67</v>
      </c>
      <c r="T210" s="32" t="n">
        <f>5001470</f>
        <v>5001470.0</v>
      </c>
      <c r="U210" s="32" t="n">
        <f>558960</f>
        <v>558960.0</v>
      </c>
      <c r="V210" s="32" t="n">
        <f>2696890092</f>
        <v>2.696890092E9</v>
      </c>
      <c r="W210" s="32" t="n">
        <f>299896910</f>
        <v>2.9989691E8</v>
      </c>
      <c r="X210" s="36" t="n">
        <f>19</f>
        <v>19.0</v>
      </c>
    </row>
    <row r="211">
      <c r="A211" s="27" t="s">
        <v>42</v>
      </c>
      <c r="B211" s="27" t="s">
        <v>683</v>
      </c>
      <c r="C211" s="27" t="s">
        <v>684</v>
      </c>
      <c r="D211" s="27" t="s">
        <v>685</v>
      </c>
      <c r="E211" s="28" t="s">
        <v>46</v>
      </c>
      <c r="F211" s="29" t="s">
        <v>46</v>
      </c>
      <c r="G211" s="30" t="s">
        <v>46</v>
      </c>
      <c r="H211" s="31"/>
      <c r="I211" s="31" t="s">
        <v>47</v>
      </c>
      <c r="J211" s="32" t="n">
        <v>10.0</v>
      </c>
      <c r="K211" s="33" t="n">
        <f>2140.5</f>
        <v>2140.5</v>
      </c>
      <c r="L211" s="34" t="s">
        <v>48</v>
      </c>
      <c r="M211" s="33" t="n">
        <f>2195</f>
        <v>2195.0</v>
      </c>
      <c r="N211" s="34" t="s">
        <v>214</v>
      </c>
      <c r="O211" s="33" t="n">
        <f>2094.5</f>
        <v>2094.5</v>
      </c>
      <c r="P211" s="34" t="s">
        <v>208</v>
      </c>
      <c r="Q211" s="33" t="n">
        <f>2184.5</f>
        <v>2184.5</v>
      </c>
      <c r="R211" s="34" t="s">
        <v>50</v>
      </c>
      <c r="S211" s="35" t="n">
        <f>2145.32</f>
        <v>2145.32</v>
      </c>
      <c r="T211" s="32" t="n">
        <f>945650</f>
        <v>945650.0</v>
      </c>
      <c r="U211" s="32" t="n">
        <f>943010</f>
        <v>943010.0</v>
      </c>
      <c r="V211" s="32" t="n">
        <f>2059004619</f>
        <v>2.059004619E9</v>
      </c>
      <c r="W211" s="32" t="n">
        <f>2053334429</f>
        <v>2.053334429E9</v>
      </c>
      <c r="X211" s="36" t="n">
        <f>11</f>
        <v>11.0</v>
      </c>
    </row>
    <row r="212">
      <c r="A212" s="27" t="s">
        <v>42</v>
      </c>
      <c r="B212" s="27" t="s">
        <v>686</v>
      </c>
      <c r="C212" s="27" t="s">
        <v>687</v>
      </c>
      <c r="D212" s="27" t="s">
        <v>688</v>
      </c>
      <c r="E212" s="28" t="s">
        <v>46</v>
      </c>
      <c r="F212" s="29" t="s">
        <v>46</v>
      </c>
      <c r="G212" s="30" t="s">
        <v>46</v>
      </c>
      <c r="H212" s="31"/>
      <c r="I212" s="31" t="s">
        <v>47</v>
      </c>
      <c r="J212" s="32" t="n">
        <v>10.0</v>
      </c>
      <c r="K212" s="33" t="n">
        <f>2215</f>
        <v>2215.0</v>
      </c>
      <c r="L212" s="34" t="s">
        <v>48</v>
      </c>
      <c r="M212" s="33" t="n">
        <f>2296.5</f>
        <v>2296.5</v>
      </c>
      <c r="N212" s="34" t="s">
        <v>214</v>
      </c>
      <c r="O212" s="33" t="n">
        <f>2131.5</f>
        <v>2131.5</v>
      </c>
      <c r="P212" s="34" t="s">
        <v>208</v>
      </c>
      <c r="Q212" s="33" t="n">
        <f>2261.5</f>
        <v>2261.5</v>
      </c>
      <c r="R212" s="34" t="s">
        <v>50</v>
      </c>
      <c r="S212" s="35" t="n">
        <f>2229.06</f>
        <v>2229.06</v>
      </c>
      <c r="T212" s="32" t="n">
        <f>230150</f>
        <v>230150.0</v>
      </c>
      <c r="U212" s="32" t="n">
        <f>228060</f>
        <v>228060.0</v>
      </c>
      <c r="V212" s="32" t="n">
        <f>504698564</f>
        <v>5.04698564E8</v>
      </c>
      <c r="W212" s="32" t="n">
        <f>499998744</f>
        <v>4.99998744E8</v>
      </c>
      <c r="X212" s="36" t="n">
        <f>16</f>
        <v>16.0</v>
      </c>
    </row>
    <row r="213">
      <c r="A213" s="27" t="s">
        <v>42</v>
      </c>
      <c r="B213" s="27" t="s">
        <v>689</v>
      </c>
      <c r="C213" s="27" t="s">
        <v>690</v>
      </c>
      <c r="D213" s="27" t="s">
        <v>691</v>
      </c>
      <c r="E213" s="28" t="s">
        <v>46</v>
      </c>
      <c r="F213" s="29" t="s">
        <v>46</v>
      </c>
      <c r="G213" s="30" t="s">
        <v>46</v>
      </c>
      <c r="H213" s="31"/>
      <c r="I213" s="31" t="s">
        <v>47</v>
      </c>
      <c r="J213" s="32" t="n">
        <v>10.0</v>
      </c>
      <c r="K213" s="33" t="n">
        <f>2153</f>
        <v>2153.0</v>
      </c>
      <c r="L213" s="34" t="s">
        <v>287</v>
      </c>
      <c r="M213" s="33" t="n">
        <f>2161</f>
        <v>2161.0</v>
      </c>
      <c r="N213" s="34" t="s">
        <v>60</v>
      </c>
      <c r="O213" s="33" t="n">
        <f>2153</f>
        <v>2153.0</v>
      </c>
      <c r="P213" s="34" t="s">
        <v>287</v>
      </c>
      <c r="Q213" s="33" t="n">
        <f>2161</f>
        <v>2161.0</v>
      </c>
      <c r="R213" s="34" t="s">
        <v>60</v>
      </c>
      <c r="S213" s="35" t="n">
        <f>2157</f>
        <v>2157.0</v>
      </c>
      <c r="T213" s="32" t="n">
        <f>935520</f>
        <v>935520.0</v>
      </c>
      <c r="U213" s="32" t="n">
        <f>935500</f>
        <v>935500.0</v>
      </c>
      <c r="V213" s="32" t="n">
        <f>2023762562</f>
        <v>2.023762562E9</v>
      </c>
      <c r="W213" s="32" t="n">
        <f>2023719422</f>
        <v>2.023719422E9</v>
      </c>
      <c r="X213" s="36" t="n">
        <f>2</f>
        <v>2.0</v>
      </c>
    </row>
    <row r="214">
      <c r="A214" s="27" t="s">
        <v>42</v>
      </c>
      <c r="B214" s="27" t="s">
        <v>692</v>
      </c>
      <c r="C214" s="27" t="s">
        <v>693</v>
      </c>
      <c r="D214" s="27" t="s">
        <v>694</v>
      </c>
      <c r="E214" s="28" t="s">
        <v>46</v>
      </c>
      <c r="F214" s="29" t="s">
        <v>46</v>
      </c>
      <c r="G214" s="30" t="s">
        <v>46</v>
      </c>
      <c r="H214" s="31"/>
      <c r="I214" s="31" t="s">
        <v>47</v>
      </c>
      <c r="J214" s="32" t="n">
        <v>10.0</v>
      </c>
      <c r="K214" s="33" t="n">
        <f>2131</f>
        <v>2131.0</v>
      </c>
      <c r="L214" s="34" t="s">
        <v>48</v>
      </c>
      <c r="M214" s="33" t="n">
        <f>2131</f>
        <v>2131.0</v>
      </c>
      <c r="N214" s="34" t="s">
        <v>48</v>
      </c>
      <c r="O214" s="33" t="n">
        <f>2093</f>
        <v>2093.0</v>
      </c>
      <c r="P214" s="34" t="s">
        <v>77</v>
      </c>
      <c r="Q214" s="33" t="n">
        <f>2101.5</f>
        <v>2101.5</v>
      </c>
      <c r="R214" s="34" t="s">
        <v>49</v>
      </c>
      <c r="S214" s="35" t="n">
        <f>2096.33</f>
        <v>2096.33</v>
      </c>
      <c r="T214" s="32" t="n">
        <f>157490</f>
        <v>157490.0</v>
      </c>
      <c r="U214" s="32" t="str">
        <f>"－"</f>
        <v>－</v>
      </c>
      <c r="V214" s="32" t="n">
        <f>330258280</f>
        <v>3.3025828E8</v>
      </c>
      <c r="W214" s="32" t="str">
        <f>"－"</f>
        <v>－</v>
      </c>
      <c r="X214" s="36" t="n">
        <f>3</f>
        <v>3.0</v>
      </c>
    </row>
    <row r="215">
      <c r="A215" s="27" t="s">
        <v>42</v>
      </c>
      <c r="B215" s="27" t="s">
        <v>695</v>
      </c>
      <c r="C215" s="27" t="s">
        <v>696</v>
      </c>
      <c r="D215" s="27" t="s">
        <v>697</v>
      </c>
      <c r="E215" s="28" t="s">
        <v>46</v>
      </c>
      <c r="F215" s="29" t="s">
        <v>46</v>
      </c>
      <c r="G215" s="30" t="s">
        <v>46</v>
      </c>
      <c r="H215" s="31"/>
      <c r="I215" s="31" t="s">
        <v>47</v>
      </c>
      <c r="J215" s="32" t="n">
        <v>10.0</v>
      </c>
      <c r="K215" s="33" t="n">
        <f>5134</f>
        <v>5134.0</v>
      </c>
      <c r="L215" s="34" t="s">
        <v>88</v>
      </c>
      <c r="M215" s="33" t="n">
        <f>5134</f>
        <v>5134.0</v>
      </c>
      <c r="N215" s="34" t="s">
        <v>88</v>
      </c>
      <c r="O215" s="33" t="n">
        <f>5034</f>
        <v>5034.0</v>
      </c>
      <c r="P215" s="34" t="s">
        <v>61</v>
      </c>
      <c r="Q215" s="33" t="n">
        <f>5099</f>
        <v>5099.0</v>
      </c>
      <c r="R215" s="34" t="s">
        <v>214</v>
      </c>
      <c r="S215" s="35" t="n">
        <f>5108.67</f>
        <v>5108.67</v>
      </c>
      <c r="T215" s="32" t="n">
        <f>641620</f>
        <v>641620.0</v>
      </c>
      <c r="U215" s="32" t="n">
        <f>620000</f>
        <v>620000.0</v>
      </c>
      <c r="V215" s="32" t="n">
        <f>3311131776</f>
        <v>3.311131776E9</v>
      </c>
      <c r="W215" s="32" t="n">
        <f>3200890356</f>
        <v>3.200890356E9</v>
      </c>
      <c r="X215" s="36" t="n">
        <f>3</f>
        <v>3.0</v>
      </c>
    </row>
    <row r="216">
      <c r="A216" s="27" t="s">
        <v>42</v>
      </c>
      <c r="B216" s="27" t="s">
        <v>698</v>
      </c>
      <c r="C216" s="27" t="s">
        <v>699</v>
      </c>
      <c r="D216" s="27" t="s">
        <v>700</v>
      </c>
      <c r="E216" s="28" t="s">
        <v>46</v>
      </c>
      <c r="F216" s="29" t="s">
        <v>46</v>
      </c>
      <c r="G216" s="30" t="s">
        <v>46</v>
      </c>
      <c r="H216" s="31"/>
      <c r="I216" s="31" t="s">
        <v>47</v>
      </c>
      <c r="J216" s="32" t="n">
        <v>10.0</v>
      </c>
      <c r="K216" s="33" t="n">
        <f>5347</f>
        <v>5347.0</v>
      </c>
      <c r="L216" s="34" t="s">
        <v>48</v>
      </c>
      <c r="M216" s="33" t="n">
        <f>5347</f>
        <v>5347.0</v>
      </c>
      <c r="N216" s="34" t="s">
        <v>48</v>
      </c>
      <c r="O216" s="33" t="n">
        <f>5145</f>
        <v>5145.0</v>
      </c>
      <c r="P216" s="34" t="s">
        <v>60</v>
      </c>
      <c r="Q216" s="33" t="n">
        <f>5145</f>
        <v>5145.0</v>
      </c>
      <c r="R216" s="34" t="s">
        <v>60</v>
      </c>
      <c r="S216" s="35" t="n">
        <f>5214.33</f>
        <v>5214.33</v>
      </c>
      <c r="T216" s="32" t="n">
        <f>140</f>
        <v>140.0</v>
      </c>
      <c r="U216" s="32" t="str">
        <f>"－"</f>
        <v>－</v>
      </c>
      <c r="V216" s="32" t="n">
        <f>723580</f>
        <v>723580.0</v>
      </c>
      <c r="W216" s="32" t="str">
        <f>"－"</f>
        <v>－</v>
      </c>
      <c r="X216" s="36" t="n">
        <f>3</f>
        <v>3.0</v>
      </c>
    </row>
    <row r="217">
      <c r="A217" s="27" t="s">
        <v>42</v>
      </c>
      <c r="B217" s="27" t="s">
        <v>701</v>
      </c>
      <c r="C217" s="27" t="s">
        <v>702</v>
      </c>
      <c r="D217" s="27" t="s">
        <v>703</v>
      </c>
      <c r="E217" s="28" t="s">
        <v>46</v>
      </c>
      <c r="F217" s="29" t="s">
        <v>46</v>
      </c>
      <c r="G217" s="30" t="s">
        <v>46</v>
      </c>
      <c r="H217" s="31"/>
      <c r="I217" s="31" t="s">
        <v>47</v>
      </c>
      <c r="J217" s="32" t="n">
        <v>10.0</v>
      </c>
      <c r="K217" s="33" t="n">
        <f>5372</f>
        <v>5372.0</v>
      </c>
      <c r="L217" s="34" t="s">
        <v>48</v>
      </c>
      <c r="M217" s="33" t="n">
        <f>5372</f>
        <v>5372.0</v>
      </c>
      <c r="N217" s="34" t="s">
        <v>48</v>
      </c>
      <c r="O217" s="33" t="n">
        <f>5102</f>
        <v>5102.0</v>
      </c>
      <c r="P217" s="34" t="s">
        <v>287</v>
      </c>
      <c r="Q217" s="33" t="n">
        <f>5173</f>
        <v>5173.0</v>
      </c>
      <c r="R217" s="34" t="s">
        <v>60</v>
      </c>
      <c r="S217" s="35" t="n">
        <f>5212.25</f>
        <v>5212.25</v>
      </c>
      <c r="T217" s="32" t="n">
        <f>460</f>
        <v>460.0</v>
      </c>
      <c r="U217" s="32" t="str">
        <f>"－"</f>
        <v>－</v>
      </c>
      <c r="V217" s="32" t="n">
        <f>2365890</f>
        <v>2365890.0</v>
      </c>
      <c r="W217" s="32" t="str">
        <f>"－"</f>
        <v>－</v>
      </c>
      <c r="X217" s="36" t="n">
        <f>4</f>
        <v>4.0</v>
      </c>
    </row>
    <row r="218">
      <c r="A218" s="27" t="s">
        <v>42</v>
      </c>
      <c r="B218" s="27" t="s">
        <v>704</v>
      </c>
      <c r="C218" s="27" t="s">
        <v>705</v>
      </c>
      <c r="D218" s="27" t="s">
        <v>706</v>
      </c>
      <c r="E218" s="28" t="s">
        <v>46</v>
      </c>
      <c r="F218" s="29" t="s">
        <v>46</v>
      </c>
      <c r="G218" s="30" t="s">
        <v>46</v>
      </c>
      <c r="H218" s="31"/>
      <c r="I218" s="31" t="s">
        <v>47</v>
      </c>
      <c r="J218" s="32" t="n">
        <v>10.0</v>
      </c>
      <c r="K218" s="33" t="n">
        <f>4780</f>
        <v>4780.0</v>
      </c>
      <c r="L218" s="34" t="s">
        <v>48</v>
      </c>
      <c r="M218" s="33" t="n">
        <f>5073</f>
        <v>5073.0</v>
      </c>
      <c r="N218" s="34" t="s">
        <v>209</v>
      </c>
      <c r="O218" s="33" t="n">
        <f>4780</f>
        <v>4780.0</v>
      </c>
      <c r="P218" s="34" t="s">
        <v>48</v>
      </c>
      <c r="Q218" s="33" t="n">
        <f>5007</f>
        <v>5007.0</v>
      </c>
      <c r="R218" s="34" t="s">
        <v>50</v>
      </c>
      <c r="S218" s="35" t="n">
        <f>4963.84</f>
        <v>4963.84</v>
      </c>
      <c r="T218" s="32" t="n">
        <f>2243700</f>
        <v>2243700.0</v>
      </c>
      <c r="U218" s="32" t="n">
        <f>2190020</f>
        <v>2190020.0</v>
      </c>
      <c r="V218" s="32" t="n">
        <f>11218116460</f>
        <v>1.121811646E10</v>
      </c>
      <c r="W218" s="32" t="n">
        <f>10952121830</f>
        <v>1.095212183E10</v>
      </c>
      <c r="X218" s="36" t="n">
        <f>19</f>
        <v>19.0</v>
      </c>
    </row>
    <row r="219">
      <c r="A219" s="27" t="s">
        <v>42</v>
      </c>
      <c r="B219" s="27" t="s">
        <v>707</v>
      </c>
      <c r="C219" s="27" t="s">
        <v>708</v>
      </c>
      <c r="D219" s="27" t="s">
        <v>709</v>
      </c>
      <c r="E219" s="28" t="s">
        <v>46</v>
      </c>
      <c r="F219" s="29" t="s">
        <v>46</v>
      </c>
      <c r="G219" s="30" t="s">
        <v>46</v>
      </c>
      <c r="H219" s="31"/>
      <c r="I219" s="31" t="s">
        <v>47</v>
      </c>
      <c r="J219" s="32" t="n">
        <v>1.0</v>
      </c>
      <c r="K219" s="33" t="n">
        <f>982</f>
        <v>982.0</v>
      </c>
      <c r="L219" s="34" t="s">
        <v>48</v>
      </c>
      <c r="M219" s="33" t="n">
        <f>997</f>
        <v>997.0</v>
      </c>
      <c r="N219" s="34" t="s">
        <v>50</v>
      </c>
      <c r="O219" s="33" t="n">
        <f>964</f>
        <v>964.0</v>
      </c>
      <c r="P219" s="34" t="s">
        <v>213</v>
      </c>
      <c r="Q219" s="33" t="n">
        <f>984</f>
        <v>984.0</v>
      </c>
      <c r="R219" s="34" t="s">
        <v>50</v>
      </c>
      <c r="S219" s="35" t="n">
        <f>979.21</f>
        <v>979.21</v>
      </c>
      <c r="T219" s="32" t="n">
        <f>66748</f>
        <v>66748.0</v>
      </c>
      <c r="U219" s="32" t="str">
        <f>"－"</f>
        <v>－</v>
      </c>
      <c r="V219" s="32" t="n">
        <f>65302910</f>
        <v>6.530291E7</v>
      </c>
      <c r="W219" s="32" t="str">
        <f>"－"</f>
        <v>－</v>
      </c>
      <c r="X219" s="36" t="n">
        <f>19</f>
        <v>19.0</v>
      </c>
    </row>
    <row r="220">
      <c r="A220" s="27" t="s">
        <v>42</v>
      </c>
      <c r="B220" s="27" t="s">
        <v>710</v>
      </c>
      <c r="C220" s="27" t="s">
        <v>711</v>
      </c>
      <c r="D220" s="27" t="s">
        <v>712</v>
      </c>
      <c r="E220" s="28" t="s">
        <v>46</v>
      </c>
      <c r="F220" s="29" t="s">
        <v>46</v>
      </c>
      <c r="G220" s="30" t="s">
        <v>46</v>
      </c>
      <c r="H220" s="31"/>
      <c r="I220" s="31" t="s">
        <v>47</v>
      </c>
      <c r="J220" s="32" t="n">
        <v>1.0</v>
      </c>
      <c r="K220" s="33" t="n">
        <f>1105</f>
        <v>1105.0</v>
      </c>
      <c r="L220" s="34" t="s">
        <v>48</v>
      </c>
      <c r="M220" s="33" t="n">
        <f>1112</f>
        <v>1112.0</v>
      </c>
      <c r="N220" s="34" t="s">
        <v>50</v>
      </c>
      <c r="O220" s="33" t="n">
        <f>1084</f>
        <v>1084.0</v>
      </c>
      <c r="P220" s="34" t="s">
        <v>159</v>
      </c>
      <c r="Q220" s="33" t="n">
        <f>1111</f>
        <v>1111.0</v>
      </c>
      <c r="R220" s="34" t="s">
        <v>50</v>
      </c>
      <c r="S220" s="35" t="n">
        <f>1098.68</f>
        <v>1098.68</v>
      </c>
      <c r="T220" s="32" t="n">
        <f>108486</f>
        <v>108486.0</v>
      </c>
      <c r="U220" s="32" t="str">
        <f>"－"</f>
        <v>－</v>
      </c>
      <c r="V220" s="32" t="n">
        <f>119076404</f>
        <v>1.19076404E8</v>
      </c>
      <c r="W220" s="32" t="str">
        <f>"－"</f>
        <v>－</v>
      </c>
      <c r="X220" s="36" t="n">
        <f>19</f>
        <v>19.0</v>
      </c>
    </row>
    <row r="221">
      <c r="A221" s="27" t="s">
        <v>42</v>
      </c>
      <c r="B221" s="27" t="s">
        <v>713</v>
      </c>
      <c r="C221" s="27" t="s">
        <v>714</v>
      </c>
      <c r="D221" s="27" t="s">
        <v>715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1.0</v>
      </c>
      <c r="K221" s="33" t="n">
        <f>1004</f>
        <v>1004.0</v>
      </c>
      <c r="L221" s="34" t="s">
        <v>48</v>
      </c>
      <c r="M221" s="33" t="n">
        <f>1023</f>
        <v>1023.0</v>
      </c>
      <c r="N221" s="34" t="s">
        <v>77</v>
      </c>
      <c r="O221" s="33" t="n">
        <f>991</f>
        <v>991.0</v>
      </c>
      <c r="P221" s="34" t="s">
        <v>159</v>
      </c>
      <c r="Q221" s="33" t="n">
        <f>999</f>
        <v>999.0</v>
      </c>
      <c r="R221" s="34" t="s">
        <v>50</v>
      </c>
      <c r="S221" s="35" t="n">
        <f>1006.26</f>
        <v>1006.26</v>
      </c>
      <c r="T221" s="32" t="n">
        <f>131249</f>
        <v>131249.0</v>
      </c>
      <c r="U221" s="32" t="str">
        <f>"－"</f>
        <v>－</v>
      </c>
      <c r="V221" s="32" t="n">
        <f>132086690</f>
        <v>1.3208669E8</v>
      </c>
      <c r="W221" s="32" t="str">
        <f>"－"</f>
        <v>－</v>
      </c>
      <c r="X221" s="36" t="n">
        <f>19</f>
        <v>19.0</v>
      </c>
    </row>
    <row r="222">
      <c r="A222" s="27" t="s">
        <v>42</v>
      </c>
      <c r="B222" s="27" t="s">
        <v>716</v>
      </c>
      <c r="C222" s="27" t="s">
        <v>717</v>
      </c>
      <c r="D222" s="27" t="s">
        <v>718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1.0</v>
      </c>
      <c r="K222" s="33" t="n">
        <f>993</f>
        <v>993.0</v>
      </c>
      <c r="L222" s="34" t="s">
        <v>48</v>
      </c>
      <c r="M222" s="33" t="n">
        <f>1019</f>
        <v>1019.0</v>
      </c>
      <c r="N222" s="34" t="s">
        <v>49</v>
      </c>
      <c r="O222" s="33" t="n">
        <f>977</f>
        <v>977.0</v>
      </c>
      <c r="P222" s="34" t="s">
        <v>48</v>
      </c>
      <c r="Q222" s="33" t="n">
        <f>1003</f>
        <v>1003.0</v>
      </c>
      <c r="R222" s="34" t="s">
        <v>50</v>
      </c>
      <c r="S222" s="35" t="n">
        <f>999</f>
        <v>999.0</v>
      </c>
      <c r="T222" s="32" t="n">
        <f>99951</f>
        <v>99951.0</v>
      </c>
      <c r="U222" s="32" t="str">
        <f>"－"</f>
        <v>－</v>
      </c>
      <c r="V222" s="32" t="n">
        <f>100855792</f>
        <v>1.00855792E8</v>
      </c>
      <c r="W222" s="32" t="str">
        <f>"－"</f>
        <v>－</v>
      </c>
      <c r="X222" s="36" t="n">
        <f>19</f>
        <v>19.0</v>
      </c>
    </row>
    <row r="223">
      <c r="A223" s="27" t="s">
        <v>42</v>
      </c>
      <c r="B223" s="27" t="s">
        <v>719</v>
      </c>
      <c r="C223" s="27" t="s">
        <v>720</v>
      </c>
      <c r="D223" s="27" t="s">
        <v>721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1.0</v>
      </c>
      <c r="K223" s="33" t="n">
        <f>1018</f>
        <v>1018.0</v>
      </c>
      <c r="L223" s="34" t="s">
        <v>48</v>
      </c>
      <c r="M223" s="33" t="n">
        <f>1045</f>
        <v>1045.0</v>
      </c>
      <c r="N223" s="34" t="s">
        <v>49</v>
      </c>
      <c r="O223" s="33" t="n">
        <f>1008</f>
        <v>1008.0</v>
      </c>
      <c r="P223" s="34" t="s">
        <v>48</v>
      </c>
      <c r="Q223" s="33" t="n">
        <f>1030</f>
        <v>1030.0</v>
      </c>
      <c r="R223" s="34" t="s">
        <v>50</v>
      </c>
      <c r="S223" s="35" t="n">
        <f>1025.47</f>
        <v>1025.47</v>
      </c>
      <c r="T223" s="32" t="n">
        <f>94829</f>
        <v>94829.0</v>
      </c>
      <c r="U223" s="32" t="str">
        <f>"－"</f>
        <v>－</v>
      </c>
      <c r="V223" s="32" t="n">
        <f>97618650</f>
        <v>9.761865E7</v>
      </c>
      <c r="W223" s="32" t="str">
        <f>"－"</f>
        <v>－</v>
      </c>
      <c r="X223" s="36" t="n">
        <f>19</f>
        <v>19.0</v>
      </c>
    </row>
    <row r="224">
      <c r="A224" s="27" t="s">
        <v>42</v>
      </c>
      <c r="B224" s="27" t="s">
        <v>722</v>
      </c>
      <c r="C224" s="27" t="s">
        <v>723</v>
      </c>
      <c r="D224" s="27" t="s">
        <v>724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2268</f>
        <v>2268.0</v>
      </c>
      <c r="L224" s="34" t="s">
        <v>48</v>
      </c>
      <c r="M224" s="33" t="n">
        <f>2467</f>
        <v>2467.0</v>
      </c>
      <c r="N224" s="34" t="s">
        <v>50</v>
      </c>
      <c r="O224" s="33" t="n">
        <f>2268</f>
        <v>2268.0</v>
      </c>
      <c r="P224" s="34" t="s">
        <v>48</v>
      </c>
      <c r="Q224" s="33" t="n">
        <f>2467</f>
        <v>2467.0</v>
      </c>
      <c r="R224" s="34" t="s">
        <v>50</v>
      </c>
      <c r="S224" s="35" t="n">
        <f>2402.03</f>
        <v>2402.03</v>
      </c>
      <c r="T224" s="32" t="n">
        <f>18950</f>
        <v>18950.0</v>
      </c>
      <c r="U224" s="32" t="str">
        <f>"－"</f>
        <v>－</v>
      </c>
      <c r="V224" s="32" t="n">
        <f>45497115</f>
        <v>4.5497115E7</v>
      </c>
      <c r="W224" s="32" t="str">
        <f>"－"</f>
        <v>－</v>
      </c>
      <c r="X224" s="36" t="n">
        <f>19</f>
        <v>19.0</v>
      </c>
    </row>
    <row r="225">
      <c r="A225" s="27" t="s">
        <v>42</v>
      </c>
      <c r="B225" s="27" t="s">
        <v>725</v>
      </c>
      <c r="C225" s="27" t="s">
        <v>726</v>
      </c>
      <c r="D225" s="27" t="s">
        <v>727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1.0</v>
      </c>
      <c r="K225" s="33" t="n">
        <f>1103</f>
        <v>1103.0</v>
      </c>
      <c r="L225" s="34" t="s">
        <v>48</v>
      </c>
      <c r="M225" s="33" t="n">
        <f>1155</f>
        <v>1155.0</v>
      </c>
      <c r="N225" s="34" t="s">
        <v>50</v>
      </c>
      <c r="O225" s="33" t="n">
        <f>1100</f>
        <v>1100.0</v>
      </c>
      <c r="P225" s="34" t="s">
        <v>48</v>
      </c>
      <c r="Q225" s="33" t="n">
        <f>1153</f>
        <v>1153.0</v>
      </c>
      <c r="R225" s="34" t="s">
        <v>50</v>
      </c>
      <c r="S225" s="35" t="n">
        <f>1129.53</f>
        <v>1129.53</v>
      </c>
      <c r="T225" s="32" t="n">
        <f>752896</f>
        <v>752896.0</v>
      </c>
      <c r="U225" s="32" t="n">
        <f>250</f>
        <v>250.0</v>
      </c>
      <c r="V225" s="32" t="n">
        <f>848242712</f>
        <v>8.48242712E8</v>
      </c>
      <c r="W225" s="32" t="n">
        <f>260192</f>
        <v>260192.0</v>
      </c>
      <c r="X225" s="36" t="n">
        <f>19</f>
        <v>19.0</v>
      </c>
    </row>
    <row r="226">
      <c r="A226" s="27" t="s">
        <v>42</v>
      </c>
      <c r="B226" s="27" t="s">
        <v>728</v>
      </c>
      <c r="C226" s="27" t="s">
        <v>729</v>
      </c>
      <c r="D226" s="27" t="s">
        <v>730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1.0</v>
      </c>
      <c r="K226" s="33" t="n">
        <f>61860</f>
        <v>61860.0</v>
      </c>
      <c r="L226" s="34" t="s">
        <v>48</v>
      </c>
      <c r="M226" s="33" t="n">
        <f>67360</f>
        <v>67360.0</v>
      </c>
      <c r="N226" s="34" t="s">
        <v>214</v>
      </c>
      <c r="O226" s="33" t="n">
        <f>61420</f>
        <v>61420.0</v>
      </c>
      <c r="P226" s="34" t="s">
        <v>208</v>
      </c>
      <c r="Q226" s="33" t="n">
        <f>66640</f>
        <v>66640.0</v>
      </c>
      <c r="R226" s="34" t="s">
        <v>50</v>
      </c>
      <c r="S226" s="35" t="n">
        <f>64312.63</f>
        <v>64312.63</v>
      </c>
      <c r="T226" s="32" t="n">
        <f>36353</f>
        <v>36353.0</v>
      </c>
      <c r="U226" s="32" t="str">
        <f>"－"</f>
        <v>－</v>
      </c>
      <c r="V226" s="32" t="n">
        <f>2353860980</f>
        <v>2.35386098E9</v>
      </c>
      <c r="W226" s="32" t="str">
        <f>"－"</f>
        <v>－</v>
      </c>
      <c r="X226" s="36" t="n">
        <f>19</f>
        <v>19.0</v>
      </c>
    </row>
    <row r="227">
      <c r="A227" s="27" t="s">
        <v>42</v>
      </c>
      <c r="B227" s="27" t="s">
        <v>731</v>
      </c>
      <c r="C227" s="27" t="s">
        <v>732</v>
      </c>
      <c r="D227" s="27" t="s">
        <v>733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1.0</v>
      </c>
      <c r="K227" s="33" t="n">
        <f>8385</f>
        <v>8385.0</v>
      </c>
      <c r="L227" s="34" t="s">
        <v>48</v>
      </c>
      <c r="M227" s="33" t="n">
        <f>8462</f>
        <v>8462.0</v>
      </c>
      <c r="N227" s="34" t="s">
        <v>48</v>
      </c>
      <c r="O227" s="33" t="n">
        <f>8020</f>
        <v>8020.0</v>
      </c>
      <c r="P227" s="34" t="s">
        <v>214</v>
      </c>
      <c r="Q227" s="33" t="n">
        <f>8060</f>
        <v>8060.0</v>
      </c>
      <c r="R227" s="34" t="s">
        <v>50</v>
      </c>
      <c r="S227" s="35" t="n">
        <f>8226.89</f>
        <v>8226.89</v>
      </c>
      <c r="T227" s="32" t="n">
        <f>732847</f>
        <v>732847.0</v>
      </c>
      <c r="U227" s="32" t="n">
        <f>684310</f>
        <v>684310.0</v>
      </c>
      <c r="V227" s="32" t="n">
        <f>6034675814</f>
        <v>6.034675814E9</v>
      </c>
      <c r="W227" s="32" t="n">
        <f>5634555510</f>
        <v>5.63455551E9</v>
      </c>
      <c r="X227" s="36" t="n">
        <f>19</f>
        <v>19.0</v>
      </c>
    </row>
    <row r="228">
      <c r="A228" s="27" t="s">
        <v>42</v>
      </c>
      <c r="B228" s="27" t="s">
        <v>734</v>
      </c>
      <c r="C228" s="27" t="s">
        <v>735</v>
      </c>
      <c r="D228" s="27" t="s">
        <v>736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10.0</v>
      </c>
      <c r="K228" s="33" t="n">
        <f>13270</f>
        <v>13270.0</v>
      </c>
      <c r="L228" s="34" t="s">
        <v>48</v>
      </c>
      <c r="M228" s="33" t="n">
        <f>14505</f>
        <v>14505.0</v>
      </c>
      <c r="N228" s="34" t="s">
        <v>214</v>
      </c>
      <c r="O228" s="33" t="n">
        <f>13185</f>
        <v>13185.0</v>
      </c>
      <c r="P228" s="34" t="s">
        <v>208</v>
      </c>
      <c r="Q228" s="33" t="n">
        <f>14315</f>
        <v>14315.0</v>
      </c>
      <c r="R228" s="34" t="s">
        <v>50</v>
      </c>
      <c r="S228" s="35" t="n">
        <f>13798.68</f>
        <v>13798.68</v>
      </c>
      <c r="T228" s="32" t="n">
        <f>40210</f>
        <v>40210.0</v>
      </c>
      <c r="U228" s="32" t="n">
        <f>190</f>
        <v>190.0</v>
      </c>
      <c r="V228" s="32" t="n">
        <f>553908600</f>
        <v>5.539086E8</v>
      </c>
      <c r="W228" s="32" t="n">
        <f>2526950</f>
        <v>2526950.0</v>
      </c>
      <c r="X228" s="36" t="n">
        <f>19</f>
        <v>19.0</v>
      </c>
    </row>
    <row r="229">
      <c r="A229" s="27" t="s">
        <v>42</v>
      </c>
      <c r="B229" s="27" t="s">
        <v>737</v>
      </c>
      <c r="C229" s="27" t="s">
        <v>738</v>
      </c>
      <c r="D229" s="27" t="s">
        <v>739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10.0</v>
      </c>
      <c r="K229" s="33" t="n">
        <f>8520</f>
        <v>8520.0</v>
      </c>
      <c r="L229" s="34" t="s">
        <v>48</v>
      </c>
      <c r="M229" s="33" t="n">
        <f>8520</f>
        <v>8520.0</v>
      </c>
      <c r="N229" s="34" t="s">
        <v>48</v>
      </c>
      <c r="O229" s="33" t="n">
        <f>8071</f>
        <v>8071.0</v>
      </c>
      <c r="P229" s="34" t="s">
        <v>214</v>
      </c>
      <c r="Q229" s="33" t="n">
        <f>8112</f>
        <v>8112.0</v>
      </c>
      <c r="R229" s="34" t="s">
        <v>50</v>
      </c>
      <c r="S229" s="35" t="n">
        <f>8268.58</f>
        <v>8268.58</v>
      </c>
      <c r="T229" s="32" t="n">
        <f>366460</f>
        <v>366460.0</v>
      </c>
      <c r="U229" s="32" t="n">
        <f>355000</f>
        <v>355000.0</v>
      </c>
      <c r="V229" s="32" t="n">
        <f>3079978656</f>
        <v>3.079978656E9</v>
      </c>
      <c r="W229" s="32" t="n">
        <f>2983866626</f>
        <v>2.983866626E9</v>
      </c>
      <c r="X229" s="36" t="n">
        <f>19</f>
        <v>19.0</v>
      </c>
    </row>
    <row r="230">
      <c r="A230" s="27" t="s">
        <v>42</v>
      </c>
      <c r="B230" s="27" t="s">
        <v>740</v>
      </c>
      <c r="C230" s="27" t="s">
        <v>741</v>
      </c>
      <c r="D230" s="27" t="s">
        <v>742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10.0</v>
      </c>
      <c r="K230" s="33" t="n">
        <f>597.3</f>
        <v>597.3</v>
      </c>
      <c r="L230" s="34" t="s">
        <v>48</v>
      </c>
      <c r="M230" s="33" t="n">
        <f>634.5</f>
        <v>634.5</v>
      </c>
      <c r="N230" s="34" t="s">
        <v>50</v>
      </c>
      <c r="O230" s="33" t="n">
        <f>596.2</f>
        <v>596.2</v>
      </c>
      <c r="P230" s="34" t="s">
        <v>48</v>
      </c>
      <c r="Q230" s="33" t="n">
        <f>633.8</f>
        <v>633.8</v>
      </c>
      <c r="R230" s="34" t="s">
        <v>50</v>
      </c>
      <c r="S230" s="35" t="n">
        <f>616.66</f>
        <v>616.66</v>
      </c>
      <c r="T230" s="32" t="n">
        <f>1376720</f>
        <v>1376720.0</v>
      </c>
      <c r="U230" s="32" t="str">
        <f>"－"</f>
        <v>－</v>
      </c>
      <c r="V230" s="32" t="n">
        <f>866717234</f>
        <v>8.66717234E8</v>
      </c>
      <c r="W230" s="32" t="str">
        <f>"－"</f>
        <v>－</v>
      </c>
      <c r="X230" s="36" t="n">
        <f>19</f>
        <v>19.0</v>
      </c>
    </row>
    <row r="231">
      <c r="A231" s="27" t="s">
        <v>42</v>
      </c>
      <c r="B231" s="27" t="s">
        <v>743</v>
      </c>
      <c r="C231" s="27" t="s">
        <v>744</v>
      </c>
      <c r="D231" s="27" t="s">
        <v>745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545.7</f>
        <v>545.7</v>
      </c>
      <c r="L231" s="34" t="s">
        <v>48</v>
      </c>
      <c r="M231" s="33" t="n">
        <f>554.8</f>
        <v>554.8</v>
      </c>
      <c r="N231" s="34" t="s">
        <v>50</v>
      </c>
      <c r="O231" s="33" t="n">
        <f>537.1</f>
        <v>537.1</v>
      </c>
      <c r="P231" s="34" t="s">
        <v>61</v>
      </c>
      <c r="Q231" s="33" t="n">
        <f>554.3</f>
        <v>554.3</v>
      </c>
      <c r="R231" s="34" t="s">
        <v>50</v>
      </c>
      <c r="S231" s="35" t="n">
        <f>544.56</f>
        <v>544.56</v>
      </c>
      <c r="T231" s="32" t="n">
        <f>811130</f>
        <v>811130.0</v>
      </c>
      <c r="U231" s="32" t="n">
        <f>731000</f>
        <v>731000.0</v>
      </c>
      <c r="V231" s="32" t="n">
        <f>443674410</f>
        <v>4.4367441E8</v>
      </c>
      <c r="W231" s="32" t="n">
        <f>399988872</f>
        <v>3.99988872E8</v>
      </c>
      <c r="X231" s="36" t="n">
        <f>19</f>
        <v>19.0</v>
      </c>
    </row>
    <row r="232">
      <c r="A232" s="27" t="s">
        <v>42</v>
      </c>
      <c r="B232" s="27" t="s">
        <v>746</v>
      </c>
      <c r="C232" s="27" t="s">
        <v>747</v>
      </c>
      <c r="D232" s="27" t="s">
        <v>748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1.0</v>
      </c>
      <c r="K232" s="33" t="n">
        <f>1354</f>
        <v>1354.0</v>
      </c>
      <c r="L232" s="34" t="s">
        <v>48</v>
      </c>
      <c r="M232" s="33" t="n">
        <f>1596</f>
        <v>1596.0</v>
      </c>
      <c r="N232" s="34" t="s">
        <v>159</v>
      </c>
      <c r="O232" s="33" t="n">
        <f>1348</f>
        <v>1348.0</v>
      </c>
      <c r="P232" s="34" t="s">
        <v>48</v>
      </c>
      <c r="Q232" s="33" t="n">
        <f>1513</f>
        <v>1513.0</v>
      </c>
      <c r="R232" s="34" t="s">
        <v>50</v>
      </c>
      <c r="S232" s="35" t="n">
        <f>1473.05</f>
        <v>1473.05</v>
      </c>
      <c r="T232" s="32" t="n">
        <f>6783849</f>
        <v>6783849.0</v>
      </c>
      <c r="U232" s="32" t="n">
        <f>2335128</f>
        <v>2335128.0</v>
      </c>
      <c r="V232" s="32" t="n">
        <f>10139599065</f>
        <v>1.0139599065E10</v>
      </c>
      <c r="W232" s="32" t="n">
        <f>3516107054</f>
        <v>3.516107054E9</v>
      </c>
      <c r="X232" s="36" t="n">
        <f>19</f>
        <v>19.0</v>
      </c>
    </row>
    <row r="233">
      <c r="A233" s="27" t="s">
        <v>42</v>
      </c>
      <c r="B233" s="27" t="s">
        <v>749</v>
      </c>
      <c r="C233" s="27" t="s">
        <v>750</v>
      </c>
      <c r="D233" s="27" t="s">
        <v>751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1.0</v>
      </c>
      <c r="K233" s="33" t="n">
        <f>1546</f>
        <v>1546.0</v>
      </c>
      <c r="L233" s="34" t="s">
        <v>48</v>
      </c>
      <c r="M233" s="33" t="n">
        <f>1730</f>
        <v>1730.0</v>
      </c>
      <c r="N233" s="34" t="s">
        <v>159</v>
      </c>
      <c r="O233" s="33" t="n">
        <f>1521</f>
        <v>1521.0</v>
      </c>
      <c r="P233" s="34" t="s">
        <v>48</v>
      </c>
      <c r="Q233" s="33" t="n">
        <f>1679</f>
        <v>1679.0</v>
      </c>
      <c r="R233" s="34" t="s">
        <v>50</v>
      </c>
      <c r="S233" s="35" t="n">
        <f>1648.11</f>
        <v>1648.11</v>
      </c>
      <c r="T233" s="32" t="n">
        <f>5021973</f>
        <v>5021973.0</v>
      </c>
      <c r="U233" s="32" t="n">
        <f>291094</f>
        <v>291094.0</v>
      </c>
      <c r="V233" s="32" t="n">
        <f>8351531680</f>
        <v>8.35153168E9</v>
      </c>
      <c r="W233" s="32" t="n">
        <f>500760378</f>
        <v>5.00760378E8</v>
      </c>
      <c r="X233" s="36" t="n">
        <f>19</f>
        <v>19.0</v>
      </c>
    </row>
    <row r="234">
      <c r="A234" s="27" t="s">
        <v>42</v>
      </c>
      <c r="B234" s="27" t="s">
        <v>752</v>
      </c>
      <c r="C234" s="27" t="s">
        <v>753</v>
      </c>
      <c r="D234" s="27" t="s">
        <v>754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10.0</v>
      </c>
      <c r="K234" s="33" t="n">
        <f>819</f>
        <v>819.0</v>
      </c>
      <c r="L234" s="34" t="s">
        <v>48</v>
      </c>
      <c r="M234" s="33" t="n">
        <f>819.4</f>
        <v>819.4</v>
      </c>
      <c r="N234" s="34" t="s">
        <v>60</v>
      </c>
      <c r="O234" s="33" t="n">
        <f>789.4</f>
        <v>789.4</v>
      </c>
      <c r="P234" s="34" t="s">
        <v>159</v>
      </c>
      <c r="Q234" s="33" t="n">
        <f>794.7</f>
        <v>794.7</v>
      </c>
      <c r="R234" s="34" t="s">
        <v>364</v>
      </c>
      <c r="S234" s="35" t="n">
        <f>797.32</f>
        <v>797.32</v>
      </c>
      <c r="T234" s="32" t="n">
        <f>146380</f>
        <v>146380.0</v>
      </c>
      <c r="U234" s="32" t="str">
        <f>"－"</f>
        <v>－</v>
      </c>
      <c r="V234" s="32" t="n">
        <f>117108297</f>
        <v>1.17108297E8</v>
      </c>
      <c r="W234" s="32" t="str">
        <f>"－"</f>
        <v>－</v>
      </c>
      <c r="X234" s="36" t="n">
        <f>15</f>
        <v>15.0</v>
      </c>
    </row>
    <row r="235">
      <c r="A235" s="27" t="s">
        <v>42</v>
      </c>
      <c r="B235" s="27" t="s">
        <v>755</v>
      </c>
      <c r="C235" s="27" t="s">
        <v>756</v>
      </c>
      <c r="D235" s="27" t="s">
        <v>757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10.0</v>
      </c>
      <c r="K235" s="33" t="n">
        <f>824</f>
        <v>824.0</v>
      </c>
      <c r="L235" s="34" t="s">
        <v>48</v>
      </c>
      <c r="M235" s="33" t="n">
        <f>846.9</f>
        <v>846.9</v>
      </c>
      <c r="N235" s="34" t="s">
        <v>60</v>
      </c>
      <c r="O235" s="33" t="n">
        <f>791.8</f>
        <v>791.8</v>
      </c>
      <c r="P235" s="34" t="s">
        <v>159</v>
      </c>
      <c r="Q235" s="33" t="n">
        <f>803</f>
        <v>803.0</v>
      </c>
      <c r="R235" s="34" t="s">
        <v>50</v>
      </c>
      <c r="S235" s="35" t="n">
        <f>801.81</f>
        <v>801.81</v>
      </c>
      <c r="T235" s="32" t="n">
        <f>2610</f>
        <v>2610.0</v>
      </c>
      <c r="U235" s="32" t="str">
        <f>"－"</f>
        <v>－</v>
      </c>
      <c r="V235" s="32" t="n">
        <f>2097294</f>
        <v>2097294.0</v>
      </c>
      <c r="W235" s="32" t="str">
        <f>"－"</f>
        <v>－</v>
      </c>
      <c r="X235" s="36" t="n">
        <f>10</f>
        <v>10.0</v>
      </c>
    </row>
    <row r="236">
      <c r="A236" s="27" t="s">
        <v>42</v>
      </c>
      <c r="B236" s="27" t="s">
        <v>758</v>
      </c>
      <c r="C236" s="27" t="s">
        <v>759</v>
      </c>
      <c r="D236" s="27" t="s">
        <v>760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1.0</v>
      </c>
      <c r="K236" s="33" t="n">
        <f>12635</f>
        <v>12635.0</v>
      </c>
      <c r="L236" s="34" t="s">
        <v>48</v>
      </c>
      <c r="M236" s="33" t="n">
        <f>13635</f>
        <v>13635.0</v>
      </c>
      <c r="N236" s="34" t="s">
        <v>214</v>
      </c>
      <c r="O236" s="33" t="n">
        <f>12615</f>
        <v>12615.0</v>
      </c>
      <c r="P236" s="34" t="s">
        <v>48</v>
      </c>
      <c r="Q236" s="33" t="n">
        <f>13595</f>
        <v>13595.0</v>
      </c>
      <c r="R236" s="34" t="s">
        <v>50</v>
      </c>
      <c r="S236" s="35" t="n">
        <f>13224.47</f>
        <v>13224.47</v>
      </c>
      <c r="T236" s="32" t="n">
        <f>170443</f>
        <v>170443.0</v>
      </c>
      <c r="U236" s="32" t="n">
        <f>1</f>
        <v>1.0</v>
      </c>
      <c r="V236" s="32" t="n">
        <f>2268053125</f>
        <v>2.268053125E9</v>
      </c>
      <c r="W236" s="32" t="n">
        <f>13055</f>
        <v>13055.0</v>
      </c>
      <c r="X236" s="36" t="n">
        <f>19</f>
        <v>19.0</v>
      </c>
    </row>
    <row r="237">
      <c r="A237" s="27" t="s">
        <v>42</v>
      </c>
      <c r="B237" s="27" t="s">
        <v>761</v>
      </c>
      <c r="C237" s="27" t="s">
        <v>762</v>
      </c>
      <c r="D237" s="27" t="s">
        <v>763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1.0</v>
      </c>
      <c r="K237" s="33" t="n">
        <f>38000</f>
        <v>38000.0</v>
      </c>
      <c r="L237" s="34" t="s">
        <v>48</v>
      </c>
      <c r="M237" s="33" t="n">
        <f>39650</f>
        <v>39650.0</v>
      </c>
      <c r="N237" s="34" t="s">
        <v>214</v>
      </c>
      <c r="O237" s="33" t="n">
        <f>37800</f>
        <v>37800.0</v>
      </c>
      <c r="P237" s="34" t="s">
        <v>208</v>
      </c>
      <c r="Q237" s="33" t="n">
        <f>39430</f>
        <v>39430.0</v>
      </c>
      <c r="R237" s="34" t="s">
        <v>50</v>
      </c>
      <c r="S237" s="35" t="n">
        <f>38665.56</f>
        <v>38665.56</v>
      </c>
      <c r="T237" s="32" t="n">
        <f>88393</f>
        <v>88393.0</v>
      </c>
      <c r="U237" s="32" t="n">
        <f>79583</f>
        <v>79583.0</v>
      </c>
      <c r="V237" s="32" t="n">
        <f>3420652894</f>
        <v>3.420652894E9</v>
      </c>
      <c r="W237" s="32" t="n">
        <f>3083284104</f>
        <v>3.083284104E9</v>
      </c>
      <c r="X237" s="36" t="n">
        <f>18</f>
        <v>18.0</v>
      </c>
    </row>
    <row r="238">
      <c r="A238" s="27" t="s">
        <v>42</v>
      </c>
      <c r="B238" s="27" t="s">
        <v>764</v>
      </c>
      <c r="C238" s="27" t="s">
        <v>765</v>
      </c>
      <c r="D238" s="27" t="s">
        <v>766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1.0</v>
      </c>
      <c r="K238" s="33" t="n">
        <f>25900</f>
        <v>25900.0</v>
      </c>
      <c r="L238" s="34" t="s">
        <v>48</v>
      </c>
      <c r="M238" s="33" t="n">
        <f>26100</f>
        <v>26100.0</v>
      </c>
      <c r="N238" s="34" t="s">
        <v>208</v>
      </c>
      <c r="O238" s="33" t="n">
        <f>23700</f>
        <v>23700.0</v>
      </c>
      <c r="P238" s="34" t="s">
        <v>214</v>
      </c>
      <c r="Q238" s="33" t="n">
        <f>23945</f>
        <v>23945.0</v>
      </c>
      <c r="R238" s="34" t="s">
        <v>50</v>
      </c>
      <c r="S238" s="35" t="n">
        <f>24911.32</f>
        <v>24911.32</v>
      </c>
      <c r="T238" s="32" t="n">
        <f>18266</f>
        <v>18266.0</v>
      </c>
      <c r="U238" s="32" t="str">
        <f>"－"</f>
        <v>－</v>
      </c>
      <c r="V238" s="32" t="n">
        <f>455547785</f>
        <v>4.55547785E8</v>
      </c>
      <c r="W238" s="32" t="str">
        <f>"－"</f>
        <v>－</v>
      </c>
      <c r="X238" s="36" t="n">
        <f>19</f>
        <v>19.0</v>
      </c>
    </row>
    <row r="239">
      <c r="A239" s="27" t="s">
        <v>42</v>
      </c>
      <c r="B239" s="27" t="s">
        <v>767</v>
      </c>
      <c r="C239" s="27" t="s">
        <v>768</v>
      </c>
      <c r="D239" s="27" t="s">
        <v>769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10.0</v>
      </c>
      <c r="K239" s="33" t="n">
        <f>210.6</f>
        <v>210.6</v>
      </c>
      <c r="L239" s="34" t="s">
        <v>48</v>
      </c>
      <c r="M239" s="33" t="n">
        <f>261.3</f>
        <v>261.3</v>
      </c>
      <c r="N239" s="34" t="s">
        <v>88</v>
      </c>
      <c r="O239" s="33" t="n">
        <f>208</f>
        <v>208.0</v>
      </c>
      <c r="P239" s="34" t="s">
        <v>48</v>
      </c>
      <c r="Q239" s="33" t="n">
        <f>224.8</f>
        <v>224.8</v>
      </c>
      <c r="R239" s="34" t="s">
        <v>50</v>
      </c>
      <c r="S239" s="35" t="n">
        <f>220.92</f>
        <v>220.92</v>
      </c>
      <c r="T239" s="32" t="n">
        <f>118060</f>
        <v>118060.0</v>
      </c>
      <c r="U239" s="32" t="str">
        <f>"－"</f>
        <v>－</v>
      </c>
      <c r="V239" s="32" t="n">
        <f>26411482</f>
        <v>2.6411482E7</v>
      </c>
      <c r="W239" s="32" t="str">
        <f>"－"</f>
        <v>－</v>
      </c>
      <c r="X239" s="36" t="n">
        <f>19</f>
        <v>19.0</v>
      </c>
    </row>
    <row r="240">
      <c r="A240" s="27" t="s">
        <v>42</v>
      </c>
      <c r="B240" s="27" t="s">
        <v>770</v>
      </c>
      <c r="C240" s="27" t="s">
        <v>771</v>
      </c>
      <c r="D240" s="27" t="s">
        <v>772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10.0</v>
      </c>
      <c r="K240" s="33" t="n">
        <f>750</f>
        <v>750.0</v>
      </c>
      <c r="L240" s="34" t="s">
        <v>48</v>
      </c>
      <c r="M240" s="33" t="n">
        <f>757.1</f>
        <v>757.1</v>
      </c>
      <c r="N240" s="34" t="s">
        <v>159</v>
      </c>
      <c r="O240" s="33" t="n">
        <f>738.9</f>
        <v>738.9</v>
      </c>
      <c r="P240" s="34" t="s">
        <v>218</v>
      </c>
      <c r="Q240" s="33" t="n">
        <f>753.5</f>
        <v>753.5</v>
      </c>
      <c r="R240" s="34" t="s">
        <v>50</v>
      </c>
      <c r="S240" s="35" t="n">
        <f>748.06</f>
        <v>748.06</v>
      </c>
      <c r="T240" s="32" t="n">
        <f>1404820</f>
        <v>1404820.0</v>
      </c>
      <c r="U240" s="32" t="n">
        <f>806100</f>
        <v>806100.0</v>
      </c>
      <c r="V240" s="32" t="n">
        <f>1052036628</f>
        <v>1.052036628E9</v>
      </c>
      <c r="W240" s="32" t="n">
        <f>604412320</f>
        <v>6.0441232E8</v>
      </c>
      <c r="X240" s="36" t="n">
        <f>19</f>
        <v>19.0</v>
      </c>
    </row>
    <row r="241">
      <c r="A241" s="27" t="s">
        <v>42</v>
      </c>
      <c r="B241" s="27" t="s">
        <v>773</v>
      </c>
      <c r="C241" s="27" t="s">
        <v>774</v>
      </c>
      <c r="D241" s="27" t="s">
        <v>775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1.0</v>
      </c>
      <c r="K241" s="33" t="n">
        <f>1021</f>
        <v>1021.0</v>
      </c>
      <c r="L241" s="34" t="s">
        <v>48</v>
      </c>
      <c r="M241" s="33" t="n">
        <f>1079</f>
        <v>1079.0</v>
      </c>
      <c r="N241" s="34" t="s">
        <v>50</v>
      </c>
      <c r="O241" s="33" t="n">
        <f>1018</f>
        <v>1018.0</v>
      </c>
      <c r="P241" s="34" t="s">
        <v>48</v>
      </c>
      <c r="Q241" s="33" t="n">
        <f>1073</f>
        <v>1073.0</v>
      </c>
      <c r="R241" s="34" t="s">
        <v>50</v>
      </c>
      <c r="S241" s="35" t="n">
        <f>1052.21</f>
        <v>1052.21</v>
      </c>
      <c r="T241" s="32" t="n">
        <f>236076</f>
        <v>236076.0</v>
      </c>
      <c r="U241" s="32" t="str">
        <f>"－"</f>
        <v>－</v>
      </c>
      <c r="V241" s="32" t="n">
        <f>247770733</f>
        <v>2.47770733E8</v>
      </c>
      <c r="W241" s="32" t="str">
        <f>"－"</f>
        <v>－</v>
      </c>
      <c r="X241" s="36" t="n">
        <f>19</f>
        <v>19.0</v>
      </c>
    </row>
    <row r="242">
      <c r="A242" s="27" t="s">
        <v>42</v>
      </c>
      <c r="B242" s="27" t="s">
        <v>776</v>
      </c>
      <c r="C242" s="27" t="s">
        <v>777</v>
      </c>
      <c r="D242" s="27" t="s">
        <v>778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1.0</v>
      </c>
      <c r="K242" s="33" t="n">
        <f>1052</f>
        <v>1052.0</v>
      </c>
      <c r="L242" s="34" t="s">
        <v>48</v>
      </c>
      <c r="M242" s="33" t="n">
        <f>1098</f>
        <v>1098.0</v>
      </c>
      <c r="N242" s="34" t="s">
        <v>214</v>
      </c>
      <c r="O242" s="33" t="n">
        <f>1048</f>
        <v>1048.0</v>
      </c>
      <c r="P242" s="34" t="s">
        <v>48</v>
      </c>
      <c r="Q242" s="33" t="n">
        <f>1093</f>
        <v>1093.0</v>
      </c>
      <c r="R242" s="34" t="s">
        <v>50</v>
      </c>
      <c r="S242" s="35" t="n">
        <f>1074.95</f>
        <v>1074.95</v>
      </c>
      <c r="T242" s="32" t="n">
        <f>197581</f>
        <v>197581.0</v>
      </c>
      <c r="U242" s="32" t="str">
        <f>"－"</f>
        <v>－</v>
      </c>
      <c r="V242" s="32" t="n">
        <f>212072810</f>
        <v>2.1207281E8</v>
      </c>
      <c r="W242" s="32" t="str">
        <f>"－"</f>
        <v>－</v>
      </c>
      <c r="X242" s="36" t="n">
        <f>19</f>
        <v>19.0</v>
      </c>
    </row>
    <row r="243">
      <c r="A243" s="27" t="s">
        <v>42</v>
      </c>
      <c r="B243" s="27" t="s">
        <v>779</v>
      </c>
      <c r="C243" s="27" t="s">
        <v>780</v>
      </c>
      <c r="D243" s="27" t="s">
        <v>781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1.0</v>
      </c>
      <c r="K243" s="33" t="n">
        <f>781</f>
        <v>781.0</v>
      </c>
      <c r="L243" s="34" t="s">
        <v>48</v>
      </c>
      <c r="M243" s="33" t="n">
        <f>781</f>
        <v>781.0</v>
      </c>
      <c r="N243" s="34" t="s">
        <v>48</v>
      </c>
      <c r="O243" s="33" t="n">
        <f>668</f>
        <v>668.0</v>
      </c>
      <c r="P243" s="34" t="s">
        <v>50</v>
      </c>
      <c r="Q243" s="33" t="n">
        <f>677</f>
        <v>677.0</v>
      </c>
      <c r="R243" s="34" t="s">
        <v>50</v>
      </c>
      <c r="S243" s="35" t="n">
        <f>734.26</f>
        <v>734.26</v>
      </c>
      <c r="T243" s="32" t="n">
        <f>913311</f>
        <v>913311.0</v>
      </c>
      <c r="U243" s="32" t="n">
        <f>1</f>
        <v>1.0</v>
      </c>
      <c r="V243" s="32" t="n">
        <f>669783056</f>
        <v>6.69783056E8</v>
      </c>
      <c r="W243" s="32" t="n">
        <f>668</f>
        <v>668.0</v>
      </c>
      <c r="X243" s="36" t="n">
        <f>19</f>
        <v>19.0</v>
      </c>
    </row>
    <row r="244">
      <c r="A244" s="27" t="s">
        <v>42</v>
      </c>
      <c r="B244" s="27" t="s">
        <v>782</v>
      </c>
      <c r="C244" s="27" t="s">
        <v>783</v>
      </c>
      <c r="D244" s="27" t="s">
        <v>784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212.1</f>
        <v>212.1</v>
      </c>
      <c r="L244" s="34" t="s">
        <v>48</v>
      </c>
      <c r="M244" s="33" t="n">
        <f>213.1</f>
        <v>213.1</v>
      </c>
      <c r="N244" s="34" t="s">
        <v>50</v>
      </c>
      <c r="O244" s="33" t="n">
        <f>206</f>
        <v>206.0</v>
      </c>
      <c r="P244" s="34" t="s">
        <v>159</v>
      </c>
      <c r="Q244" s="33" t="n">
        <f>213</f>
        <v>213.0</v>
      </c>
      <c r="R244" s="34" t="s">
        <v>50</v>
      </c>
      <c r="S244" s="35" t="n">
        <f>209.89</f>
        <v>209.89</v>
      </c>
      <c r="T244" s="32" t="n">
        <f>17389760</f>
        <v>1.738976E7</v>
      </c>
      <c r="U244" s="32" t="n">
        <f>11400</f>
        <v>11400.0</v>
      </c>
      <c r="V244" s="32" t="n">
        <f>3648350195</f>
        <v>3.648350195E9</v>
      </c>
      <c r="W244" s="32" t="n">
        <f>2384142</f>
        <v>2384142.0</v>
      </c>
      <c r="X244" s="36" t="n">
        <f>19</f>
        <v>19.0</v>
      </c>
    </row>
    <row r="245">
      <c r="A245" s="27" t="s">
        <v>42</v>
      </c>
      <c r="B245" s="27" t="s">
        <v>785</v>
      </c>
      <c r="C245" s="27" t="s">
        <v>786</v>
      </c>
      <c r="D245" s="27" t="s">
        <v>787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10.0</v>
      </c>
      <c r="K245" s="33" t="n">
        <f>202.9</f>
        <v>202.9</v>
      </c>
      <c r="L245" s="34" t="s">
        <v>48</v>
      </c>
      <c r="M245" s="33" t="n">
        <f>210</f>
        <v>210.0</v>
      </c>
      <c r="N245" s="34" t="s">
        <v>218</v>
      </c>
      <c r="O245" s="33" t="n">
        <f>199.6</f>
        <v>199.6</v>
      </c>
      <c r="P245" s="34" t="s">
        <v>48</v>
      </c>
      <c r="Q245" s="33" t="n">
        <f>206</f>
        <v>206.0</v>
      </c>
      <c r="R245" s="34" t="s">
        <v>50</v>
      </c>
      <c r="S245" s="35" t="n">
        <f>203.54</f>
        <v>203.54</v>
      </c>
      <c r="T245" s="32" t="n">
        <f>1060400</f>
        <v>1060400.0</v>
      </c>
      <c r="U245" s="32" t="n">
        <f>20</f>
        <v>20.0</v>
      </c>
      <c r="V245" s="32" t="n">
        <f>215163658</f>
        <v>2.15163658E8</v>
      </c>
      <c r="W245" s="32" t="n">
        <f>4092</f>
        <v>4092.0</v>
      </c>
      <c r="X245" s="36" t="n">
        <f>19</f>
        <v>19.0</v>
      </c>
    </row>
    <row r="246">
      <c r="A246" s="27" t="s">
        <v>42</v>
      </c>
      <c r="B246" s="27" t="s">
        <v>788</v>
      </c>
      <c r="C246" s="27" t="s">
        <v>789</v>
      </c>
      <c r="D246" s="27" t="s">
        <v>790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10.0</v>
      </c>
      <c r="K246" s="33" t="n">
        <f>200.9</f>
        <v>200.9</v>
      </c>
      <c r="L246" s="34" t="s">
        <v>48</v>
      </c>
      <c r="M246" s="33" t="n">
        <f>207.7</f>
        <v>207.7</v>
      </c>
      <c r="N246" s="34" t="s">
        <v>60</v>
      </c>
      <c r="O246" s="33" t="n">
        <f>200</f>
        <v>200.0</v>
      </c>
      <c r="P246" s="34" t="s">
        <v>48</v>
      </c>
      <c r="Q246" s="33" t="n">
        <f>206.2</f>
        <v>206.2</v>
      </c>
      <c r="R246" s="34" t="s">
        <v>50</v>
      </c>
      <c r="S246" s="35" t="n">
        <f>204.11</f>
        <v>204.11</v>
      </c>
      <c r="T246" s="32" t="n">
        <f>443370</f>
        <v>443370.0</v>
      </c>
      <c r="U246" s="32" t="str">
        <f>"－"</f>
        <v>－</v>
      </c>
      <c r="V246" s="32" t="n">
        <f>90105934</f>
        <v>9.0105934E7</v>
      </c>
      <c r="W246" s="32" t="str">
        <f>"－"</f>
        <v>－</v>
      </c>
      <c r="X246" s="36" t="n">
        <f>19</f>
        <v>19.0</v>
      </c>
    </row>
    <row r="247">
      <c r="A247" s="27" t="s">
        <v>42</v>
      </c>
      <c r="B247" s="27" t="s">
        <v>791</v>
      </c>
      <c r="C247" s="27" t="s">
        <v>792</v>
      </c>
      <c r="D247" s="27" t="s">
        <v>793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10.0</v>
      </c>
      <c r="K247" s="33" t="n">
        <f>204</f>
        <v>204.0</v>
      </c>
      <c r="L247" s="34" t="s">
        <v>48</v>
      </c>
      <c r="M247" s="33" t="n">
        <f>206.4</f>
        <v>206.4</v>
      </c>
      <c r="N247" s="34" t="s">
        <v>49</v>
      </c>
      <c r="O247" s="33" t="n">
        <f>198.1</f>
        <v>198.1</v>
      </c>
      <c r="P247" s="34" t="s">
        <v>48</v>
      </c>
      <c r="Q247" s="33" t="n">
        <f>205.4</f>
        <v>205.4</v>
      </c>
      <c r="R247" s="34" t="s">
        <v>50</v>
      </c>
      <c r="S247" s="35" t="n">
        <f>203.02</f>
        <v>203.02</v>
      </c>
      <c r="T247" s="32" t="n">
        <f>824290</f>
        <v>824290.0</v>
      </c>
      <c r="U247" s="32" t="n">
        <f>60</f>
        <v>60.0</v>
      </c>
      <c r="V247" s="32" t="n">
        <f>166725438</f>
        <v>1.66725438E8</v>
      </c>
      <c r="W247" s="32" t="n">
        <f>12406</f>
        <v>12406.0</v>
      </c>
      <c r="X247" s="36" t="n">
        <f>19</f>
        <v>19.0</v>
      </c>
    </row>
    <row r="248">
      <c r="A248" s="27" t="s">
        <v>42</v>
      </c>
      <c r="B248" s="27" t="s">
        <v>794</v>
      </c>
      <c r="C248" s="27" t="s">
        <v>795</v>
      </c>
      <c r="D248" s="27" t="s">
        <v>796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10.0</v>
      </c>
      <c r="K248" s="33" t="n">
        <f>219.9</f>
        <v>219.9</v>
      </c>
      <c r="L248" s="34" t="s">
        <v>48</v>
      </c>
      <c r="M248" s="33" t="n">
        <f>223.2</f>
        <v>223.2</v>
      </c>
      <c r="N248" s="34" t="s">
        <v>218</v>
      </c>
      <c r="O248" s="33" t="n">
        <f>202.1</f>
        <v>202.1</v>
      </c>
      <c r="P248" s="34" t="s">
        <v>49</v>
      </c>
      <c r="Q248" s="33" t="n">
        <f>206.7</f>
        <v>206.7</v>
      </c>
      <c r="R248" s="34" t="s">
        <v>50</v>
      </c>
      <c r="S248" s="35" t="n">
        <f>206.28</f>
        <v>206.28</v>
      </c>
      <c r="T248" s="32" t="n">
        <f>28520</f>
        <v>28520.0</v>
      </c>
      <c r="U248" s="32" t="n">
        <f>60</f>
        <v>60.0</v>
      </c>
      <c r="V248" s="32" t="n">
        <f>5894752</f>
        <v>5894752.0</v>
      </c>
      <c r="W248" s="32" t="n">
        <f>12320</f>
        <v>12320.0</v>
      </c>
      <c r="X248" s="36" t="n">
        <f>19</f>
        <v>19.0</v>
      </c>
    </row>
    <row r="249">
      <c r="A249" s="27" t="s">
        <v>42</v>
      </c>
      <c r="B249" s="27" t="s">
        <v>797</v>
      </c>
      <c r="C249" s="27" t="s">
        <v>798</v>
      </c>
      <c r="D249" s="27" t="s">
        <v>799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10.0</v>
      </c>
      <c r="K249" s="33" t="n">
        <f>933</f>
        <v>933.0</v>
      </c>
      <c r="L249" s="34" t="s">
        <v>48</v>
      </c>
      <c r="M249" s="33" t="n">
        <f>942.5</f>
        <v>942.5</v>
      </c>
      <c r="N249" s="34" t="s">
        <v>218</v>
      </c>
      <c r="O249" s="33" t="n">
        <f>924.7</f>
        <v>924.7</v>
      </c>
      <c r="P249" s="34" t="s">
        <v>159</v>
      </c>
      <c r="Q249" s="33" t="n">
        <f>929.1</f>
        <v>929.1</v>
      </c>
      <c r="R249" s="34" t="s">
        <v>50</v>
      </c>
      <c r="S249" s="35" t="n">
        <f>934.09</f>
        <v>934.09</v>
      </c>
      <c r="T249" s="32" t="n">
        <f>4451320</f>
        <v>4451320.0</v>
      </c>
      <c r="U249" s="32" t="n">
        <f>3023650</f>
        <v>3023650.0</v>
      </c>
      <c r="V249" s="32" t="n">
        <f>4150978382</f>
        <v>4.150978382E9</v>
      </c>
      <c r="W249" s="32" t="n">
        <f>2817139070</f>
        <v>2.81713907E9</v>
      </c>
      <c r="X249" s="36" t="n">
        <f>19</f>
        <v>19.0</v>
      </c>
    </row>
    <row r="250">
      <c r="A250" s="27" t="s">
        <v>42</v>
      </c>
      <c r="B250" s="27" t="s">
        <v>800</v>
      </c>
      <c r="C250" s="27" t="s">
        <v>801</v>
      </c>
      <c r="D250" s="27" t="s">
        <v>802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10.0</v>
      </c>
      <c r="K250" s="33" t="n">
        <f>1052.5</f>
        <v>1052.5</v>
      </c>
      <c r="L250" s="34" t="s">
        <v>48</v>
      </c>
      <c r="M250" s="33" t="n">
        <f>1076</f>
        <v>1076.0</v>
      </c>
      <c r="N250" s="34" t="s">
        <v>49</v>
      </c>
      <c r="O250" s="33" t="n">
        <f>1048</f>
        <v>1048.0</v>
      </c>
      <c r="P250" s="34" t="s">
        <v>48</v>
      </c>
      <c r="Q250" s="33" t="n">
        <f>1072.5</f>
        <v>1072.5</v>
      </c>
      <c r="R250" s="34" t="s">
        <v>50</v>
      </c>
      <c r="S250" s="35" t="n">
        <f>1066.79</f>
        <v>1066.79</v>
      </c>
      <c r="T250" s="32" t="n">
        <f>1318730</f>
        <v>1318730.0</v>
      </c>
      <c r="U250" s="32" t="n">
        <f>443400</f>
        <v>443400.0</v>
      </c>
      <c r="V250" s="32" t="n">
        <f>1403559074</f>
        <v>1.403559074E9</v>
      </c>
      <c r="W250" s="32" t="n">
        <f>471569739</f>
        <v>4.71569739E8</v>
      </c>
      <c r="X250" s="36" t="n">
        <f>19</f>
        <v>19.0</v>
      </c>
    </row>
    <row r="251">
      <c r="A251" s="27" t="s">
        <v>42</v>
      </c>
      <c r="B251" s="27" t="s">
        <v>803</v>
      </c>
      <c r="C251" s="27" t="s">
        <v>804</v>
      </c>
      <c r="D251" s="27" t="s">
        <v>805</v>
      </c>
      <c r="E251" s="28" t="s">
        <v>46</v>
      </c>
      <c r="F251" s="29" t="s">
        <v>46</v>
      </c>
      <c r="G251" s="30" t="s">
        <v>46</v>
      </c>
      <c r="H251" s="31"/>
      <c r="I251" s="31" t="s">
        <v>47</v>
      </c>
      <c r="J251" s="32" t="n">
        <v>10.0</v>
      </c>
      <c r="K251" s="33" t="n">
        <f>812.8</f>
        <v>812.8</v>
      </c>
      <c r="L251" s="34" t="s">
        <v>48</v>
      </c>
      <c r="M251" s="33" t="n">
        <f>814.6</f>
        <v>814.6</v>
      </c>
      <c r="N251" s="34" t="s">
        <v>48</v>
      </c>
      <c r="O251" s="33" t="n">
        <f>796</f>
        <v>796.0</v>
      </c>
      <c r="P251" s="34" t="s">
        <v>159</v>
      </c>
      <c r="Q251" s="33" t="n">
        <f>803.6</f>
        <v>803.6</v>
      </c>
      <c r="R251" s="34" t="s">
        <v>50</v>
      </c>
      <c r="S251" s="35" t="n">
        <f>803.65</f>
        <v>803.65</v>
      </c>
      <c r="T251" s="32" t="n">
        <f>2652610</f>
        <v>2652610.0</v>
      </c>
      <c r="U251" s="32" t="n">
        <f>2197740</f>
        <v>2197740.0</v>
      </c>
      <c r="V251" s="32" t="n">
        <f>2130390762</f>
        <v>2.130390762E9</v>
      </c>
      <c r="W251" s="32" t="n">
        <f>1764892988</f>
        <v>1.764892988E9</v>
      </c>
      <c r="X251" s="36" t="n">
        <f>19</f>
        <v>19.0</v>
      </c>
    </row>
    <row r="252">
      <c r="A252" s="27" t="s">
        <v>42</v>
      </c>
      <c r="B252" s="27" t="s">
        <v>806</v>
      </c>
      <c r="C252" s="27" t="s">
        <v>807</v>
      </c>
      <c r="D252" s="27" t="s">
        <v>808</v>
      </c>
      <c r="E252" s="28" t="s">
        <v>46</v>
      </c>
      <c r="F252" s="29" t="s">
        <v>46</v>
      </c>
      <c r="G252" s="30" t="s">
        <v>46</v>
      </c>
      <c r="H252" s="31"/>
      <c r="I252" s="31" t="s">
        <v>47</v>
      </c>
      <c r="J252" s="32" t="n">
        <v>10.0</v>
      </c>
      <c r="K252" s="33" t="n">
        <f>2053</f>
        <v>2053.0</v>
      </c>
      <c r="L252" s="34" t="s">
        <v>48</v>
      </c>
      <c r="M252" s="33" t="n">
        <f>2187</f>
        <v>2187.0</v>
      </c>
      <c r="N252" s="34" t="s">
        <v>214</v>
      </c>
      <c r="O252" s="33" t="n">
        <f>2037.5</f>
        <v>2037.5</v>
      </c>
      <c r="P252" s="34" t="s">
        <v>48</v>
      </c>
      <c r="Q252" s="33" t="n">
        <f>2179</f>
        <v>2179.0</v>
      </c>
      <c r="R252" s="34" t="s">
        <v>50</v>
      </c>
      <c r="S252" s="35" t="n">
        <f>2124.55</f>
        <v>2124.55</v>
      </c>
      <c r="T252" s="32" t="n">
        <f>1408690</f>
        <v>1408690.0</v>
      </c>
      <c r="U252" s="32" t="n">
        <f>1013540</f>
        <v>1013540.0</v>
      </c>
      <c r="V252" s="32" t="n">
        <f>3015828444</f>
        <v>3.015828444E9</v>
      </c>
      <c r="W252" s="32" t="n">
        <f>2179539959</f>
        <v>2.179539959E9</v>
      </c>
      <c r="X252" s="36" t="n">
        <f>19</f>
        <v>19.0</v>
      </c>
    </row>
    <row r="253">
      <c r="A253" s="27" t="s">
        <v>42</v>
      </c>
      <c r="B253" s="27" t="s">
        <v>809</v>
      </c>
      <c r="C253" s="27" t="s">
        <v>810</v>
      </c>
      <c r="D253" s="27" t="s">
        <v>811</v>
      </c>
      <c r="E253" s="28" t="s">
        <v>46</v>
      </c>
      <c r="F253" s="29" t="s">
        <v>46</v>
      </c>
      <c r="G253" s="30" t="s">
        <v>46</v>
      </c>
      <c r="H253" s="31"/>
      <c r="I253" s="31" t="s">
        <v>47</v>
      </c>
      <c r="J253" s="32" t="n">
        <v>10.0</v>
      </c>
      <c r="K253" s="33" t="n">
        <f>1439.5</f>
        <v>1439.5</v>
      </c>
      <c r="L253" s="34" t="s">
        <v>48</v>
      </c>
      <c r="M253" s="33" t="n">
        <f>1495</f>
        <v>1495.0</v>
      </c>
      <c r="N253" s="34" t="s">
        <v>214</v>
      </c>
      <c r="O253" s="33" t="n">
        <f>1434</f>
        <v>1434.0</v>
      </c>
      <c r="P253" s="34" t="s">
        <v>208</v>
      </c>
      <c r="Q253" s="33" t="n">
        <f>1486.5</f>
        <v>1486.5</v>
      </c>
      <c r="R253" s="34" t="s">
        <v>50</v>
      </c>
      <c r="S253" s="35" t="n">
        <f>1459.53</f>
        <v>1459.53</v>
      </c>
      <c r="T253" s="32" t="n">
        <f>790640</f>
        <v>790640.0</v>
      </c>
      <c r="U253" s="32" t="n">
        <f>644160</f>
        <v>644160.0</v>
      </c>
      <c r="V253" s="32" t="n">
        <f>1144214751</f>
        <v>1.144214751E9</v>
      </c>
      <c r="W253" s="32" t="n">
        <f>930019626</f>
        <v>9.30019626E8</v>
      </c>
      <c r="X253" s="36" t="n">
        <f>19</f>
        <v>19.0</v>
      </c>
    </row>
    <row r="254">
      <c r="A254" s="27" t="s">
        <v>42</v>
      </c>
      <c r="B254" s="27" t="s">
        <v>812</v>
      </c>
      <c r="C254" s="27" t="s">
        <v>813</v>
      </c>
      <c r="D254" s="27" t="s">
        <v>814</v>
      </c>
      <c r="E254" s="28" t="s">
        <v>46</v>
      </c>
      <c r="F254" s="29" t="s">
        <v>46</v>
      </c>
      <c r="G254" s="30" t="s">
        <v>46</v>
      </c>
      <c r="H254" s="31"/>
      <c r="I254" s="31" t="s">
        <v>47</v>
      </c>
      <c r="J254" s="32" t="n">
        <v>10.0</v>
      </c>
      <c r="K254" s="33" t="n">
        <f>1292.5</f>
        <v>1292.5</v>
      </c>
      <c r="L254" s="34" t="s">
        <v>48</v>
      </c>
      <c r="M254" s="33" t="n">
        <f>1317.5</f>
        <v>1317.5</v>
      </c>
      <c r="N254" s="34" t="s">
        <v>287</v>
      </c>
      <c r="O254" s="33" t="n">
        <f>1275</f>
        <v>1275.0</v>
      </c>
      <c r="P254" s="34" t="s">
        <v>48</v>
      </c>
      <c r="Q254" s="33" t="n">
        <f>1304</f>
        <v>1304.0</v>
      </c>
      <c r="R254" s="34" t="s">
        <v>50</v>
      </c>
      <c r="S254" s="35" t="n">
        <f>1301.63</f>
        <v>1301.63</v>
      </c>
      <c r="T254" s="32" t="n">
        <f>773460</f>
        <v>773460.0</v>
      </c>
      <c r="U254" s="32" t="n">
        <f>247370</f>
        <v>247370.0</v>
      </c>
      <c r="V254" s="32" t="n">
        <f>1004477475</f>
        <v>1.004477475E9</v>
      </c>
      <c r="W254" s="32" t="n">
        <f>320175785</f>
        <v>3.20175785E8</v>
      </c>
      <c r="X254" s="36" t="n">
        <f>19</f>
        <v>19.0</v>
      </c>
    </row>
    <row r="255">
      <c r="A255" s="27" t="s">
        <v>42</v>
      </c>
      <c r="B255" s="27" t="s">
        <v>815</v>
      </c>
      <c r="C255" s="27" t="s">
        <v>816</v>
      </c>
      <c r="D255" s="27" t="s">
        <v>817</v>
      </c>
      <c r="E255" s="28" t="s">
        <v>46</v>
      </c>
      <c r="F255" s="29" t="s">
        <v>46</v>
      </c>
      <c r="G255" s="30" t="s">
        <v>46</v>
      </c>
      <c r="H255" s="31"/>
      <c r="I255" s="31" t="s">
        <v>47</v>
      </c>
      <c r="J255" s="32" t="n">
        <v>10.0</v>
      </c>
      <c r="K255" s="33" t="n">
        <f>540.3</f>
        <v>540.3</v>
      </c>
      <c r="L255" s="34" t="s">
        <v>48</v>
      </c>
      <c r="M255" s="33" t="n">
        <f>565.5</f>
        <v>565.5</v>
      </c>
      <c r="N255" s="34" t="s">
        <v>60</v>
      </c>
      <c r="O255" s="33" t="n">
        <f>530.3</f>
        <v>530.3</v>
      </c>
      <c r="P255" s="34" t="s">
        <v>61</v>
      </c>
      <c r="Q255" s="33" t="n">
        <f>554.5</f>
        <v>554.5</v>
      </c>
      <c r="R255" s="34" t="s">
        <v>50</v>
      </c>
      <c r="S255" s="35" t="n">
        <f>549.12</f>
        <v>549.12</v>
      </c>
      <c r="T255" s="32" t="n">
        <f>40031360</f>
        <v>4.003136E7</v>
      </c>
      <c r="U255" s="32" t="n">
        <f>1029090</f>
        <v>1029090.0</v>
      </c>
      <c r="V255" s="32" t="n">
        <f>22008081958</f>
        <v>2.2008081958E10</v>
      </c>
      <c r="W255" s="32" t="n">
        <f>565119424</f>
        <v>5.65119424E8</v>
      </c>
      <c r="X255" s="36" t="n">
        <f>19</f>
        <v>19.0</v>
      </c>
    </row>
    <row r="256">
      <c r="A256" s="27" t="s">
        <v>42</v>
      </c>
      <c r="B256" s="27" t="s">
        <v>818</v>
      </c>
      <c r="C256" s="27" t="s">
        <v>819</v>
      </c>
      <c r="D256" s="27" t="s">
        <v>820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10.0</v>
      </c>
      <c r="K256" s="33" t="n">
        <f>1093</f>
        <v>1093.0</v>
      </c>
      <c r="L256" s="34" t="s">
        <v>48</v>
      </c>
      <c r="M256" s="33" t="n">
        <f>1120</f>
        <v>1120.0</v>
      </c>
      <c r="N256" s="34" t="s">
        <v>50</v>
      </c>
      <c r="O256" s="33" t="n">
        <f>1078.5</f>
        <v>1078.5</v>
      </c>
      <c r="P256" s="34" t="s">
        <v>48</v>
      </c>
      <c r="Q256" s="33" t="n">
        <f>1092</f>
        <v>1092.0</v>
      </c>
      <c r="R256" s="34" t="s">
        <v>50</v>
      </c>
      <c r="S256" s="35" t="n">
        <f>1096.34</f>
        <v>1096.34</v>
      </c>
      <c r="T256" s="32" t="n">
        <f>1746510</f>
        <v>1746510.0</v>
      </c>
      <c r="U256" s="32" t="n">
        <f>1660790</f>
        <v>1660790.0</v>
      </c>
      <c r="V256" s="32" t="n">
        <f>1913147645</f>
        <v>1.913147645E9</v>
      </c>
      <c r="W256" s="32" t="n">
        <f>1819227850</f>
        <v>1.81922785E9</v>
      </c>
      <c r="X256" s="36" t="n">
        <f>19</f>
        <v>19.0</v>
      </c>
    </row>
    <row r="257">
      <c r="A257" s="27" t="s">
        <v>42</v>
      </c>
      <c r="B257" s="27" t="s">
        <v>821</v>
      </c>
      <c r="C257" s="27" t="s">
        <v>822</v>
      </c>
      <c r="D257" s="27" t="s">
        <v>823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1.0</v>
      </c>
      <c r="K257" s="33" t="n">
        <f>1308</f>
        <v>1308.0</v>
      </c>
      <c r="L257" s="34" t="s">
        <v>48</v>
      </c>
      <c r="M257" s="33" t="n">
        <f>1423</f>
        <v>1423.0</v>
      </c>
      <c r="N257" s="34" t="s">
        <v>49</v>
      </c>
      <c r="O257" s="33" t="n">
        <f>1296</f>
        <v>1296.0</v>
      </c>
      <c r="P257" s="34" t="s">
        <v>48</v>
      </c>
      <c r="Q257" s="33" t="n">
        <f>1410</f>
        <v>1410.0</v>
      </c>
      <c r="R257" s="34" t="s">
        <v>50</v>
      </c>
      <c r="S257" s="35" t="n">
        <f>1384.32</f>
        <v>1384.32</v>
      </c>
      <c r="T257" s="32" t="n">
        <f>107833</f>
        <v>107833.0</v>
      </c>
      <c r="U257" s="32" t="n">
        <f>2</f>
        <v>2.0</v>
      </c>
      <c r="V257" s="32" t="n">
        <f>145718579</f>
        <v>1.45718579E8</v>
      </c>
      <c r="W257" s="32" t="n">
        <f>2640</f>
        <v>2640.0</v>
      </c>
      <c r="X257" s="36" t="n">
        <f>19</f>
        <v>19.0</v>
      </c>
    </row>
    <row r="258">
      <c r="A258" s="27" t="s">
        <v>42</v>
      </c>
      <c r="B258" s="27" t="s">
        <v>824</v>
      </c>
      <c r="C258" s="27" t="s">
        <v>825</v>
      </c>
      <c r="D258" s="27" t="s">
        <v>826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10.0</v>
      </c>
      <c r="K258" s="33" t="n">
        <f>987.6</f>
        <v>987.6</v>
      </c>
      <c r="L258" s="34" t="s">
        <v>48</v>
      </c>
      <c r="M258" s="33" t="n">
        <f>1018</f>
        <v>1018.0</v>
      </c>
      <c r="N258" s="34" t="s">
        <v>49</v>
      </c>
      <c r="O258" s="33" t="n">
        <f>977</f>
        <v>977.0</v>
      </c>
      <c r="P258" s="34" t="s">
        <v>88</v>
      </c>
      <c r="Q258" s="33" t="n">
        <f>1011.5</f>
        <v>1011.5</v>
      </c>
      <c r="R258" s="34" t="s">
        <v>50</v>
      </c>
      <c r="S258" s="35" t="n">
        <f>1003.64</f>
        <v>1003.64</v>
      </c>
      <c r="T258" s="32" t="n">
        <f>119770</f>
        <v>119770.0</v>
      </c>
      <c r="U258" s="32" t="n">
        <f>1690</f>
        <v>1690.0</v>
      </c>
      <c r="V258" s="32" t="n">
        <f>119577552</f>
        <v>1.19577552E8</v>
      </c>
      <c r="W258" s="32" t="n">
        <f>1701605</f>
        <v>1701605.0</v>
      </c>
      <c r="X258" s="36" t="n">
        <f>19</f>
        <v>19.0</v>
      </c>
    </row>
    <row r="259">
      <c r="A259" s="27" t="s">
        <v>42</v>
      </c>
      <c r="B259" s="27" t="s">
        <v>827</v>
      </c>
      <c r="C259" s="27" t="s">
        <v>828</v>
      </c>
      <c r="D259" s="27" t="s">
        <v>829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10.0</v>
      </c>
      <c r="K259" s="33" t="n">
        <f>1248</f>
        <v>1248.0</v>
      </c>
      <c r="L259" s="34" t="s">
        <v>48</v>
      </c>
      <c r="M259" s="33" t="n">
        <f>1277.5</f>
        <v>1277.5</v>
      </c>
      <c r="N259" s="34" t="s">
        <v>364</v>
      </c>
      <c r="O259" s="33" t="n">
        <f>1230</f>
        <v>1230.0</v>
      </c>
      <c r="P259" s="34" t="s">
        <v>61</v>
      </c>
      <c r="Q259" s="33" t="n">
        <f>1264.5</f>
        <v>1264.5</v>
      </c>
      <c r="R259" s="34" t="s">
        <v>50</v>
      </c>
      <c r="S259" s="35" t="n">
        <f>1256.79</f>
        <v>1256.79</v>
      </c>
      <c r="T259" s="32" t="n">
        <f>127450</f>
        <v>127450.0</v>
      </c>
      <c r="U259" s="32" t="n">
        <f>38330</f>
        <v>38330.0</v>
      </c>
      <c r="V259" s="32" t="n">
        <f>160677643</f>
        <v>1.60677643E8</v>
      </c>
      <c r="W259" s="32" t="n">
        <f>48395458</f>
        <v>4.8395458E7</v>
      </c>
      <c r="X259" s="36" t="n">
        <f>19</f>
        <v>19.0</v>
      </c>
    </row>
    <row r="260">
      <c r="A260" s="27" t="s">
        <v>42</v>
      </c>
      <c r="B260" s="27" t="s">
        <v>830</v>
      </c>
      <c r="C260" s="27" t="s">
        <v>831</v>
      </c>
      <c r="D260" s="27" t="s">
        <v>832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10.0</v>
      </c>
      <c r="K260" s="33" t="n">
        <f>1503</f>
        <v>1503.0</v>
      </c>
      <c r="L260" s="34" t="s">
        <v>48</v>
      </c>
      <c r="M260" s="33" t="n">
        <f>1554.5</f>
        <v>1554.5</v>
      </c>
      <c r="N260" s="34" t="s">
        <v>214</v>
      </c>
      <c r="O260" s="33" t="n">
        <f>1493</f>
        <v>1493.0</v>
      </c>
      <c r="P260" s="34" t="s">
        <v>61</v>
      </c>
      <c r="Q260" s="33" t="n">
        <f>1546</f>
        <v>1546.0</v>
      </c>
      <c r="R260" s="34" t="s">
        <v>50</v>
      </c>
      <c r="S260" s="35" t="n">
        <f>1525.29</f>
        <v>1525.29</v>
      </c>
      <c r="T260" s="32" t="n">
        <f>2991860</f>
        <v>2991860.0</v>
      </c>
      <c r="U260" s="32" t="n">
        <f>1180740</f>
        <v>1180740.0</v>
      </c>
      <c r="V260" s="32" t="n">
        <f>4557157350</f>
        <v>4.55715735E9</v>
      </c>
      <c r="W260" s="32" t="n">
        <f>1785353520</f>
        <v>1.78535352E9</v>
      </c>
      <c r="X260" s="36" t="n">
        <f>19</f>
        <v>19.0</v>
      </c>
    </row>
    <row r="261">
      <c r="A261" s="27" t="s">
        <v>42</v>
      </c>
      <c r="B261" s="27" t="s">
        <v>833</v>
      </c>
      <c r="C261" s="27" t="s">
        <v>834</v>
      </c>
      <c r="D261" s="27" t="s">
        <v>835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4725</f>
        <v>4725.0</v>
      </c>
      <c r="L261" s="34" t="s">
        <v>48</v>
      </c>
      <c r="M261" s="33" t="n">
        <f>5190</f>
        <v>5190.0</v>
      </c>
      <c r="N261" s="34" t="s">
        <v>87</v>
      </c>
      <c r="O261" s="33" t="n">
        <f>4700</f>
        <v>4700.0</v>
      </c>
      <c r="P261" s="34" t="s">
        <v>48</v>
      </c>
      <c r="Q261" s="33" t="n">
        <f>5110</f>
        <v>5110.0</v>
      </c>
      <c r="R261" s="34" t="s">
        <v>50</v>
      </c>
      <c r="S261" s="35" t="n">
        <f>4983.42</f>
        <v>4983.42</v>
      </c>
      <c r="T261" s="32" t="n">
        <f>26472</f>
        <v>26472.0</v>
      </c>
      <c r="U261" s="32" t="str">
        <f>"－"</f>
        <v>－</v>
      </c>
      <c r="V261" s="32" t="n">
        <f>132484115</f>
        <v>1.32484115E8</v>
      </c>
      <c r="W261" s="32" t="str">
        <f>"－"</f>
        <v>－</v>
      </c>
      <c r="X261" s="36" t="n">
        <f>19</f>
        <v>19.0</v>
      </c>
    </row>
    <row r="262">
      <c r="A262" s="27" t="s">
        <v>42</v>
      </c>
      <c r="B262" s="27" t="s">
        <v>836</v>
      </c>
      <c r="C262" s="27" t="s">
        <v>837</v>
      </c>
      <c r="D262" s="27" t="s">
        <v>838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10.0</v>
      </c>
      <c r="K262" s="33" t="n">
        <f>1955</f>
        <v>1955.0</v>
      </c>
      <c r="L262" s="34" t="s">
        <v>48</v>
      </c>
      <c r="M262" s="33" t="n">
        <f>2036</f>
        <v>2036.0</v>
      </c>
      <c r="N262" s="34" t="s">
        <v>287</v>
      </c>
      <c r="O262" s="33" t="n">
        <f>1950.5</f>
        <v>1950.5</v>
      </c>
      <c r="P262" s="34" t="s">
        <v>213</v>
      </c>
      <c r="Q262" s="33" t="n">
        <f>2000</f>
        <v>2000.0</v>
      </c>
      <c r="R262" s="34" t="s">
        <v>159</v>
      </c>
      <c r="S262" s="35" t="n">
        <f>1985.7</f>
        <v>1985.7</v>
      </c>
      <c r="T262" s="32" t="n">
        <f>620</f>
        <v>620.0</v>
      </c>
      <c r="U262" s="32" t="str">
        <f>"－"</f>
        <v>－</v>
      </c>
      <c r="V262" s="32" t="n">
        <f>1224755</f>
        <v>1224755.0</v>
      </c>
      <c r="W262" s="32" t="str">
        <f>"－"</f>
        <v>－</v>
      </c>
      <c r="X262" s="36" t="n">
        <f>10</f>
        <v>10.0</v>
      </c>
    </row>
    <row r="263">
      <c r="A263" s="27" t="s">
        <v>42</v>
      </c>
      <c r="B263" s="27" t="s">
        <v>839</v>
      </c>
      <c r="C263" s="27" t="s">
        <v>840</v>
      </c>
      <c r="D263" s="27" t="s">
        <v>841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10.0</v>
      </c>
      <c r="K263" s="33" t="n">
        <f>2423</f>
        <v>2423.0</v>
      </c>
      <c r="L263" s="34" t="s">
        <v>48</v>
      </c>
      <c r="M263" s="33" t="n">
        <f>2640</f>
        <v>2640.0</v>
      </c>
      <c r="N263" s="34" t="s">
        <v>49</v>
      </c>
      <c r="O263" s="33" t="n">
        <f>2405</f>
        <v>2405.0</v>
      </c>
      <c r="P263" s="34" t="s">
        <v>48</v>
      </c>
      <c r="Q263" s="33" t="n">
        <f>2597.5</f>
        <v>2597.5</v>
      </c>
      <c r="R263" s="34" t="s">
        <v>50</v>
      </c>
      <c r="S263" s="35" t="n">
        <f>2566.11</f>
        <v>2566.11</v>
      </c>
      <c r="T263" s="32" t="n">
        <f>2666610</f>
        <v>2666610.0</v>
      </c>
      <c r="U263" s="32" t="n">
        <f>1446500</f>
        <v>1446500.0</v>
      </c>
      <c r="V263" s="32" t="n">
        <f>6849273171</f>
        <v>6.849273171E9</v>
      </c>
      <c r="W263" s="32" t="n">
        <f>3714160721</f>
        <v>3.714160721E9</v>
      </c>
      <c r="X263" s="36" t="n">
        <f>19</f>
        <v>19.0</v>
      </c>
    </row>
    <row r="264">
      <c r="A264" s="27" t="s">
        <v>42</v>
      </c>
      <c r="B264" s="27" t="s">
        <v>842</v>
      </c>
      <c r="C264" s="27" t="s">
        <v>843</v>
      </c>
      <c r="D264" s="27" t="s">
        <v>844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33360</f>
        <v>33360.0</v>
      </c>
      <c r="L264" s="34" t="s">
        <v>48</v>
      </c>
      <c r="M264" s="33" t="n">
        <f>37450</f>
        <v>37450.0</v>
      </c>
      <c r="N264" s="34" t="s">
        <v>49</v>
      </c>
      <c r="O264" s="33" t="n">
        <f>33360</f>
        <v>33360.0</v>
      </c>
      <c r="P264" s="34" t="s">
        <v>48</v>
      </c>
      <c r="Q264" s="33" t="n">
        <f>36940</f>
        <v>36940.0</v>
      </c>
      <c r="R264" s="34" t="s">
        <v>50</v>
      </c>
      <c r="S264" s="35" t="n">
        <f>36103.68</f>
        <v>36103.68</v>
      </c>
      <c r="T264" s="32" t="n">
        <f>80854</f>
        <v>80854.0</v>
      </c>
      <c r="U264" s="32" t="n">
        <f>9747</f>
        <v>9747.0</v>
      </c>
      <c r="V264" s="32" t="n">
        <f>2925428249</f>
        <v>2.925428249E9</v>
      </c>
      <c r="W264" s="32" t="n">
        <f>347580019</f>
        <v>3.47580019E8</v>
      </c>
      <c r="X264" s="36" t="n">
        <f>19</f>
        <v>19.0</v>
      </c>
    </row>
    <row r="265">
      <c r="A265" s="27" t="s">
        <v>42</v>
      </c>
      <c r="B265" s="27" t="s">
        <v>845</v>
      </c>
      <c r="C265" s="27" t="s">
        <v>846</v>
      </c>
      <c r="D265" s="27" t="s">
        <v>847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21775</f>
        <v>21775.0</v>
      </c>
      <c r="L265" s="34" t="s">
        <v>48</v>
      </c>
      <c r="M265" s="33" t="n">
        <f>23535</f>
        <v>23535.0</v>
      </c>
      <c r="N265" s="34" t="s">
        <v>49</v>
      </c>
      <c r="O265" s="33" t="n">
        <f>21775</f>
        <v>21775.0</v>
      </c>
      <c r="P265" s="34" t="s">
        <v>48</v>
      </c>
      <c r="Q265" s="33" t="n">
        <f>23505</f>
        <v>23505.0</v>
      </c>
      <c r="R265" s="34" t="s">
        <v>50</v>
      </c>
      <c r="S265" s="35" t="n">
        <f>23052.5</f>
        <v>23052.5</v>
      </c>
      <c r="T265" s="32" t="n">
        <f>15074</f>
        <v>15074.0</v>
      </c>
      <c r="U265" s="32" t="n">
        <f>10000</f>
        <v>10000.0</v>
      </c>
      <c r="V265" s="32" t="n">
        <f>353694570</f>
        <v>3.5369457E8</v>
      </c>
      <c r="W265" s="32" t="n">
        <f>234930000</f>
        <v>2.3493E8</v>
      </c>
      <c r="X265" s="36" t="n">
        <f>8</f>
        <v>8.0</v>
      </c>
    </row>
    <row r="266">
      <c r="A266" s="27" t="s">
        <v>42</v>
      </c>
      <c r="B266" s="27" t="s">
        <v>848</v>
      </c>
      <c r="C266" s="27" t="s">
        <v>849</v>
      </c>
      <c r="D266" s="27" t="s">
        <v>850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10.0</v>
      </c>
      <c r="K266" s="33" t="n">
        <f>1111</f>
        <v>1111.0</v>
      </c>
      <c r="L266" s="34" t="s">
        <v>48</v>
      </c>
      <c r="M266" s="33" t="n">
        <f>1118.5</f>
        <v>1118.5</v>
      </c>
      <c r="N266" s="34" t="s">
        <v>208</v>
      </c>
      <c r="O266" s="33" t="n">
        <f>1080</f>
        <v>1080.0</v>
      </c>
      <c r="P266" s="34" t="s">
        <v>61</v>
      </c>
      <c r="Q266" s="33" t="n">
        <f>1087</f>
        <v>1087.0</v>
      </c>
      <c r="R266" s="34" t="s">
        <v>214</v>
      </c>
      <c r="S266" s="35" t="n">
        <f>1097.42</f>
        <v>1097.42</v>
      </c>
      <c r="T266" s="32" t="n">
        <f>953930</f>
        <v>953930.0</v>
      </c>
      <c r="U266" s="32" t="n">
        <f>832340</f>
        <v>832340.0</v>
      </c>
      <c r="V266" s="32" t="n">
        <f>1048530819</f>
        <v>1.048530819E9</v>
      </c>
      <c r="W266" s="32" t="n">
        <f>915360544</f>
        <v>9.15360544E8</v>
      </c>
      <c r="X266" s="36" t="n">
        <f>18</f>
        <v>18.0</v>
      </c>
    </row>
    <row r="267">
      <c r="A267" s="27" t="s">
        <v>42</v>
      </c>
      <c r="B267" s="27" t="s">
        <v>851</v>
      </c>
      <c r="C267" s="27" t="s">
        <v>852</v>
      </c>
      <c r="D267" s="27" t="s">
        <v>853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10.0</v>
      </c>
      <c r="K267" s="33" t="n">
        <f>1085</f>
        <v>1085.0</v>
      </c>
      <c r="L267" s="34" t="s">
        <v>48</v>
      </c>
      <c r="M267" s="33" t="n">
        <f>1107</f>
        <v>1107.0</v>
      </c>
      <c r="N267" s="34" t="s">
        <v>213</v>
      </c>
      <c r="O267" s="33" t="n">
        <f>1075.5</f>
        <v>1075.5</v>
      </c>
      <c r="P267" s="34" t="s">
        <v>48</v>
      </c>
      <c r="Q267" s="33" t="n">
        <f>1088</f>
        <v>1088.0</v>
      </c>
      <c r="R267" s="34" t="s">
        <v>50</v>
      </c>
      <c r="S267" s="35" t="n">
        <f>1092.94</f>
        <v>1092.94</v>
      </c>
      <c r="T267" s="32" t="n">
        <f>88850</f>
        <v>88850.0</v>
      </c>
      <c r="U267" s="32" t="n">
        <f>66580</f>
        <v>66580.0</v>
      </c>
      <c r="V267" s="32" t="n">
        <f>96888770</f>
        <v>9.688877E7</v>
      </c>
      <c r="W267" s="32" t="n">
        <f>72568525</f>
        <v>7.2568525E7</v>
      </c>
      <c r="X267" s="36" t="n">
        <f>18</f>
        <v>18.0</v>
      </c>
    </row>
    <row r="268">
      <c r="A268" s="27" t="s">
        <v>42</v>
      </c>
      <c r="B268" s="27" t="s">
        <v>854</v>
      </c>
      <c r="C268" s="27" t="s">
        <v>855</v>
      </c>
      <c r="D268" s="27" t="s">
        <v>856</v>
      </c>
      <c r="E268" s="28" t="s">
        <v>46</v>
      </c>
      <c r="F268" s="29" t="s">
        <v>46</v>
      </c>
      <c r="G268" s="30" t="s">
        <v>46</v>
      </c>
      <c r="H268" s="31"/>
      <c r="I268" s="31" t="s">
        <v>47</v>
      </c>
      <c r="J268" s="32" t="n">
        <v>1.0</v>
      </c>
      <c r="K268" s="33" t="n">
        <f>1497</f>
        <v>1497.0</v>
      </c>
      <c r="L268" s="34" t="s">
        <v>48</v>
      </c>
      <c r="M268" s="33" t="n">
        <f>1641</f>
        <v>1641.0</v>
      </c>
      <c r="N268" s="34" t="s">
        <v>49</v>
      </c>
      <c r="O268" s="33" t="n">
        <f>1488</f>
        <v>1488.0</v>
      </c>
      <c r="P268" s="34" t="s">
        <v>48</v>
      </c>
      <c r="Q268" s="33" t="n">
        <f>1630</f>
        <v>1630.0</v>
      </c>
      <c r="R268" s="34" t="s">
        <v>50</v>
      </c>
      <c r="S268" s="35" t="n">
        <f>1593.89</f>
        <v>1593.89</v>
      </c>
      <c r="T268" s="32" t="n">
        <f>762366</f>
        <v>762366.0</v>
      </c>
      <c r="U268" s="32" t="n">
        <f>400050</f>
        <v>400050.0</v>
      </c>
      <c r="V268" s="32" t="n">
        <f>1197974316</f>
        <v>1.197974316E9</v>
      </c>
      <c r="W268" s="32" t="n">
        <f>622704110</f>
        <v>6.2270411E8</v>
      </c>
      <c r="X268" s="36" t="n">
        <f>19</f>
        <v>19.0</v>
      </c>
    </row>
    <row r="269">
      <c r="A269" s="27" t="s">
        <v>42</v>
      </c>
      <c r="B269" s="27" t="s">
        <v>857</v>
      </c>
      <c r="C269" s="27" t="s">
        <v>858</v>
      </c>
      <c r="D269" s="27" t="s">
        <v>859</v>
      </c>
      <c r="E269" s="28" t="s">
        <v>46</v>
      </c>
      <c r="F269" s="29" t="s">
        <v>46</v>
      </c>
      <c r="G269" s="30" t="s">
        <v>46</v>
      </c>
      <c r="H269" s="31"/>
      <c r="I269" s="31" t="s">
        <v>47</v>
      </c>
      <c r="J269" s="32" t="n">
        <v>1.0</v>
      </c>
      <c r="K269" s="33" t="n">
        <f>11945</f>
        <v>11945.0</v>
      </c>
      <c r="L269" s="34" t="s">
        <v>48</v>
      </c>
      <c r="M269" s="33" t="n">
        <f>12500</f>
        <v>12500.0</v>
      </c>
      <c r="N269" s="34" t="s">
        <v>60</v>
      </c>
      <c r="O269" s="33" t="n">
        <f>11710</f>
        <v>11710.0</v>
      </c>
      <c r="P269" s="34" t="s">
        <v>61</v>
      </c>
      <c r="Q269" s="33" t="n">
        <f>12300</f>
        <v>12300.0</v>
      </c>
      <c r="R269" s="34" t="s">
        <v>50</v>
      </c>
      <c r="S269" s="35" t="n">
        <f>12139.21</f>
        <v>12139.21</v>
      </c>
      <c r="T269" s="32" t="n">
        <f>746</f>
        <v>746.0</v>
      </c>
      <c r="U269" s="32" t="str">
        <f>"－"</f>
        <v>－</v>
      </c>
      <c r="V269" s="32" t="n">
        <f>9083370</f>
        <v>9083370.0</v>
      </c>
      <c r="W269" s="32" t="str">
        <f>"－"</f>
        <v>－</v>
      </c>
      <c r="X269" s="36" t="n">
        <f>19</f>
        <v>19.0</v>
      </c>
    </row>
    <row r="270">
      <c r="A270" s="27" t="s">
        <v>42</v>
      </c>
      <c r="B270" s="27" t="s">
        <v>860</v>
      </c>
      <c r="C270" s="27" t="s">
        <v>861</v>
      </c>
      <c r="D270" s="27" t="s">
        <v>862</v>
      </c>
      <c r="E270" s="28" t="s">
        <v>46</v>
      </c>
      <c r="F270" s="29" t="s">
        <v>46</v>
      </c>
      <c r="G270" s="30" t="s">
        <v>46</v>
      </c>
      <c r="H270" s="31"/>
      <c r="I270" s="31" t="s">
        <v>47</v>
      </c>
      <c r="J270" s="32" t="n">
        <v>1.0</v>
      </c>
      <c r="K270" s="33" t="n">
        <f>1944</f>
        <v>1944.0</v>
      </c>
      <c r="L270" s="34" t="s">
        <v>48</v>
      </c>
      <c r="M270" s="33" t="n">
        <f>1994</f>
        <v>1994.0</v>
      </c>
      <c r="N270" s="34" t="s">
        <v>49</v>
      </c>
      <c r="O270" s="33" t="n">
        <f>1925</f>
        <v>1925.0</v>
      </c>
      <c r="P270" s="34" t="s">
        <v>48</v>
      </c>
      <c r="Q270" s="33" t="n">
        <f>1940</f>
        <v>1940.0</v>
      </c>
      <c r="R270" s="34" t="s">
        <v>50</v>
      </c>
      <c r="S270" s="35" t="n">
        <f>1955.26</f>
        <v>1955.26</v>
      </c>
      <c r="T270" s="32" t="n">
        <f>973168</f>
        <v>973168.0</v>
      </c>
      <c r="U270" s="32" t="n">
        <f>930936</f>
        <v>930936.0</v>
      </c>
      <c r="V270" s="32" t="n">
        <f>1894933419</f>
        <v>1.894933419E9</v>
      </c>
      <c r="W270" s="32" t="n">
        <f>1812323206</f>
        <v>1.812323206E9</v>
      </c>
      <c r="X270" s="36" t="n">
        <f>19</f>
        <v>19.0</v>
      </c>
    </row>
    <row r="271">
      <c r="A271" s="27" t="s">
        <v>42</v>
      </c>
      <c r="B271" s="27" t="s">
        <v>863</v>
      </c>
      <c r="C271" s="27" t="s">
        <v>864</v>
      </c>
      <c r="D271" s="27" t="s">
        <v>865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10.0</v>
      </c>
      <c r="K271" s="33" t="n">
        <f>1460.5</f>
        <v>1460.5</v>
      </c>
      <c r="L271" s="34" t="s">
        <v>48</v>
      </c>
      <c r="M271" s="33" t="n">
        <f>1555</f>
        <v>1555.0</v>
      </c>
      <c r="N271" s="34" t="s">
        <v>364</v>
      </c>
      <c r="O271" s="33" t="n">
        <f>1313</f>
        <v>1313.0</v>
      </c>
      <c r="P271" s="34" t="s">
        <v>49</v>
      </c>
      <c r="Q271" s="33" t="n">
        <f>1354.5</f>
        <v>1354.5</v>
      </c>
      <c r="R271" s="34" t="s">
        <v>50</v>
      </c>
      <c r="S271" s="35" t="n">
        <f>1389.64</f>
        <v>1389.64</v>
      </c>
      <c r="T271" s="32" t="n">
        <f>4110</f>
        <v>4110.0</v>
      </c>
      <c r="U271" s="32" t="str">
        <f>"－"</f>
        <v>－</v>
      </c>
      <c r="V271" s="32" t="n">
        <f>5789975</f>
        <v>5789975.0</v>
      </c>
      <c r="W271" s="32" t="str">
        <f>"－"</f>
        <v>－</v>
      </c>
      <c r="X271" s="36" t="n">
        <f>18</f>
        <v>18.0</v>
      </c>
    </row>
    <row r="272">
      <c r="A272" s="27" t="s">
        <v>42</v>
      </c>
      <c r="B272" s="27" t="s">
        <v>866</v>
      </c>
      <c r="C272" s="27" t="s">
        <v>867</v>
      </c>
      <c r="D272" s="27" t="s">
        <v>868</v>
      </c>
      <c r="E272" s="28" t="s">
        <v>46</v>
      </c>
      <c r="F272" s="29" t="s">
        <v>46</v>
      </c>
      <c r="G272" s="30" t="s">
        <v>46</v>
      </c>
      <c r="H272" s="31"/>
      <c r="I272" s="31" t="s">
        <v>47</v>
      </c>
      <c r="J272" s="32" t="n">
        <v>10.0</v>
      </c>
      <c r="K272" s="33" t="n">
        <f>823.9</f>
        <v>823.9</v>
      </c>
      <c r="L272" s="34" t="s">
        <v>48</v>
      </c>
      <c r="M272" s="33" t="n">
        <f>830</f>
        <v>830.0</v>
      </c>
      <c r="N272" s="34" t="s">
        <v>218</v>
      </c>
      <c r="O272" s="33" t="n">
        <f>816</f>
        <v>816.0</v>
      </c>
      <c r="P272" s="34" t="s">
        <v>159</v>
      </c>
      <c r="Q272" s="33" t="n">
        <f>822.4</f>
        <v>822.4</v>
      </c>
      <c r="R272" s="34" t="s">
        <v>50</v>
      </c>
      <c r="S272" s="35" t="n">
        <f>820.92</f>
        <v>820.92</v>
      </c>
      <c r="T272" s="32" t="n">
        <f>738160</f>
        <v>738160.0</v>
      </c>
      <c r="U272" s="32" t="n">
        <f>333930</f>
        <v>333930.0</v>
      </c>
      <c r="V272" s="32" t="n">
        <f>606024115</f>
        <v>6.06024115E8</v>
      </c>
      <c r="W272" s="32" t="n">
        <f>274129792</f>
        <v>2.74129792E8</v>
      </c>
      <c r="X272" s="36" t="n">
        <f>19</f>
        <v>19.0</v>
      </c>
    </row>
    <row r="273">
      <c r="A273" s="27" t="s">
        <v>42</v>
      </c>
      <c r="B273" s="27" t="s">
        <v>869</v>
      </c>
      <c r="C273" s="27" t="s">
        <v>870</v>
      </c>
      <c r="D273" s="27" t="s">
        <v>871</v>
      </c>
      <c r="E273" s="28" t="s">
        <v>46</v>
      </c>
      <c r="F273" s="29" t="s">
        <v>46</v>
      </c>
      <c r="G273" s="30" t="s">
        <v>46</v>
      </c>
      <c r="H273" s="31"/>
      <c r="I273" s="31" t="s">
        <v>47</v>
      </c>
      <c r="J273" s="32" t="n">
        <v>10.0</v>
      </c>
      <c r="K273" s="33" t="n">
        <f>1865</f>
        <v>1865.0</v>
      </c>
      <c r="L273" s="34" t="s">
        <v>48</v>
      </c>
      <c r="M273" s="33" t="n">
        <f>1884.5</f>
        <v>1884.5</v>
      </c>
      <c r="N273" s="34" t="s">
        <v>49</v>
      </c>
      <c r="O273" s="33" t="n">
        <f>1839.5</f>
        <v>1839.5</v>
      </c>
      <c r="P273" s="34" t="s">
        <v>61</v>
      </c>
      <c r="Q273" s="33" t="n">
        <f>1845.5</f>
        <v>1845.5</v>
      </c>
      <c r="R273" s="34" t="s">
        <v>50</v>
      </c>
      <c r="S273" s="35" t="n">
        <f>1861.71</f>
        <v>1861.71</v>
      </c>
      <c r="T273" s="32" t="n">
        <f>128310</f>
        <v>128310.0</v>
      </c>
      <c r="U273" s="32" t="str">
        <f>"－"</f>
        <v>－</v>
      </c>
      <c r="V273" s="32" t="n">
        <f>239080170</f>
        <v>2.3908017E8</v>
      </c>
      <c r="W273" s="32" t="str">
        <f>"－"</f>
        <v>－</v>
      </c>
      <c r="X273" s="36" t="n">
        <f>19</f>
        <v>19.0</v>
      </c>
    </row>
    <row r="274">
      <c r="A274" s="27" t="s">
        <v>42</v>
      </c>
      <c r="B274" s="27" t="s">
        <v>872</v>
      </c>
      <c r="C274" s="27" t="s">
        <v>873</v>
      </c>
      <c r="D274" s="27" t="s">
        <v>874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10.0</v>
      </c>
      <c r="K274" s="33" t="n">
        <f>1850</f>
        <v>1850.0</v>
      </c>
      <c r="L274" s="34" t="s">
        <v>48</v>
      </c>
      <c r="M274" s="33" t="n">
        <f>1881</f>
        <v>1881.0</v>
      </c>
      <c r="N274" s="34" t="s">
        <v>87</v>
      </c>
      <c r="O274" s="33" t="n">
        <f>1829</f>
        <v>1829.0</v>
      </c>
      <c r="P274" s="34" t="s">
        <v>48</v>
      </c>
      <c r="Q274" s="33" t="n">
        <f>1843.5</f>
        <v>1843.5</v>
      </c>
      <c r="R274" s="34" t="s">
        <v>50</v>
      </c>
      <c r="S274" s="35" t="n">
        <f>1856.03</f>
        <v>1856.03</v>
      </c>
      <c r="T274" s="32" t="n">
        <f>472070</f>
        <v>472070.0</v>
      </c>
      <c r="U274" s="32" t="n">
        <f>105210</f>
        <v>105210.0</v>
      </c>
      <c r="V274" s="32" t="n">
        <f>873544570</f>
        <v>8.7354457E8</v>
      </c>
      <c r="W274" s="32" t="n">
        <f>193208130</f>
        <v>1.9320813E8</v>
      </c>
      <c r="X274" s="36" t="n">
        <f>19</f>
        <v>19.0</v>
      </c>
    </row>
    <row r="275">
      <c r="A275" s="27" t="s">
        <v>42</v>
      </c>
      <c r="B275" s="27" t="s">
        <v>875</v>
      </c>
      <c r="C275" s="27" t="s">
        <v>876</v>
      </c>
      <c r="D275" s="27" t="s">
        <v>877</v>
      </c>
      <c r="E275" s="28" t="s">
        <v>46</v>
      </c>
      <c r="F275" s="29" t="s">
        <v>46</v>
      </c>
      <c r="G275" s="30" t="s">
        <v>46</v>
      </c>
      <c r="H275" s="31"/>
      <c r="I275" s="31" t="s">
        <v>47</v>
      </c>
      <c r="J275" s="32" t="n">
        <v>10.0</v>
      </c>
      <c r="K275" s="33" t="n">
        <f>2378</f>
        <v>2378.0</v>
      </c>
      <c r="L275" s="34" t="s">
        <v>48</v>
      </c>
      <c r="M275" s="33" t="n">
        <f>2591.5</f>
        <v>2591.5</v>
      </c>
      <c r="N275" s="34" t="s">
        <v>49</v>
      </c>
      <c r="O275" s="33" t="n">
        <f>2358.5</f>
        <v>2358.5</v>
      </c>
      <c r="P275" s="34" t="s">
        <v>48</v>
      </c>
      <c r="Q275" s="33" t="n">
        <f>2575.5</f>
        <v>2575.5</v>
      </c>
      <c r="R275" s="34" t="s">
        <v>50</v>
      </c>
      <c r="S275" s="35" t="n">
        <f>2518.97</f>
        <v>2518.97</v>
      </c>
      <c r="T275" s="32" t="n">
        <f>2737490</f>
        <v>2737490.0</v>
      </c>
      <c r="U275" s="32" t="n">
        <f>415600</f>
        <v>415600.0</v>
      </c>
      <c r="V275" s="32" t="n">
        <f>6870050460</f>
        <v>6.87005046E9</v>
      </c>
      <c r="W275" s="32" t="n">
        <f>1047519800</f>
        <v>1.0475198E9</v>
      </c>
      <c r="X275" s="36" t="n">
        <f>19</f>
        <v>19.0</v>
      </c>
    </row>
    <row r="276">
      <c r="A276" s="27" t="s">
        <v>42</v>
      </c>
      <c r="B276" s="27" t="s">
        <v>878</v>
      </c>
      <c r="C276" s="27" t="s">
        <v>879</v>
      </c>
      <c r="D276" s="27" t="s">
        <v>880</v>
      </c>
      <c r="E276" s="28" t="s">
        <v>46</v>
      </c>
      <c r="F276" s="29" t="s">
        <v>46</v>
      </c>
      <c r="G276" s="30" t="s">
        <v>46</v>
      </c>
      <c r="H276" s="31"/>
      <c r="I276" s="31" t="s">
        <v>47</v>
      </c>
      <c r="J276" s="32" t="n">
        <v>1.0</v>
      </c>
      <c r="K276" s="33" t="n">
        <f>19345</f>
        <v>19345.0</v>
      </c>
      <c r="L276" s="34" t="s">
        <v>48</v>
      </c>
      <c r="M276" s="33" t="n">
        <f>20865</f>
        <v>20865.0</v>
      </c>
      <c r="N276" s="34" t="s">
        <v>214</v>
      </c>
      <c r="O276" s="33" t="n">
        <f>19300</f>
        <v>19300.0</v>
      </c>
      <c r="P276" s="34" t="s">
        <v>48</v>
      </c>
      <c r="Q276" s="33" t="n">
        <f>20815</f>
        <v>20815.0</v>
      </c>
      <c r="R276" s="34" t="s">
        <v>50</v>
      </c>
      <c r="S276" s="35" t="n">
        <f>20238.95</f>
        <v>20238.95</v>
      </c>
      <c r="T276" s="32" t="n">
        <f>1027099</f>
        <v>1027099.0</v>
      </c>
      <c r="U276" s="32" t="n">
        <f>57444</f>
        <v>57444.0</v>
      </c>
      <c r="V276" s="32" t="n">
        <f>20721292054</f>
        <v>2.0721292054E10</v>
      </c>
      <c r="W276" s="32" t="n">
        <f>1172429264</f>
        <v>1.172429264E9</v>
      </c>
      <c r="X276" s="36" t="n">
        <f>19</f>
        <v>19.0</v>
      </c>
    </row>
    <row r="277">
      <c r="A277" s="27" t="s">
        <v>42</v>
      </c>
      <c r="B277" s="27" t="s">
        <v>881</v>
      </c>
      <c r="C277" s="27" t="s">
        <v>882</v>
      </c>
      <c r="D277" s="27" t="s">
        <v>883</v>
      </c>
      <c r="E277" s="28" t="s">
        <v>46</v>
      </c>
      <c r="F277" s="29" t="s">
        <v>46</v>
      </c>
      <c r="G277" s="30" t="s">
        <v>46</v>
      </c>
      <c r="H277" s="31"/>
      <c r="I277" s="31" t="s">
        <v>47</v>
      </c>
      <c r="J277" s="32" t="n">
        <v>1.0</v>
      </c>
      <c r="K277" s="33" t="n">
        <f>17110</f>
        <v>17110.0</v>
      </c>
      <c r="L277" s="34" t="s">
        <v>48</v>
      </c>
      <c r="M277" s="33" t="n">
        <f>17910</f>
        <v>17910.0</v>
      </c>
      <c r="N277" s="34" t="s">
        <v>214</v>
      </c>
      <c r="O277" s="33" t="n">
        <f>16905</f>
        <v>16905.0</v>
      </c>
      <c r="P277" s="34" t="s">
        <v>48</v>
      </c>
      <c r="Q277" s="33" t="n">
        <f>17860</f>
        <v>17860.0</v>
      </c>
      <c r="R277" s="34" t="s">
        <v>50</v>
      </c>
      <c r="S277" s="35" t="n">
        <f>17478.42</f>
        <v>17478.42</v>
      </c>
      <c r="T277" s="32" t="n">
        <f>402762</f>
        <v>402762.0</v>
      </c>
      <c r="U277" s="32" t="n">
        <f>1208</f>
        <v>1208.0</v>
      </c>
      <c r="V277" s="32" t="n">
        <f>7029246515</f>
        <v>7.029246515E9</v>
      </c>
      <c r="W277" s="32" t="n">
        <f>21135955</f>
        <v>2.1135955E7</v>
      </c>
      <c r="X277" s="36" t="n">
        <f>19</f>
        <v>19.0</v>
      </c>
    </row>
    <row r="278">
      <c r="A278" s="27" t="s">
        <v>42</v>
      </c>
      <c r="B278" s="27" t="s">
        <v>884</v>
      </c>
      <c r="C278" s="27" t="s">
        <v>885</v>
      </c>
      <c r="D278" s="27" t="s">
        <v>886</v>
      </c>
      <c r="E278" s="28" t="s">
        <v>46</v>
      </c>
      <c r="F278" s="29" t="s">
        <v>46</v>
      </c>
      <c r="G278" s="30" t="s">
        <v>46</v>
      </c>
      <c r="H278" s="31"/>
      <c r="I278" s="31" t="s">
        <v>47</v>
      </c>
      <c r="J278" s="32" t="n">
        <v>1.0</v>
      </c>
      <c r="K278" s="33" t="n">
        <f>31700</f>
        <v>31700.0</v>
      </c>
      <c r="L278" s="34" t="s">
        <v>208</v>
      </c>
      <c r="M278" s="33" t="n">
        <f>33840</f>
        <v>33840.0</v>
      </c>
      <c r="N278" s="34" t="s">
        <v>49</v>
      </c>
      <c r="O278" s="33" t="n">
        <f>31700</f>
        <v>31700.0</v>
      </c>
      <c r="P278" s="34" t="s">
        <v>208</v>
      </c>
      <c r="Q278" s="33" t="n">
        <f>33610</f>
        <v>33610.0</v>
      </c>
      <c r="R278" s="34" t="s">
        <v>364</v>
      </c>
      <c r="S278" s="35" t="n">
        <f>33058.89</f>
        <v>33058.89</v>
      </c>
      <c r="T278" s="32" t="n">
        <f>73</f>
        <v>73.0</v>
      </c>
      <c r="U278" s="32" t="str">
        <f>"－"</f>
        <v>－</v>
      </c>
      <c r="V278" s="32" t="n">
        <f>2367490</f>
        <v>2367490.0</v>
      </c>
      <c r="W278" s="32" t="str">
        <f>"－"</f>
        <v>－</v>
      </c>
      <c r="X278" s="36" t="n">
        <f>9</f>
        <v>9.0</v>
      </c>
    </row>
    <row r="279">
      <c r="A279" s="27" t="s">
        <v>42</v>
      </c>
      <c r="B279" s="27" t="s">
        <v>887</v>
      </c>
      <c r="C279" s="27" t="s">
        <v>888</v>
      </c>
      <c r="D279" s="27" t="s">
        <v>889</v>
      </c>
      <c r="E279" s="28" t="s">
        <v>46</v>
      </c>
      <c r="F279" s="29" t="s">
        <v>46</v>
      </c>
      <c r="G279" s="30" t="s">
        <v>46</v>
      </c>
      <c r="H279" s="31"/>
      <c r="I279" s="31" t="s">
        <v>47</v>
      </c>
      <c r="J279" s="32" t="n">
        <v>1.0</v>
      </c>
      <c r="K279" s="33" t="n">
        <f>2458</f>
        <v>2458.0</v>
      </c>
      <c r="L279" s="34" t="s">
        <v>48</v>
      </c>
      <c r="M279" s="33" t="n">
        <f>2505</f>
        <v>2505.0</v>
      </c>
      <c r="N279" s="34" t="s">
        <v>88</v>
      </c>
      <c r="O279" s="33" t="n">
        <f>2426</f>
        <v>2426.0</v>
      </c>
      <c r="P279" s="34" t="s">
        <v>50</v>
      </c>
      <c r="Q279" s="33" t="n">
        <f>2432</f>
        <v>2432.0</v>
      </c>
      <c r="R279" s="34" t="s">
        <v>50</v>
      </c>
      <c r="S279" s="35" t="n">
        <f>2460.95</f>
        <v>2460.95</v>
      </c>
      <c r="T279" s="32" t="n">
        <f>3548836</f>
        <v>3548836.0</v>
      </c>
      <c r="U279" s="32" t="n">
        <f>3224347</f>
        <v>3224347.0</v>
      </c>
      <c r="V279" s="32" t="n">
        <f>8774618713</f>
        <v>8.774618713E9</v>
      </c>
      <c r="W279" s="32" t="n">
        <f>7975792223</f>
        <v>7.975792223E9</v>
      </c>
      <c r="X279" s="36" t="n">
        <f>19</f>
        <v>19.0</v>
      </c>
    </row>
    <row r="280">
      <c r="A280" s="27" t="s">
        <v>42</v>
      </c>
      <c r="B280" s="27" t="s">
        <v>890</v>
      </c>
      <c r="C280" s="27" t="s">
        <v>891</v>
      </c>
      <c r="D280" s="27" t="s">
        <v>892</v>
      </c>
      <c r="E280" s="28" t="s">
        <v>46</v>
      </c>
      <c r="F280" s="29" t="s">
        <v>46</v>
      </c>
      <c r="G280" s="30" t="s">
        <v>46</v>
      </c>
      <c r="H280" s="31"/>
      <c r="I280" s="31" t="s">
        <v>47</v>
      </c>
      <c r="J280" s="32" t="n">
        <v>10.0</v>
      </c>
      <c r="K280" s="33" t="n">
        <f>2945.5</f>
        <v>2945.5</v>
      </c>
      <c r="L280" s="34" t="s">
        <v>48</v>
      </c>
      <c r="M280" s="33" t="n">
        <f>3014</f>
        <v>3014.0</v>
      </c>
      <c r="N280" s="34" t="s">
        <v>50</v>
      </c>
      <c r="O280" s="33" t="n">
        <f>2917</f>
        <v>2917.0</v>
      </c>
      <c r="P280" s="34" t="s">
        <v>61</v>
      </c>
      <c r="Q280" s="33" t="n">
        <f>3014</f>
        <v>3014.0</v>
      </c>
      <c r="R280" s="34" t="s">
        <v>50</v>
      </c>
      <c r="S280" s="35" t="n">
        <f>2958.68</f>
        <v>2958.68</v>
      </c>
      <c r="T280" s="32" t="n">
        <f>2077900</f>
        <v>2077900.0</v>
      </c>
      <c r="U280" s="32" t="n">
        <f>1037000</f>
        <v>1037000.0</v>
      </c>
      <c r="V280" s="32" t="n">
        <f>6138133160</f>
        <v>6.13813316E9</v>
      </c>
      <c r="W280" s="32" t="n">
        <f>3063021660</f>
        <v>3.06302166E9</v>
      </c>
      <c r="X280" s="36" t="n">
        <f>19</f>
        <v>19.0</v>
      </c>
    </row>
    <row r="281">
      <c r="A281" s="27" t="s">
        <v>42</v>
      </c>
      <c r="B281" s="27" t="s">
        <v>893</v>
      </c>
      <c r="C281" s="27" t="s">
        <v>894</v>
      </c>
      <c r="D281" s="27" t="s">
        <v>895</v>
      </c>
      <c r="E281" s="28" t="s">
        <v>46</v>
      </c>
      <c r="F281" s="29" t="s">
        <v>46</v>
      </c>
      <c r="G281" s="30" t="s">
        <v>46</v>
      </c>
      <c r="H281" s="31"/>
      <c r="I281" s="31" t="s">
        <v>47</v>
      </c>
      <c r="J281" s="32" t="n">
        <v>10.0</v>
      </c>
      <c r="K281" s="33" t="n">
        <f>279.7</f>
        <v>279.7</v>
      </c>
      <c r="L281" s="34" t="s">
        <v>48</v>
      </c>
      <c r="M281" s="33" t="n">
        <f>292.6</f>
        <v>292.6</v>
      </c>
      <c r="N281" s="34" t="s">
        <v>214</v>
      </c>
      <c r="O281" s="33" t="n">
        <f>278.7</f>
        <v>278.7</v>
      </c>
      <c r="P281" s="34" t="s">
        <v>208</v>
      </c>
      <c r="Q281" s="33" t="n">
        <f>291</f>
        <v>291.0</v>
      </c>
      <c r="R281" s="34" t="s">
        <v>50</v>
      </c>
      <c r="S281" s="35" t="n">
        <f>285.37</f>
        <v>285.37</v>
      </c>
      <c r="T281" s="32" t="n">
        <f>46808280</f>
        <v>4.680828E7</v>
      </c>
      <c r="U281" s="32" t="n">
        <f>17618650</f>
        <v>1.761865E7</v>
      </c>
      <c r="V281" s="32" t="n">
        <f>13375456838</f>
        <v>1.3375456838E10</v>
      </c>
      <c r="W281" s="32" t="n">
        <f>5046816128</f>
        <v>5.046816128E9</v>
      </c>
      <c r="X281" s="36" t="n">
        <f>19</f>
        <v>19.0</v>
      </c>
    </row>
    <row r="282">
      <c r="A282" s="27" t="s">
        <v>42</v>
      </c>
      <c r="B282" s="27" t="s">
        <v>896</v>
      </c>
      <c r="C282" s="27" t="s">
        <v>897</v>
      </c>
      <c r="D282" s="27" t="s">
        <v>898</v>
      </c>
      <c r="E282" s="28" t="s">
        <v>46</v>
      </c>
      <c r="F282" s="29" t="s">
        <v>46</v>
      </c>
      <c r="G282" s="30" t="s">
        <v>46</v>
      </c>
      <c r="H282" s="31"/>
      <c r="I282" s="31" t="s">
        <v>47</v>
      </c>
      <c r="J282" s="32" t="n">
        <v>1.0</v>
      </c>
      <c r="K282" s="33" t="n">
        <f>2574</f>
        <v>2574.0</v>
      </c>
      <c r="L282" s="34" t="s">
        <v>48</v>
      </c>
      <c r="M282" s="33" t="n">
        <f>2819</f>
        <v>2819.0</v>
      </c>
      <c r="N282" s="34" t="s">
        <v>50</v>
      </c>
      <c r="O282" s="33" t="n">
        <f>2574</f>
        <v>2574.0</v>
      </c>
      <c r="P282" s="34" t="s">
        <v>48</v>
      </c>
      <c r="Q282" s="33" t="n">
        <f>2818</f>
        <v>2818.0</v>
      </c>
      <c r="R282" s="34" t="s">
        <v>50</v>
      </c>
      <c r="S282" s="35" t="n">
        <f>2749.79</f>
        <v>2749.79</v>
      </c>
      <c r="T282" s="32" t="n">
        <f>1137702</f>
        <v>1137702.0</v>
      </c>
      <c r="U282" s="32" t="n">
        <f>129186</f>
        <v>129186.0</v>
      </c>
      <c r="V282" s="32" t="n">
        <f>3107448469</f>
        <v>3.107448469E9</v>
      </c>
      <c r="W282" s="32" t="n">
        <f>351139837</f>
        <v>3.51139837E8</v>
      </c>
      <c r="X282" s="36" t="n">
        <f>19</f>
        <v>19.0</v>
      </c>
    </row>
    <row r="283">
      <c r="A283" s="27" t="s">
        <v>42</v>
      </c>
      <c r="B283" s="27" t="s">
        <v>899</v>
      </c>
      <c r="C283" s="27" t="s">
        <v>900</v>
      </c>
      <c r="D283" s="27" t="s">
        <v>901</v>
      </c>
      <c r="E283" s="28" t="s">
        <v>46</v>
      </c>
      <c r="F283" s="29" t="s">
        <v>46</v>
      </c>
      <c r="G283" s="30" t="s">
        <v>46</v>
      </c>
      <c r="H283" s="31"/>
      <c r="I283" s="31" t="s">
        <v>47</v>
      </c>
      <c r="J283" s="32" t="n">
        <v>1.0</v>
      </c>
      <c r="K283" s="33" t="n">
        <f>922</f>
        <v>922.0</v>
      </c>
      <c r="L283" s="34" t="s">
        <v>48</v>
      </c>
      <c r="M283" s="33" t="n">
        <f>947</f>
        <v>947.0</v>
      </c>
      <c r="N283" s="34" t="s">
        <v>77</v>
      </c>
      <c r="O283" s="33" t="n">
        <f>904</f>
        <v>904.0</v>
      </c>
      <c r="P283" s="34" t="s">
        <v>50</v>
      </c>
      <c r="Q283" s="33" t="n">
        <f>908</f>
        <v>908.0</v>
      </c>
      <c r="R283" s="34" t="s">
        <v>50</v>
      </c>
      <c r="S283" s="35" t="n">
        <f>926.53</f>
        <v>926.53</v>
      </c>
      <c r="T283" s="32" t="n">
        <f>975541</f>
        <v>975541.0</v>
      </c>
      <c r="U283" s="32" t="n">
        <f>200900</f>
        <v>200900.0</v>
      </c>
      <c r="V283" s="32" t="n">
        <f>901830506</f>
        <v>9.01830506E8</v>
      </c>
      <c r="W283" s="32" t="n">
        <f>184509246</f>
        <v>1.84509246E8</v>
      </c>
      <c r="X283" s="36" t="n">
        <f>19</f>
        <v>19.0</v>
      </c>
    </row>
    <row r="284">
      <c r="A284" s="27" t="s">
        <v>42</v>
      </c>
      <c r="B284" s="27" t="s">
        <v>902</v>
      </c>
      <c r="C284" s="27" t="s">
        <v>903</v>
      </c>
      <c r="D284" s="27" t="s">
        <v>904</v>
      </c>
      <c r="E284" s="28" t="s">
        <v>46</v>
      </c>
      <c r="F284" s="29" t="s">
        <v>46</v>
      </c>
      <c r="G284" s="30" t="s">
        <v>46</v>
      </c>
      <c r="H284" s="31"/>
      <c r="I284" s="31" t="s">
        <v>47</v>
      </c>
      <c r="J284" s="32" t="n">
        <v>10.0</v>
      </c>
      <c r="K284" s="33" t="n">
        <f>1018.5</f>
        <v>1018.5</v>
      </c>
      <c r="L284" s="34" t="s">
        <v>48</v>
      </c>
      <c r="M284" s="33" t="n">
        <f>1059.5</f>
        <v>1059.5</v>
      </c>
      <c r="N284" s="34" t="s">
        <v>218</v>
      </c>
      <c r="O284" s="33" t="n">
        <f>1006.5</f>
        <v>1006.5</v>
      </c>
      <c r="P284" s="34" t="s">
        <v>48</v>
      </c>
      <c r="Q284" s="33" t="n">
        <f>1013.5</f>
        <v>1013.5</v>
      </c>
      <c r="R284" s="34" t="s">
        <v>50</v>
      </c>
      <c r="S284" s="35" t="n">
        <f>1021.58</f>
        <v>1021.58</v>
      </c>
      <c r="T284" s="32" t="n">
        <f>95880</f>
        <v>95880.0</v>
      </c>
      <c r="U284" s="32" t="n">
        <f>68950</f>
        <v>68950.0</v>
      </c>
      <c r="V284" s="32" t="n">
        <f>97923356</f>
        <v>9.7923356E7</v>
      </c>
      <c r="W284" s="32" t="n">
        <f>70457991</f>
        <v>7.0457991E7</v>
      </c>
      <c r="X284" s="36" t="n">
        <f>19</f>
        <v>19.0</v>
      </c>
    </row>
    <row r="285">
      <c r="A285" s="27" t="s">
        <v>42</v>
      </c>
      <c r="B285" s="27" t="s">
        <v>905</v>
      </c>
      <c r="C285" s="27" t="s">
        <v>906</v>
      </c>
      <c r="D285" s="27" t="s">
        <v>907</v>
      </c>
      <c r="E285" s="28" t="s">
        <v>46</v>
      </c>
      <c r="F285" s="29" t="s">
        <v>46</v>
      </c>
      <c r="G285" s="30" t="s">
        <v>46</v>
      </c>
      <c r="H285" s="31"/>
      <c r="I285" s="31" t="s">
        <v>47</v>
      </c>
      <c r="J285" s="32" t="n">
        <v>10.0</v>
      </c>
      <c r="K285" s="33" t="n">
        <f>314.9</f>
        <v>314.9</v>
      </c>
      <c r="L285" s="34" t="s">
        <v>48</v>
      </c>
      <c r="M285" s="33" t="n">
        <f>358.8</f>
        <v>358.8</v>
      </c>
      <c r="N285" s="34" t="s">
        <v>209</v>
      </c>
      <c r="O285" s="33" t="n">
        <f>314.9</f>
        <v>314.9</v>
      </c>
      <c r="P285" s="34" t="s">
        <v>48</v>
      </c>
      <c r="Q285" s="33" t="n">
        <f>342.7</f>
        <v>342.7</v>
      </c>
      <c r="R285" s="34" t="s">
        <v>364</v>
      </c>
      <c r="S285" s="35" t="n">
        <f>334.84</f>
        <v>334.84</v>
      </c>
      <c r="T285" s="32" t="n">
        <f>14460</f>
        <v>14460.0</v>
      </c>
      <c r="U285" s="32" t="str">
        <f>"－"</f>
        <v>－</v>
      </c>
      <c r="V285" s="32" t="n">
        <f>4888779</f>
        <v>4888779.0</v>
      </c>
      <c r="W285" s="32" t="str">
        <f>"－"</f>
        <v>－</v>
      </c>
      <c r="X285" s="36" t="n">
        <f>16</f>
        <v>16.0</v>
      </c>
    </row>
    <row r="286">
      <c r="A286" s="27" t="s">
        <v>42</v>
      </c>
      <c r="B286" s="27" t="s">
        <v>908</v>
      </c>
      <c r="C286" s="27" t="s">
        <v>909</v>
      </c>
      <c r="D286" s="27" t="s">
        <v>910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10.0</v>
      </c>
      <c r="K286" s="33" t="n">
        <f>4024</f>
        <v>4024.0</v>
      </c>
      <c r="L286" s="34" t="s">
        <v>48</v>
      </c>
      <c r="M286" s="33" t="n">
        <f>4461</f>
        <v>4461.0</v>
      </c>
      <c r="N286" s="34" t="s">
        <v>214</v>
      </c>
      <c r="O286" s="33" t="n">
        <f>4019</f>
        <v>4019.0</v>
      </c>
      <c r="P286" s="34" t="s">
        <v>48</v>
      </c>
      <c r="Q286" s="33" t="n">
        <f>4400</f>
        <v>4400.0</v>
      </c>
      <c r="R286" s="34" t="s">
        <v>50</v>
      </c>
      <c r="S286" s="35" t="n">
        <f>4286.11</f>
        <v>4286.11</v>
      </c>
      <c r="T286" s="32" t="n">
        <f>2206100</f>
        <v>2206100.0</v>
      </c>
      <c r="U286" s="32" t="n">
        <f>300</f>
        <v>300.0</v>
      </c>
      <c r="V286" s="32" t="n">
        <f>9455403950</f>
        <v>9.45540395E9</v>
      </c>
      <c r="W286" s="32" t="n">
        <f>1248860</f>
        <v>1248860.0</v>
      </c>
      <c r="X286" s="36" t="n">
        <f>19</f>
        <v>19.0</v>
      </c>
    </row>
    <row r="287">
      <c r="A287" s="27" t="s">
        <v>42</v>
      </c>
      <c r="B287" s="27" t="s">
        <v>911</v>
      </c>
      <c r="C287" s="27" t="s">
        <v>912</v>
      </c>
      <c r="D287" s="27" t="s">
        <v>913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10.0</v>
      </c>
      <c r="K287" s="33" t="n">
        <f>2654</f>
        <v>2654.0</v>
      </c>
      <c r="L287" s="34" t="s">
        <v>48</v>
      </c>
      <c r="M287" s="33" t="n">
        <f>2859.5</f>
        <v>2859.5</v>
      </c>
      <c r="N287" s="34" t="s">
        <v>214</v>
      </c>
      <c r="O287" s="33" t="n">
        <f>2643</f>
        <v>2643.0</v>
      </c>
      <c r="P287" s="34" t="s">
        <v>208</v>
      </c>
      <c r="Q287" s="33" t="n">
        <f>2812</f>
        <v>2812.0</v>
      </c>
      <c r="R287" s="34" t="s">
        <v>50</v>
      </c>
      <c r="S287" s="35" t="n">
        <f>2762.13</f>
        <v>2762.13</v>
      </c>
      <c r="T287" s="32" t="n">
        <f>2392150</f>
        <v>2392150.0</v>
      </c>
      <c r="U287" s="32" t="n">
        <f>35010</f>
        <v>35010.0</v>
      </c>
      <c r="V287" s="32" t="n">
        <f>6596326545</f>
        <v>6.596326545E9</v>
      </c>
      <c r="W287" s="32" t="n">
        <f>100046565</f>
        <v>1.00046565E8</v>
      </c>
      <c r="X287" s="36" t="n">
        <f>19</f>
        <v>19.0</v>
      </c>
    </row>
    <row r="288">
      <c r="A288" s="27" t="s">
        <v>42</v>
      </c>
      <c r="B288" s="27" t="s">
        <v>914</v>
      </c>
      <c r="C288" s="27" t="s">
        <v>915</v>
      </c>
      <c r="D288" s="27" t="s">
        <v>916</v>
      </c>
      <c r="E288" s="28" t="s">
        <v>46</v>
      </c>
      <c r="F288" s="29" t="s">
        <v>46</v>
      </c>
      <c r="G288" s="30" t="s">
        <v>46</v>
      </c>
      <c r="H288" s="31"/>
      <c r="I288" s="31" t="s">
        <v>47</v>
      </c>
      <c r="J288" s="32" t="n">
        <v>10.0</v>
      </c>
      <c r="K288" s="33" t="n">
        <f>322.5</f>
        <v>322.5</v>
      </c>
      <c r="L288" s="34" t="s">
        <v>48</v>
      </c>
      <c r="M288" s="33" t="n">
        <f>335</f>
        <v>335.0</v>
      </c>
      <c r="N288" s="34" t="s">
        <v>209</v>
      </c>
      <c r="O288" s="33" t="n">
        <f>322.5</f>
        <v>322.5</v>
      </c>
      <c r="P288" s="34" t="s">
        <v>48</v>
      </c>
      <c r="Q288" s="33" t="n">
        <f>333.6</f>
        <v>333.6</v>
      </c>
      <c r="R288" s="34" t="s">
        <v>50</v>
      </c>
      <c r="S288" s="35" t="n">
        <f>331.06</f>
        <v>331.06</v>
      </c>
      <c r="T288" s="32" t="n">
        <f>45766790</f>
        <v>4.576679E7</v>
      </c>
      <c r="U288" s="32" t="n">
        <f>32995990</f>
        <v>3.299599E7</v>
      </c>
      <c r="V288" s="32" t="n">
        <f>15058792501</f>
        <v>1.5058792501E10</v>
      </c>
      <c r="W288" s="32" t="n">
        <f>10839674155</f>
        <v>1.0839674155E10</v>
      </c>
      <c r="X288" s="36" t="n">
        <f>19</f>
        <v>19.0</v>
      </c>
    </row>
    <row r="289">
      <c r="A289" s="27" t="s">
        <v>42</v>
      </c>
      <c r="B289" s="27" t="s">
        <v>917</v>
      </c>
      <c r="C289" s="27" t="s">
        <v>918</v>
      </c>
      <c r="D289" s="27" t="s">
        <v>919</v>
      </c>
      <c r="E289" s="28" t="s">
        <v>46</v>
      </c>
      <c r="F289" s="29" t="s">
        <v>46</v>
      </c>
      <c r="G289" s="30" t="s">
        <v>46</v>
      </c>
      <c r="H289" s="31"/>
      <c r="I289" s="31" t="s">
        <v>47</v>
      </c>
      <c r="J289" s="32" t="n">
        <v>1.0</v>
      </c>
      <c r="K289" s="33" t="n">
        <f>1355</f>
        <v>1355.0</v>
      </c>
      <c r="L289" s="34" t="s">
        <v>48</v>
      </c>
      <c r="M289" s="33" t="n">
        <f>1358</f>
        <v>1358.0</v>
      </c>
      <c r="N289" s="34" t="s">
        <v>48</v>
      </c>
      <c r="O289" s="33" t="n">
        <f>1261</f>
        <v>1261.0</v>
      </c>
      <c r="P289" s="34" t="s">
        <v>159</v>
      </c>
      <c r="Q289" s="33" t="n">
        <f>1303</f>
        <v>1303.0</v>
      </c>
      <c r="R289" s="34" t="s">
        <v>50</v>
      </c>
      <c r="S289" s="35" t="n">
        <f>1299.53</f>
        <v>1299.53</v>
      </c>
      <c r="T289" s="32" t="n">
        <f>31568685</f>
        <v>3.1568685E7</v>
      </c>
      <c r="U289" s="32" t="n">
        <f>5566</f>
        <v>5566.0</v>
      </c>
      <c r="V289" s="32" t="n">
        <f>41092714049</f>
        <v>4.1092714049E10</v>
      </c>
      <c r="W289" s="32" t="n">
        <f>7335135</f>
        <v>7335135.0</v>
      </c>
      <c r="X289" s="36" t="n">
        <f>19</f>
        <v>19.0</v>
      </c>
    </row>
    <row r="290">
      <c r="A290" s="27" t="s">
        <v>42</v>
      </c>
      <c r="B290" s="27" t="s">
        <v>920</v>
      </c>
      <c r="C290" s="27" t="s">
        <v>921</v>
      </c>
      <c r="D290" s="27" t="s">
        <v>922</v>
      </c>
      <c r="E290" s="28" t="s">
        <v>46</v>
      </c>
      <c r="F290" s="29" t="s">
        <v>46</v>
      </c>
      <c r="G290" s="30" t="s">
        <v>46</v>
      </c>
      <c r="H290" s="31"/>
      <c r="I290" s="31" t="s">
        <v>47</v>
      </c>
      <c r="J290" s="32" t="n">
        <v>1.0</v>
      </c>
      <c r="K290" s="33" t="n">
        <f>1820</f>
        <v>1820.0</v>
      </c>
      <c r="L290" s="34" t="s">
        <v>48</v>
      </c>
      <c r="M290" s="33" t="n">
        <f>1820</f>
        <v>1820.0</v>
      </c>
      <c r="N290" s="34" t="s">
        <v>48</v>
      </c>
      <c r="O290" s="33" t="n">
        <f>1748</f>
        <v>1748.0</v>
      </c>
      <c r="P290" s="34" t="s">
        <v>158</v>
      </c>
      <c r="Q290" s="33" t="n">
        <f>1775</f>
        <v>1775.0</v>
      </c>
      <c r="R290" s="34" t="s">
        <v>50</v>
      </c>
      <c r="S290" s="35" t="n">
        <f>1769.74</f>
        <v>1769.74</v>
      </c>
      <c r="T290" s="32" t="n">
        <f>85705</f>
        <v>85705.0</v>
      </c>
      <c r="U290" s="32" t="n">
        <f>4</f>
        <v>4.0</v>
      </c>
      <c r="V290" s="32" t="n">
        <f>152262946</f>
        <v>1.52262946E8</v>
      </c>
      <c r="W290" s="32" t="n">
        <f>7133</f>
        <v>7133.0</v>
      </c>
      <c r="X290" s="36" t="n">
        <f>19</f>
        <v>19.0</v>
      </c>
    </row>
    <row r="291">
      <c r="A291" s="27" t="s">
        <v>42</v>
      </c>
      <c r="B291" s="27" t="s">
        <v>923</v>
      </c>
      <c r="C291" s="27" t="s">
        <v>924</v>
      </c>
      <c r="D291" s="27" t="s">
        <v>925</v>
      </c>
      <c r="E291" s="28" t="s">
        <v>46</v>
      </c>
      <c r="F291" s="29" t="s">
        <v>46</v>
      </c>
      <c r="G291" s="30" t="s">
        <v>46</v>
      </c>
      <c r="H291" s="31"/>
      <c r="I291" s="31" t="s">
        <v>47</v>
      </c>
      <c r="J291" s="32" t="n">
        <v>1.0</v>
      </c>
      <c r="K291" s="33" t="n">
        <f>2136</f>
        <v>2136.0</v>
      </c>
      <c r="L291" s="34" t="s">
        <v>48</v>
      </c>
      <c r="M291" s="33" t="n">
        <f>2140</f>
        <v>2140.0</v>
      </c>
      <c r="N291" s="34" t="s">
        <v>48</v>
      </c>
      <c r="O291" s="33" t="n">
        <f>2107</f>
        <v>2107.0</v>
      </c>
      <c r="P291" s="34" t="s">
        <v>61</v>
      </c>
      <c r="Q291" s="33" t="n">
        <f>2129</f>
        <v>2129.0</v>
      </c>
      <c r="R291" s="34" t="s">
        <v>50</v>
      </c>
      <c r="S291" s="35" t="n">
        <f>2122.33</f>
        <v>2122.33</v>
      </c>
      <c r="T291" s="32" t="n">
        <f>1570268</f>
        <v>1570268.0</v>
      </c>
      <c r="U291" s="32" t="n">
        <f>1565000</f>
        <v>1565000.0</v>
      </c>
      <c r="V291" s="32" t="n">
        <f>3333118356</f>
        <v>3.333118356E9</v>
      </c>
      <c r="W291" s="32" t="n">
        <f>3321937400</f>
        <v>3.3219374E9</v>
      </c>
      <c r="X291" s="36" t="n">
        <f>18</f>
        <v>18.0</v>
      </c>
    </row>
    <row r="292">
      <c r="A292" s="27" t="s">
        <v>42</v>
      </c>
      <c r="B292" s="27" t="s">
        <v>926</v>
      </c>
      <c r="C292" s="27" t="s">
        <v>927</v>
      </c>
      <c r="D292" s="27" t="s">
        <v>928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3320</f>
        <v>3320.0</v>
      </c>
      <c r="L292" s="34" t="s">
        <v>48</v>
      </c>
      <c r="M292" s="33" t="n">
        <f>3715</f>
        <v>3715.0</v>
      </c>
      <c r="N292" s="34" t="s">
        <v>49</v>
      </c>
      <c r="O292" s="33" t="n">
        <f>3280</f>
        <v>3280.0</v>
      </c>
      <c r="P292" s="34" t="s">
        <v>48</v>
      </c>
      <c r="Q292" s="33" t="n">
        <f>3640</f>
        <v>3640.0</v>
      </c>
      <c r="R292" s="34" t="s">
        <v>50</v>
      </c>
      <c r="S292" s="35" t="n">
        <f>3558.68</f>
        <v>3558.68</v>
      </c>
      <c r="T292" s="32" t="n">
        <f>875655</f>
        <v>875655.0</v>
      </c>
      <c r="U292" s="32" t="n">
        <f>482070</f>
        <v>482070.0</v>
      </c>
      <c r="V292" s="32" t="n">
        <f>3107016358</f>
        <v>3.107016358E9</v>
      </c>
      <c r="W292" s="32" t="n">
        <f>1736807738</f>
        <v>1.736807738E9</v>
      </c>
      <c r="X292" s="36" t="n">
        <f>19</f>
        <v>19.0</v>
      </c>
    </row>
    <row r="293">
      <c r="A293" s="27" t="s">
        <v>42</v>
      </c>
      <c r="B293" s="27" t="s">
        <v>929</v>
      </c>
      <c r="C293" s="27" t="s">
        <v>930</v>
      </c>
      <c r="D293" s="27" t="s">
        <v>931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2363</f>
        <v>2363.0</v>
      </c>
      <c r="L293" s="34" t="s">
        <v>48</v>
      </c>
      <c r="M293" s="33" t="n">
        <f>2567</f>
        <v>2567.0</v>
      </c>
      <c r="N293" s="34" t="s">
        <v>49</v>
      </c>
      <c r="O293" s="33" t="n">
        <f>2342</f>
        <v>2342.0</v>
      </c>
      <c r="P293" s="34" t="s">
        <v>48</v>
      </c>
      <c r="Q293" s="33" t="n">
        <f>2554</f>
        <v>2554.0</v>
      </c>
      <c r="R293" s="34" t="s">
        <v>50</v>
      </c>
      <c r="S293" s="35" t="n">
        <f>2498</f>
        <v>2498.0</v>
      </c>
      <c r="T293" s="32" t="n">
        <f>2252235</f>
        <v>2252235.0</v>
      </c>
      <c r="U293" s="32" t="n">
        <f>1303000</f>
        <v>1303000.0</v>
      </c>
      <c r="V293" s="32" t="n">
        <f>5556988413</f>
        <v>5.556988413E9</v>
      </c>
      <c r="W293" s="32" t="n">
        <f>3221769375</f>
        <v>3.221769375E9</v>
      </c>
      <c r="X293" s="36" t="n">
        <f>19</f>
        <v>19.0</v>
      </c>
    </row>
    <row r="294">
      <c r="A294" s="27" t="s">
        <v>42</v>
      </c>
      <c r="B294" s="27" t="s">
        <v>932</v>
      </c>
      <c r="C294" s="27" t="s">
        <v>933</v>
      </c>
      <c r="D294" s="27" t="s">
        <v>934</v>
      </c>
      <c r="E294" s="28" t="s">
        <v>46</v>
      </c>
      <c r="F294" s="29" t="s">
        <v>46</v>
      </c>
      <c r="G294" s="30" t="s">
        <v>46</v>
      </c>
      <c r="H294" s="31"/>
      <c r="I294" s="31" t="s">
        <v>47</v>
      </c>
      <c r="J294" s="32" t="n">
        <v>1.0</v>
      </c>
      <c r="K294" s="33" t="n">
        <f>2032</f>
        <v>2032.0</v>
      </c>
      <c r="L294" s="34" t="s">
        <v>48</v>
      </c>
      <c r="M294" s="33" t="n">
        <f>2199</f>
        <v>2199.0</v>
      </c>
      <c r="N294" s="34" t="s">
        <v>77</v>
      </c>
      <c r="O294" s="33" t="n">
        <f>2020</f>
        <v>2020.0</v>
      </c>
      <c r="P294" s="34" t="s">
        <v>48</v>
      </c>
      <c r="Q294" s="33" t="n">
        <f>2169</f>
        <v>2169.0</v>
      </c>
      <c r="R294" s="34" t="s">
        <v>50</v>
      </c>
      <c r="S294" s="35" t="n">
        <f>2149.89</f>
        <v>2149.89</v>
      </c>
      <c r="T294" s="32" t="n">
        <f>65677</f>
        <v>65677.0</v>
      </c>
      <c r="U294" s="32" t="n">
        <f>1</f>
        <v>1.0</v>
      </c>
      <c r="V294" s="32" t="n">
        <f>141669968</f>
        <v>1.41669968E8</v>
      </c>
      <c r="W294" s="32" t="n">
        <f>2164</f>
        <v>2164.0</v>
      </c>
      <c r="X294" s="36" t="n">
        <f>19</f>
        <v>19.0</v>
      </c>
    </row>
    <row r="295">
      <c r="A295" s="27" t="s">
        <v>42</v>
      </c>
      <c r="B295" s="27" t="s">
        <v>935</v>
      </c>
      <c r="C295" s="27" t="s">
        <v>936</v>
      </c>
      <c r="D295" s="27" t="s">
        <v>937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1303</f>
        <v>1303.0</v>
      </c>
      <c r="L295" s="34" t="s">
        <v>48</v>
      </c>
      <c r="M295" s="33" t="n">
        <f>1346</f>
        <v>1346.0</v>
      </c>
      <c r="N295" s="34" t="s">
        <v>158</v>
      </c>
      <c r="O295" s="33" t="n">
        <f>1267</f>
        <v>1267.0</v>
      </c>
      <c r="P295" s="34" t="s">
        <v>50</v>
      </c>
      <c r="Q295" s="33" t="n">
        <f>1267</f>
        <v>1267.0</v>
      </c>
      <c r="R295" s="34" t="s">
        <v>50</v>
      </c>
      <c r="S295" s="35" t="n">
        <f>1302.68</f>
        <v>1302.68</v>
      </c>
      <c r="T295" s="32" t="n">
        <f>20851</f>
        <v>20851.0</v>
      </c>
      <c r="U295" s="32" t="str">
        <f>"－"</f>
        <v>－</v>
      </c>
      <c r="V295" s="32" t="n">
        <f>27203772</f>
        <v>2.7203772E7</v>
      </c>
      <c r="W295" s="32" t="str">
        <f>"－"</f>
        <v>－</v>
      </c>
      <c r="X295" s="36" t="n">
        <f>19</f>
        <v>19.0</v>
      </c>
    </row>
    <row r="296">
      <c r="A296" s="27" t="s">
        <v>42</v>
      </c>
      <c r="B296" s="27" t="s">
        <v>938</v>
      </c>
      <c r="C296" s="27" t="s">
        <v>939</v>
      </c>
      <c r="D296" s="27" t="s">
        <v>940</v>
      </c>
      <c r="E296" s="28" t="s">
        <v>46</v>
      </c>
      <c r="F296" s="29" t="s">
        <v>46</v>
      </c>
      <c r="G296" s="30" t="s">
        <v>46</v>
      </c>
      <c r="H296" s="31"/>
      <c r="I296" s="31" t="s">
        <v>47</v>
      </c>
      <c r="J296" s="32" t="n">
        <v>1.0</v>
      </c>
      <c r="K296" s="33" t="n">
        <f>1725</f>
        <v>1725.0</v>
      </c>
      <c r="L296" s="34" t="s">
        <v>48</v>
      </c>
      <c r="M296" s="33" t="n">
        <f>1725</f>
        <v>1725.0</v>
      </c>
      <c r="N296" s="34" t="s">
        <v>48</v>
      </c>
      <c r="O296" s="33" t="n">
        <f>1460</f>
        <v>1460.0</v>
      </c>
      <c r="P296" s="34" t="s">
        <v>50</v>
      </c>
      <c r="Q296" s="33" t="n">
        <f>1490</f>
        <v>1490.0</v>
      </c>
      <c r="R296" s="34" t="s">
        <v>50</v>
      </c>
      <c r="S296" s="35" t="n">
        <f>1596.32</f>
        <v>1596.32</v>
      </c>
      <c r="T296" s="32" t="n">
        <f>72696</f>
        <v>72696.0</v>
      </c>
      <c r="U296" s="32" t="str">
        <f>"－"</f>
        <v>－</v>
      </c>
      <c r="V296" s="32" t="n">
        <f>114201672</f>
        <v>1.14201672E8</v>
      </c>
      <c r="W296" s="32" t="str">
        <f>"－"</f>
        <v>－</v>
      </c>
      <c r="X296" s="36" t="n">
        <f>19</f>
        <v>19.0</v>
      </c>
    </row>
    <row r="297">
      <c r="A297" s="27" t="s">
        <v>42</v>
      </c>
      <c r="B297" s="27" t="s">
        <v>941</v>
      </c>
      <c r="C297" s="27" t="s">
        <v>942</v>
      </c>
      <c r="D297" s="27" t="s">
        <v>943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2191</f>
        <v>2191.0</v>
      </c>
      <c r="L297" s="34" t="s">
        <v>48</v>
      </c>
      <c r="M297" s="33" t="n">
        <f>2240</f>
        <v>2240.0</v>
      </c>
      <c r="N297" s="34" t="s">
        <v>159</v>
      </c>
      <c r="O297" s="33" t="n">
        <f>2082</f>
        <v>2082.0</v>
      </c>
      <c r="P297" s="34" t="s">
        <v>49</v>
      </c>
      <c r="Q297" s="33" t="n">
        <f>2100</f>
        <v>2100.0</v>
      </c>
      <c r="R297" s="34" t="s">
        <v>50</v>
      </c>
      <c r="S297" s="35" t="n">
        <f>2141.63</f>
        <v>2141.63</v>
      </c>
      <c r="T297" s="32" t="n">
        <f>10812</f>
        <v>10812.0</v>
      </c>
      <c r="U297" s="32" t="str">
        <f>"－"</f>
        <v>－</v>
      </c>
      <c r="V297" s="32" t="n">
        <f>23181715</f>
        <v>2.3181715E7</v>
      </c>
      <c r="W297" s="32" t="str">
        <f>"－"</f>
        <v>－</v>
      </c>
      <c r="X297" s="36" t="n">
        <f>19</f>
        <v>19.0</v>
      </c>
    </row>
    <row r="298">
      <c r="A298" s="27" t="s">
        <v>42</v>
      </c>
      <c r="B298" s="27" t="s">
        <v>944</v>
      </c>
      <c r="C298" s="27" t="s">
        <v>945</v>
      </c>
      <c r="D298" s="27" t="s">
        <v>946</v>
      </c>
      <c r="E298" s="28" t="s">
        <v>46</v>
      </c>
      <c r="F298" s="29" t="s">
        <v>46</v>
      </c>
      <c r="G298" s="30" t="s">
        <v>46</v>
      </c>
      <c r="H298" s="31"/>
      <c r="I298" s="31" t="s">
        <v>47</v>
      </c>
      <c r="J298" s="32" t="n">
        <v>1.0</v>
      </c>
      <c r="K298" s="33" t="n">
        <f>11035</f>
        <v>11035.0</v>
      </c>
      <c r="L298" s="34" t="s">
        <v>48</v>
      </c>
      <c r="M298" s="33" t="n">
        <f>11540</f>
        <v>11540.0</v>
      </c>
      <c r="N298" s="34" t="s">
        <v>214</v>
      </c>
      <c r="O298" s="33" t="n">
        <f>10990</f>
        <v>10990.0</v>
      </c>
      <c r="P298" s="34" t="s">
        <v>208</v>
      </c>
      <c r="Q298" s="33" t="n">
        <f>11485</f>
        <v>11485.0</v>
      </c>
      <c r="R298" s="34" t="s">
        <v>50</v>
      </c>
      <c r="S298" s="35" t="n">
        <f>11261.58</f>
        <v>11261.58</v>
      </c>
      <c r="T298" s="32" t="n">
        <f>560538</f>
        <v>560538.0</v>
      </c>
      <c r="U298" s="32" t="n">
        <f>268100</f>
        <v>268100.0</v>
      </c>
      <c r="V298" s="32" t="n">
        <f>6350976267</f>
        <v>6.350976267E9</v>
      </c>
      <c r="W298" s="32" t="n">
        <f>3051988057</f>
        <v>3.051988057E9</v>
      </c>
      <c r="X298" s="36" t="n">
        <f>19</f>
        <v>19.0</v>
      </c>
    </row>
    <row r="299">
      <c r="A299" s="27" t="s">
        <v>42</v>
      </c>
      <c r="B299" s="27" t="s">
        <v>947</v>
      </c>
      <c r="C299" s="27" t="s">
        <v>948</v>
      </c>
      <c r="D299" s="27" t="s">
        <v>949</v>
      </c>
      <c r="E299" s="28" t="s">
        <v>46</v>
      </c>
      <c r="F299" s="29" t="s">
        <v>46</v>
      </c>
      <c r="G299" s="30" t="s">
        <v>46</v>
      </c>
      <c r="H299" s="31"/>
      <c r="I299" s="31" t="s">
        <v>47</v>
      </c>
      <c r="J299" s="32" t="n">
        <v>1.0</v>
      </c>
      <c r="K299" s="33" t="n">
        <f>16820</f>
        <v>16820.0</v>
      </c>
      <c r="L299" s="34" t="s">
        <v>48</v>
      </c>
      <c r="M299" s="33" t="n">
        <f>18640</f>
        <v>18640.0</v>
      </c>
      <c r="N299" s="34" t="s">
        <v>214</v>
      </c>
      <c r="O299" s="33" t="n">
        <f>16790</f>
        <v>16790.0</v>
      </c>
      <c r="P299" s="34" t="s">
        <v>48</v>
      </c>
      <c r="Q299" s="33" t="n">
        <f>18385</f>
        <v>18385.0</v>
      </c>
      <c r="R299" s="34" t="s">
        <v>50</v>
      </c>
      <c r="S299" s="35" t="n">
        <f>17906.05</f>
        <v>17906.05</v>
      </c>
      <c r="T299" s="32" t="n">
        <f>663111</f>
        <v>663111.0</v>
      </c>
      <c r="U299" s="32" t="n">
        <f>15896</f>
        <v>15896.0</v>
      </c>
      <c r="V299" s="32" t="n">
        <f>11856392635</f>
        <v>1.1856392635E10</v>
      </c>
      <c r="W299" s="32" t="n">
        <f>293928555</f>
        <v>2.93928555E8</v>
      </c>
      <c r="X299" s="36" t="n">
        <f>19</f>
        <v>19.0</v>
      </c>
    </row>
    <row r="300">
      <c r="A300" s="27" t="s">
        <v>42</v>
      </c>
      <c r="B300" s="27" t="s">
        <v>950</v>
      </c>
      <c r="C300" s="27" t="s">
        <v>951</v>
      </c>
      <c r="D300" s="27" t="s">
        <v>952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11145</f>
        <v>11145.0</v>
      </c>
      <c r="L300" s="34" t="s">
        <v>48</v>
      </c>
      <c r="M300" s="33" t="n">
        <f>11985</f>
        <v>11985.0</v>
      </c>
      <c r="N300" s="34" t="s">
        <v>214</v>
      </c>
      <c r="O300" s="33" t="n">
        <f>11080</f>
        <v>11080.0</v>
      </c>
      <c r="P300" s="34" t="s">
        <v>208</v>
      </c>
      <c r="Q300" s="33" t="n">
        <f>11790</f>
        <v>11790.0</v>
      </c>
      <c r="R300" s="34" t="s">
        <v>50</v>
      </c>
      <c r="S300" s="35" t="n">
        <f>11577.37</f>
        <v>11577.37</v>
      </c>
      <c r="T300" s="32" t="n">
        <f>550826</f>
        <v>550826.0</v>
      </c>
      <c r="U300" s="32" t="n">
        <f>91671</f>
        <v>91671.0</v>
      </c>
      <c r="V300" s="32" t="n">
        <f>6401177197</f>
        <v>6.401177197E9</v>
      </c>
      <c r="W300" s="32" t="n">
        <f>1095881977</f>
        <v>1.095881977E9</v>
      </c>
      <c r="X300" s="36" t="n">
        <f>19</f>
        <v>19.0</v>
      </c>
    </row>
    <row r="301">
      <c r="A301" s="27" t="s">
        <v>42</v>
      </c>
      <c r="B301" s="27" t="s">
        <v>953</v>
      </c>
      <c r="C301" s="27" t="s">
        <v>954</v>
      </c>
      <c r="D301" s="27" t="s">
        <v>955</v>
      </c>
      <c r="E301" s="28" t="s">
        <v>46</v>
      </c>
      <c r="F301" s="29" t="s">
        <v>46</v>
      </c>
      <c r="G301" s="30" t="s">
        <v>46</v>
      </c>
      <c r="H301" s="31"/>
      <c r="I301" s="31" t="s">
        <v>47</v>
      </c>
      <c r="J301" s="32" t="n">
        <v>10.0</v>
      </c>
      <c r="K301" s="33" t="n">
        <f>311.1</f>
        <v>311.1</v>
      </c>
      <c r="L301" s="34" t="s">
        <v>48</v>
      </c>
      <c r="M301" s="33" t="n">
        <f>335.8</f>
        <v>335.8</v>
      </c>
      <c r="N301" s="34" t="s">
        <v>214</v>
      </c>
      <c r="O301" s="33" t="n">
        <f>310.6</f>
        <v>310.6</v>
      </c>
      <c r="P301" s="34" t="s">
        <v>48</v>
      </c>
      <c r="Q301" s="33" t="n">
        <f>334.7</f>
        <v>334.7</v>
      </c>
      <c r="R301" s="34" t="s">
        <v>50</v>
      </c>
      <c r="S301" s="35" t="n">
        <f>325.74</f>
        <v>325.74</v>
      </c>
      <c r="T301" s="32" t="n">
        <f>7598660</f>
        <v>7598660.0</v>
      </c>
      <c r="U301" s="32" t="n">
        <f>534800</f>
        <v>534800.0</v>
      </c>
      <c r="V301" s="32" t="n">
        <f>2468382907</f>
        <v>2.468382907E9</v>
      </c>
      <c r="W301" s="32" t="n">
        <f>171068980</f>
        <v>1.7106898E8</v>
      </c>
      <c r="X301" s="36" t="n">
        <f>19</f>
        <v>19.0</v>
      </c>
    </row>
    <row r="302">
      <c r="A302" s="27" t="s">
        <v>42</v>
      </c>
      <c r="B302" s="27" t="s">
        <v>956</v>
      </c>
      <c r="C302" s="27" t="s">
        <v>957</v>
      </c>
      <c r="D302" s="27" t="s">
        <v>958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10.0</v>
      </c>
      <c r="K302" s="33" t="n">
        <f>2173.5</f>
        <v>2173.5</v>
      </c>
      <c r="L302" s="34" t="s">
        <v>48</v>
      </c>
      <c r="M302" s="33" t="n">
        <f>2272</f>
        <v>2272.0</v>
      </c>
      <c r="N302" s="34" t="s">
        <v>214</v>
      </c>
      <c r="O302" s="33" t="n">
        <f>2165.5</f>
        <v>2165.5</v>
      </c>
      <c r="P302" s="34" t="s">
        <v>208</v>
      </c>
      <c r="Q302" s="33" t="n">
        <f>2260</f>
        <v>2260.0</v>
      </c>
      <c r="R302" s="34" t="s">
        <v>50</v>
      </c>
      <c r="S302" s="35" t="n">
        <f>2216.97</f>
        <v>2216.97</v>
      </c>
      <c r="T302" s="32" t="n">
        <f>2334790</f>
        <v>2334790.0</v>
      </c>
      <c r="U302" s="32" t="n">
        <f>910950</f>
        <v>910950.0</v>
      </c>
      <c r="V302" s="32" t="n">
        <f>5205913445</f>
        <v>5.205913445E9</v>
      </c>
      <c r="W302" s="32" t="n">
        <f>2032491315</f>
        <v>2.032491315E9</v>
      </c>
      <c r="X302" s="36" t="n">
        <f>19</f>
        <v>19.0</v>
      </c>
    </row>
    <row r="303">
      <c r="A303" s="27" t="s">
        <v>42</v>
      </c>
      <c r="B303" s="27" t="s">
        <v>959</v>
      </c>
      <c r="C303" s="27" t="s">
        <v>960</v>
      </c>
      <c r="D303" s="27" t="s">
        <v>961</v>
      </c>
      <c r="E303" s="28" t="s">
        <v>46</v>
      </c>
      <c r="F303" s="29" t="s">
        <v>46</v>
      </c>
      <c r="G303" s="30" t="s">
        <v>46</v>
      </c>
      <c r="H303" s="31"/>
      <c r="I303" s="31" t="s">
        <v>47</v>
      </c>
      <c r="J303" s="32" t="n">
        <v>10.0</v>
      </c>
      <c r="K303" s="33" t="n">
        <f>3255</f>
        <v>3255.0</v>
      </c>
      <c r="L303" s="34" t="s">
        <v>48</v>
      </c>
      <c r="M303" s="33" t="n">
        <f>3500</f>
        <v>3500.0</v>
      </c>
      <c r="N303" s="34" t="s">
        <v>87</v>
      </c>
      <c r="O303" s="33" t="n">
        <f>3234</f>
        <v>3234.0</v>
      </c>
      <c r="P303" s="34" t="s">
        <v>48</v>
      </c>
      <c r="Q303" s="33" t="n">
        <f>3477</f>
        <v>3477.0</v>
      </c>
      <c r="R303" s="34" t="s">
        <v>50</v>
      </c>
      <c r="S303" s="35" t="n">
        <f>3388.47</f>
        <v>3388.47</v>
      </c>
      <c r="T303" s="32" t="n">
        <f>97190</f>
        <v>97190.0</v>
      </c>
      <c r="U303" s="32" t="n">
        <f>80020</f>
        <v>80020.0</v>
      </c>
      <c r="V303" s="32" t="n">
        <f>317536660</f>
        <v>3.1753666E8</v>
      </c>
      <c r="W303" s="32" t="n">
        <f>259898830</f>
        <v>2.5989883E8</v>
      </c>
      <c r="X303" s="36" t="n">
        <f>19</f>
        <v>19.0</v>
      </c>
    </row>
    <row r="304">
      <c r="A304" s="27" t="s">
        <v>42</v>
      </c>
      <c r="B304" s="27" t="s">
        <v>962</v>
      </c>
      <c r="C304" s="27" t="s">
        <v>963</v>
      </c>
      <c r="D304" s="27" t="s">
        <v>964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1.0</v>
      </c>
      <c r="K304" s="33" t="n">
        <f>2891</f>
        <v>2891.0</v>
      </c>
      <c r="L304" s="34" t="s">
        <v>48</v>
      </c>
      <c r="M304" s="33" t="n">
        <f>3190</f>
        <v>3190.0</v>
      </c>
      <c r="N304" s="34" t="s">
        <v>49</v>
      </c>
      <c r="O304" s="33" t="n">
        <f>2868</f>
        <v>2868.0</v>
      </c>
      <c r="P304" s="34" t="s">
        <v>48</v>
      </c>
      <c r="Q304" s="33" t="n">
        <f>3140</f>
        <v>3140.0</v>
      </c>
      <c r="R304" s="34" t="s">
        <v>50</v>
      </c>
      <c r="S304" s="35" t="n">
        <f>3070</f>
        <v>3070.0</v>
      </c>
      <c r="T304" s="32" t="n">
        <f>5574</f>
        <v>5574.0</v>
      </c>
      <c r="U304" s="32" t="str">
        <f>"－"</f>
        <v>－</v>
      </c>
      <c r="V304" s="32" t="n">
        <f>16964983</f>
        <v>1.6964983E7</v>
      </c>
      <c r="W304" s="32" t="str">
        <f>"－"</f>
        <v>－</v>
      </c>
      <c r="X304" s="36" t="n">
        <f>19</f>
        <v>19.0</v>
      </c>
    </row>
    <row r="305">
      <c r="A305" s="27" t="s">
        <v>42</v>
      </c>
      <c r="B305" s="27" t="s">
        <v>965</v>
      </c>
      <c r="C305" s="27" t="s">
        <v>966</v>
      </c>
      <c r="D305" s="27" t="s">
        <v>967</v>
      </c>
      <c r="E305" s="28" t="s">
        <v>46</v>
      </c>
      <c r="F305" s="29" t="s">
        <v>46</v>
      </c>
      <c r="G305" s="30" t="s">
        <v>46</v>
      </c>
      <c r="H305" s="31"/>
      <c r="I305" s="31" t="s">
        <v>47</v>
      </c>
      <c r="J305" s="32" t="n">
        <v>1.0</v>
      </c>
      <c r="K305" s="33" t="n">
        <f>1519</f>
        <v>1519.0</v>
      </c>
      <c r="L305" s="34" t="s">
        <v>48</v>
      </c>
      <c r="M305" s="33" t="n">
        <f>1610</f>
        <v>1610.0</v>
      </c>
      <c r="N305" s="34" t="s">
        <v>87</v>
      </c>
      <c r="O305" s="33" t="n">
        <f>1500</f>
        <v>1500.0</v>
      </c>
      <c r="P305" s="34" t="s">
        <v>48</v>
      </c>
      <c r="Q305" s="33" t="n">
        <f>1589</f>
        <v>1589.0</v>
      </c>
      <c r="R305" s="34" t="s">
        <v>50</v>
      </c>
      <c r="S305" s="35" t="n">
        <f>1572.79</f>
        <v>1572.79</v>
      </c>
      <c r="T305" s="32" t="n">
        <f>171378</f>
        <v>171378.0</v>
      </c>
      <c r="U305" s="32" t="n">
        <f>40000</f>
        <v>40000.0</v>
      </c>
      <c r="V305" s="32" t="n">
        <f>272154469</f>
        <v>2.72154469E8</v>
      </c>
      <c r="W305" s="32" t="n">
        <f>64044000</f>
        <v>6.4044E7</v>
      </c>
      <c r="X305" s="36" t="n">
        <f>19</f>
        <v>19.0</v>
      </c>
    </row>
    <row r="306">
      <c r="A306" s="27" t="s">
        <v>42</v>
      </c>
      <c r="B306" s="27" t="s">
        <v>968</v>
      </c>
      <c r="C306" s="27" t="s">
        <v>969</v>
      </c>
      <c r="D306" s="27" t="s">
        <v>970</v>
      </c>
      <c r="E306" s="28" t="s">
        <v>46</v>
      </c>
      <c r="F306" s="29" t="s">
        <v>46</v>
      </c>
      <c r="G306" s="30" t="s">
        <v>46</v>
      </c>
      <c r="H306" s="31"/>
      <c r="I306" s="31" t="s">
        <v>47</v>
      </c>
      <c r="J306" s="32" t="n">
        <v>1.0</v>
      </c>
      <c r="K306" s="33" t="n">
        <f>1967</f>
        <v>1967.0</v>
      </c>
      <c r="L306" s="34" t="s">
        <v>48</v>
      </c>
      <c r="M306" s="33" t="n">
        <f>2146</f>
        <v>2146.0</v>
      </c>
      <c r="N306" s="34" t="s">
        <v>213</v>
      </c>
      <c r="O306" s="33" t="n">
        <f>1939</f>
        <v>1939.0</v>
      </c>
      <c r="P306" s="34" t="s">
        <v>88</v>
      </c>
      <c r="Q306" s="33" t="n">
        <f>2056</f>
        <v>2056.0</v>
      </c>
      <c r="R306" s="34" t="s">
        <v>50</v>
      </c>
      <c r="S306" s="35" t="n">
        <f>2054.37</f>
        <v>2054.37</v>
      </c>
      <c r="T306" s="32" t="n">
        <f>201055</f>
        <v>201055.0</v>
      </c>
      <c r="U306" s="32" t="n">
        <f>2</f>
        <v>2.0</v>
      </c>
      <c r="V306" s="32" t="n">
        <f>414429998</f>
        <v>4.14429998E8</v>
      </c>
      <c r="W306" s="32" t="n">
        <f>4142</f>
        <v>4142.0</v>
      </c>
      <c r="X306" s="36" t="n">
        <f>19</f>
        <v>19.0</v>
      </c>
    </row>
    <row r="307">
      <c r="A307" s="27" t="s">
        <v>42</v>
      </c>
      <c r="B307" s="27" t="s">
        <v>971</v>
      </c>
      <c r="C307" s="27" t="s">
        <v>972</v>
      </c>
      <c r="D307" s="27" t="s">
        <v>973</v>
      </c>
      <c r="E307" s="28" t="s">
        <v>46</v>
      </c>
      <c r="F307" s="29" t="s">
        <v>46</v>
      </c>
      <c r="G307" s="30" t="s">
        <v>46</v>
      </c>
      <c r="H307" s="31"/>
      <c r="I307" s="31" t="s">
        <v>47</v>
      </c>
      <c r="J307" s="32" t="n">
        <v>1.0</v>
      </c>
      <c r="K307" s="33" t="n">
        <f>1580</f>
        <v>1580.0</v>
      </c>
      <c r="L307" s="34" t="s">
        <v>48</v>
      </c>
      <c r="M307" s="33" t="n">
        <f>1695</f>
        <v>1695.0</v>
      </c>
      <c r="N307" s="34" t="s">
        <v>77</v>
      </c>
      <c r="O307" s="33" t="n">
        <f>1568</f>
        <v>1568.0</v>
      </c>
      <c r="P307" s="34" t="s">
        <v>48</v>
      </c>
      <c r="Q307" s="33" t="n">
        <f>1635</f>
        <v>1635.0</v>
      </c>
      <c r="R307" s="34" t="s">
        <v>50</v>
      </c>
      <c r="S307" s="35" t="n">
        <f>1648.68</f>
        <v>1648.68</v>
      </c>
      <c r="T307" s="32" t="n">
        <f>65694</f>
        <v>65694.0</v>
      </c>
      <c r="U307" s="32" t="str">
        <f>"－"</f>
        <v>－</v>
      </c>
      <c r="V307" s="32" t="n">
        <f>107700738</f>
        <v>1.07700738E8</v>
      </c>
      <c r="W307" s="32" t="str">
        <f>"－"</f>
        <v>－</v>
      </c>
      <c r="X307" s="36" t="n">
        <f>19</f>
        <v>19.0</v>
      </c>
    </row>
    <row r="308">
      <c r="A308" s="27" t="s">
        <v>42</v>
      </c>
      <c r="B308" s="27" t="s">
        <v>974</v>
      </c>
      <c r="C308" s="27" t="s">
        <v>975</v>
      </c>
      <c r="D308" s="27" t="s">
        <v>976</v>
      </c>
      <c r="E308" s="28" t="s">
        <v>46</v>
      </c>
      <c r="F308" s="29" t="s">
        <v>46</v>
      </c>
      <c r="G308" s="30" t="s">
        <v>46</v>
      </c>
      <c r="H308" s="31"/>
      <c r="I308" s="31" t="s">
        <v>47</v>
      </c>
      <c r="J308" s="32" t="n">
        <v>1.0</v>
      </c>
      <c r="K308" s="33" t="n">
        <f>2688</f>
        <v>2688.0</v>
      </c>
      <c r="L308" s="34" t="s">
        <v>48</v>
      </c>
      <c r="M308" s="33" t="n">
        <f>2989</f>
        <v>2989.0</v>
      </c>
      <c r="N308" s="34" t="s">
        <v>50</v>
      </c>
      <c r="O308" s="33" t="n">
        <f>2651</f>
        <v>2651.0</v>
      </c>
      <c r="P308" s="34" t="s">
        <v>48</v>
      </c>
      <c r="Q308" s="33" t="n">
        <f>2989</f>
        <v>2989.0</v>
      </c>
      <c r="R308" s="34" t="s">
        <v>50</v>
      </c>
      <c r="S308" s="35" t="n">
        <f>2897.84</f>
        <v>2897.84</v>
      </c>
      <c r="T308" s="32" t="n">
        <f>80564</f>
        <v>80564.0</v>
      </c>
      <c r="U308" s="32" t="str">
        <f>"－"</f>
        <v>－</v>
      </c>
      <c r="V308" s="32" t="n">
        <f>231909289</f>
        <v>2.31909289E8</v>
      </c>
      <c r="W308" s="32" t="str">
        <f>"－"</f>
        <v>－</v>
      </c>
      <c r="X308" s="36" t="n">
        <f>19</f>
        <v>19.0</v>
      </c>
    </row>
    <row r="309">
      <c r="A309" s="27" t="s">
        <v>42</v>
      </c>
      <c r="B309" s="27" t="s">
        <v>977</v>
      </c>
      <c r="C309" s="27" t="s">
        <v>978</v>
      </c>
      <c r="D309" s="27" t="s">
        <v>979</v>
      </c>
      <c r="E309" s="28" t="s">
        <v>46</v>
      </c>
      <c r="F309" s="29" t="s">
        <v>46</v>
      </c>
      <c r="G309" s="30" t="s">
        <v>46</v>
      </c>
      <c r="H309" s="31"/>
      <c r="I309" s="31" t="s">
        <v>47</v>
      </c>
      <c r="J309" s="32" t="n">
        <v>1.0</v>
      </c>
      <c r="K309" s="33" t="n">
        <f>2570</f>
        <v>2570.0</v>
      </c>
      <c r="L309" s="34" t="s">
        <v>48</v>
      </c>
      <c r="M309" s="33" t="n">
        <f>2875</f>
        <v>2875.0</v>
      </c>
      <c r="N309" s="34" t="s">
        <v>213</v>
      </c>
      <c r="O309" s="33" t="n">
        <f>2531</f>
        <v>2531.0</v>
      </c>
      <c r="P309" s="34" t="s">
        <v>48</v>
      </c>
      <c r="Q309" s="33" t="n">
        <f>2810</f>
        <v>2810.0</v>
      </c>
      <c r="R309" s="34" t="s">
        <v>50</v>
      </c>
      <c r="S309" s="35" t="n">
        <f>2731.21</f>
        <v>2731.21</v>
      </c>
      <c r="T309" s="32" t="n">
        <f>220698</f>
        <v>220698.0</v>
      </c>
      <c r="U309" s="32" t="str">
        <f>"－"</f>
        <v>－</v>
      </c>
      <c r="V309" s="32" t="n">
        <f>606736415</f>
        <v>6.06736415E8</v>
      </c>
      <c r="W309" s="32" t="str">
        <f>"－"</f>
        <v>－</v>
      </c>
      <c r="X309" s="36" t="n">
        <f>19</f>
        <v>19.0</v>
      </c>
    </row>
    <row r="310">
      <c r="A310" s="27" t="s">
        <v>42</v>
      </c>
      <c r="B310" s="27" t="s">
        <v>980</v>
      </c>
      <c r="C310" s="27" t="s">
        <v>981</v>
      </c>
      <c r="D310" s="27" t="s">
        <v>982</v>
      </c>
      <c r="E310" s="28" t="s">
        <v>46</v>
      </c>
      <c r="F310" s="29" t="s">
        <v>46</v>
      </c>
      <c r="G310" s="30" t="s">
        <v>46</v>
      </c>
      <c r="H310" s="31"/>
      <c r="I310" s="31" t="s">
        <v>47</v>
      </c>
      <c r="J310" s="32" t="n">
        <v>1.0</v>
      </c>
      <c r="K310" s="33" t="n">
        <f>31350</f>
        <v>31350.0</v>
      </c>
      <c r="L310" s="34" t="s">
        <v>48</v>
      </c>
      <c r="M310" s="33" t="n">
        <f>33730</f>
        <v>33730.0</v>
      </c>
      <c r="N310" s="34" t="s">
        <v>49</v>
      </c>
      <c r="O310" s="33" t="n">
        <f>31350</f>
        <v>31350.0</v>
      </c>
      <c r="P310" s="34" t="s">
        <v>48</v>
      </c>
      <c r="Q310" s="33" t="n">
        <f>33570</f>
        <v>33570.0</v>
      </c>
      <c r="R310" s="34" t="s">
        <v>50</v>
      </c>
      <c r="S310" s="35" t="n">
        <f>32892.78</f>
        <v>32892.78</v>
      </c>
      <c r="T310" s="32" t="n">
        <f>78</f>
        <v>78.0</v>
      </c>
      <c r="U310" s="32" t="str">
        <f>"－"</f>
        <v>－</v>
      </c>
      <c r="V310" s="32" t="n">
        <f>2571550</f>
        <v>2571550.0</v>
      </c>
      <c r="W310" s="32" t="str">
        <f>"－"</f>
        <v>－</v>
      </c>
      <c r="X310" s="36" t="n">
        <f>18</f>
        <v>18.0</v>
      </c>
    </row>
    <row r="311">
      <c r="A311" s="27" t="s">
        <v>42</v>
      </c>
      <c r="B311" s="27" t="s">
        <v>983</v>
      </c>
      <c r="C311" s="27" t="s">
        <v>984</v>
      </c>
      <c r="D311" s="27" t="s">
        <v>985</v>
      </c>
      <c r="E311" s="28" t="s">
        <v>46</v>
      </c>
      <c r="F311" s="29" t="s">
        <v>46</v>
      </c>
      <c r="G311" s="30" t="s">
        <v>46</v>
      </c>
      <c r="H311" s="31"/>
      <c r="I311" s="31" t="s">
        <v>47</v>
      </c>
      <c r="J311" s="32" t="n">
        <v>1.0</v>
      </c>
      <c r="K311" s="33" t="n">
        <f>2417</f>
        <v>2417.0</v>
      </c>
      <c r="L311" s="34" t="s">
        <v>48</v>
      </c>
      <c r="M311" s="33" t="n">
        <f>2717</f>
        <v>2717.0</v>
      </c>
      <c r="N311" s="34" t="s">
        <v>50</v>
      </c>
      <c r="O311" s="33" t="n">
        <f>2417</f>
        <v>2417.0</v>
      </c>
      <c r="P311" s="34" t="s">
        <v>48</v>
      </c>
      <c r="Q311" s="33" t="n">
        <f>2635</f>
        <v>2635.0</v>
      </c>
      <c r="R311" s="34" t="s">
        <v>50</v>
      </c>
      <c r="S311" s="35" t="n">
        <f>2575.82</f>
        <v>2575.82</v>
      </c>
      <c r="T311" s="32" t="n">
        <f>23273</f>
        <v>23273.0</v>
      </c>
      <c r="U311" s="32" t="str">
        <f>"－"</f>
        <v>－</v>
      </c>
      <c r="V311" s="32" t="n">
        <f>60253456</f>
        <v>6.0253456E7</v>
      </c>
      <c r="W311" s="32" t="str">
        <f>"－"</f>
        <v>－</v>
      </c>
      <c r="X311" s="36" t="n">
        <f>17</f>
        <v>17.0</v>
      </c>
    </row>
    <row r="312">
      <c r="A312" s="27" t="s">
        <v>42</v>
      </c>
      <c r="B312" s="27" t="s">
        <v>986</v>
      </c>
      <c r="C312" s="27" t="s">
        <v>987</v>
      </c>
      <c r="D312" s="27" t="s">
        <v>988</v>
      </c>
      <c r="E312" s="28" t="s">
        <v>46</v>
      </c>
      <c r="F312" s="29" t="s">
        <v>46</v>
      </c>
      <c r="G312" s="30" t="s">
        <v>46</v>
      </c>
      <c r="H312" s="31"/>
      <c r="I312" s="31" t="s">
        <v>47</v>
      </c>
      <c r="J312" s="32" t="n">
        <v>1.0</v>
      </c>
      <c r="K312" s="33" t="n">
        <f>3700</f>
        <v>3700.0</v>
      </c>
      <c r="L312" s="34" t="s">
        <v>48</v>
      </c>
      <c r="M312" s="33" t="n">
        <f>4395</f>
        <v>4395.0</v>
      </c>
      <c r="N312" s="34" t="s">
        <v>49</v>
      </c>
      <c r="O312" s="33" t="n">
        <f>3625</f>
        <v>3625.0</v>
      </c>
      <c r="P312" s="34" t="s">
        <v>48</v>
      </c>
      <c r="Q312" s="33" t="n">
        <f>4210</f>
        <v>4210.0</v>
      </c>
      <c r="R312" s="34" t="s">
        <v>50</v>
      </c>
      <c r="S312" s="35" t="n">
        <f>4040.79</f>
        <v>4040.79</v>
      </c>
      <c r="T312" s="32" t="n">
        <f>10348030</f>
        <v>1.034803E7</v>
      </c>
      <c r="U312" s="32" t="n">
        <f>913743</f>
        <v>913743.0</v>
      </c>
      <c r="V312" s="32" t="n">
        <f>42592626815</f>
        <v>4.2592626815E10</v>
      </c>
      <c r="W312" s="32" t="n">
        <f>3772079550</f>
        <v>3.77207955E9</v>
      </c>
      <c r="X312" s="36" t="n">
        <f>19</f>
        <v>19.0</v>
      </c>
    </row>
    <row r="313">
      <c r="A313" s="27" t="s">
        <v>42</v>
      </c>
      <c r="B313" s="27" t="s">
        <v>989</v>
      </c>
      <c r="C313" s="27" t="s">
        <v>990</v>
      </c>
      <c r="D313" s="27" t="s">
        <v>991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1931</f>
        <v>1931.0</v>
      </c>
      <c r="L313" s="34" t="s">
        <v>48</v>
      </c>
      <c r="M313" s="33" t="n">
        <f>2061</f>
        <v>2061.0</v>
      </c>
      <c r="N313" s="34" t="s">
        <v>87</v>
      </c>
      <c r="O313" s="33" t="n">
        <f>1910</f>
        <v>1910.0</v>
      </c>
      <c r="P313" s="34" t="s">
        <v>48</v>
      </c>
      <c r="Q313" s="33" t="n">
        <f>2028</f>
        <v>2028.0</v>
      </c>
      <c r="R313" s="34" t="s">
        <v>50</v>
      </c>
      <c r="S313" s="35" t="n">
        <f>2017.21</f>
        <v>2017.21</v>
      </c>
      <c r="T313" s="32" t="n">
        <f>16896</f>
        <v>16896.0</v>
      </c>
      <c r="U313" s="32" t="str">
        <f>"－"</f>
        <v>－</v>
      </c>
      <c r="V313" s="32" t="n">
        <f>33460084</f>
        <v>3.3460084E7</v>
      </c>
      <c r="W313" s="32" t="str">
        <f>"－"</f>
        <v>－</v>
      </c>
      <c r="X313" s="36" t="n">
        <f>19</f>
        <v>19.0</v>
      </c>
    </row>
    <row r="314">
      <c r="A314" s="27" t="s">
        <v>42</v>
      </c>
      <c r="B314" s="27" t="s">
        <v>992</v>
      </c>
      <c r="C314" s="27" t="s">
        <v>993</v>
      </c>
      <c r="D314" s="27" t="s">
        <v>994</v>
      </c>
      <c r="E314" s="28" t="s">
        <v>46</v>
      </c>
      <c r="F314" s="29" t="s">
        <v>46</v>
      </c>
      <c r="G314" s="30" t="s">
        <v>46</v>
      </c>
      <c r="H314" s="31"/>
      <c r="I314" s="31" t="s">
        <v>47</v>
      </c>
      <c r="J314" s="32" t="n">
        <v>1.0</v>
      </c>
      <c r="K314" s="33" t="n">
        <f>1680</f>
        <v>1680.0</v>
      </c>
      <c r="L314" s="34" t="s">
        <v>48</v>
      </c>
      <c r="M314" s="33" t="n">
        <f>1834</f>
        <v>1834.0</v>
      </c>
      <c r="N314" s="34" t="s">
        <v>77</v>
      </c>
      <c r="O314" s="33" t="n">
        <f>1670</f>
        <v>1670.0</v>
      </c>
      <c r="P314" s="34" t="s">
        <v>48</v>
      </c>
      <c r="Q314" s="33" t="n">
        <f>1810</f>
        <v>1810.0</v>
      </c>
      <c r="R314" s="34" t="s">
        <v>50</v>
      </c>
      <c r="S314" s="35" t="n">
        <f>1772.32</f>
        <v>1772.32</v>
      </c>
      <c r="T314" s="32" t="n">
        <f>3904</f>
        <v>3904.0</v>
      </c>
      <c r="U314" s="32" t="str">
        <f>"－"</f>
        <v>－</v>
      </c>
      <c r="V314" s="32" t="n">
        <f>6890951</f>
        <v>6890951.0</v>
      </c>
      <c r="W314" s="32" t="str">
        <f>"－"</f>
        <v>－</v>
      </c>
      <c r="X314" s="36" t="n">
        <f>19</f>
        <v>19.0</v>
      </c>
    </row>
    <row r="315">
      <c r="A315" s="27" t="s">
        <v>42</v>
      </c>
      <c r="B315" s="27" t="s">
        <v>995</v>
      </c>
      <c r="C315" s="27" t="s">
        <v>996</v>
      </c>
      <c r="D315" s="27" t="s">
        <v>997</v>
      </c>
      <c r="E315" s="28" t="s">
        <v>46</v>
      </c>
      <c r="F315" s="29" t="s">
        <v>46</v>
      </c>
      <c r="G315" s="30" t="s">
        <v>46</v>
      </c>
      <c r="H315" s="31"/>
      <c r="I315" s="31" t="s">
        <v>47</v>
      </c>
      <c r="J315" s="32" t="n">
        <v>10.0</v>
      </c>
      <c r="K315" s="33" t="n">
        <f>5397</f>
        <v>5397.0</v>
      </c>
      <c r="L315" s="34" t="s">
        <v>48</v>
      </c>
      <c r="M315" s="33" t="n">
        <f>5547</f>
        <v>5547.0</v>
      </c>
      <c r="N315" s="34" t="s">
        <v>50</v>
      </c>
      <c r="O315" s="33" t="n">
        <f>5370</f>
        <v>5370.0</v>
      </c>
      <c r="P315" s="34" t="s">
        <v>88</v>
      </c>
      <c r="Q315" s="33" t="n">
        <f>5544</f>
        <v>5544.0</v>
      </c>
      <c r="R315" s="34" t="s">
        <v>50</v>
      </c>
      <c r="S315" s="35" t="n">
        <f>5483.16</f>
        <v>5483.16</v>
      </c>
      <c r="T315" s="32" t="n">
        <f>362820</f>
        <v>362820.0</v>
      </c>
      <c r="U315" s="32" t="n">
        <f>237650</f>
        <v>237650.0</v>
      </c>
      <c r="V315" s="32" t="n">
        <f>1986639195</f>
        <v>1.986639195E9</v>
      </c>
      <c r="W315" s="32" t="n">
        <f>1299658305</f>
        <v>1.299658305E9</v>
      </c>
      <c r="X315" s="36" t="n">
        <f>19</f>
        <v>19.0</v>
      </c>
    </row>
    <row r="316">
      <c r="A316" s="27" t="s">
        <v>42</v>
      </c>
      <c r="B316" s="27" t="s">
        <v>998</v>
      </c>
      <c r="C316" s="27" t="s">
        <v>999</v>
      </c>
      <c r="D316" s="27" t="s">
        <v>1000</v>
      </c>
      <c r="E316" s="28" t="s">
        <v>46</v>
      </c>
      <c r="F316" s="29" t="s">
        <v>46</v>
      </c>
      <c r="G316" s="30" t="s">
        <v>46</v>
      </c>
      <c r="H316" s="31"/>
      <c r="I316" s="31" t="s">
        <v>47</v>
      </c>
      <c r="J316" s="32" t="n">
        <v>10.0</v>
      </c>
      <c r="K316" s="33" t="n">
        <f>3900</f>
        <v>3900.0</v>
      </c>
      <c r="L316" s="34" t="s">
        <v>48</v>
      </c>
      <c r="M316" s="33" t="n">
        <f>3900</f>
        <v>3900.0</v>
      </c>
      <c r="N316" s="34" t="s">
        <v>48</v>
      </c>
      <c r="O316" s="33" t="n">
        <f>3808</f>
        <v>3808.0</v>
      </c>
      <c r="P316" s="34" t="s">
        <v>159</v>
      </c>
      <c r="Q316" s="33" t="n">
        <f>3856</f>
        <v>3856.0</v>
      </c>
      <c r="R316" s="34" t="s">
        <v>50</v>
      </c>
      <c r="S316" s="35" t="n">
        <f>3849.89</f>
        <v>3849.89</v>
      </c>
      <c r="T316" s="32" t="n">
        <f>1218760</f>
        <v>1218760.0</v>
      </c>
      <c r="U316" s="32" t="n">
        <f>790720</f>
        <v>790720.0</v>
      </c>
      <c r="V316" s="32" t="n">
        <f>4681457636</f>
        <v>4.681457636E9</v>
      </c>
      <c r="W316" s="32" t="n">
        <f>3035055646</f>
        <v>3.035055646E9</v>
      </c>
      <c r="X316" s="36" t="n">
        <f>19</f>
        <v>19.0</v>
      </c>
    </row>
    <row r="317">
      <c r="A317" s="27" t="s">
        <v>42</v>
      </c>
      <c r="B317" s="27" t="s">
        <v>1001</v>
      </c>
      <c r="C317" s="27" t="s">
        <v>1002</v>
      </c>
      <c r="D317" s="27" t="s">
        <v>1003</v>
      </c>
      <c r="E317" s="28" t="s">
        <v>46</v>
      </c>
      <c r="F317" s="29" t="s">
        <v>46</v>
      </c>
      <c r="G317" s="30" t="s">
        <v>46</v>
      </c>
      <c r="H317" s="31"/>
      <c r="I317" s="31" t="s">
        <v>47</v>
      </c>
      <c r="J317" s="32" t="n">
        <v>10.0</v>
      </c>
      <c r="K317" s="33" t="n">
        <f>659.4</f>
        <v>659.4</v>
      </c>
      <c r="L317" s="34" t="s">
        <v>48</v>
      </c>
      <c r="M317" s="33" t="n">
        <f>689</f>
        <v>689.0</v>
      </c>
      <c r="N317" s="34" t="s">
        <v>245</v>
      </c>
      <c r="O317" s="33" t="n">
        <f>641.3</f>
        <v>641.3</v>
      </c>
      <c r="P317" s="34" t="s">
        <v>87</v>
      </c>
      <c r="Q317" s="33" t="n">
        <f>649.4</f>
        <v>649.4</v>
      </c>
      <c r="R317" s="34" t="s">
        <v>50</v>
      </c>
      <c r="S317" s="35" t="n">
        <f>649.02</f>
        <v>649.02</v>
      </c>
      <c r="T317" s="32" t="n">
        <f>53110</f>
        <v>53110.0</v>
      </c>
      <c r="U317" s="32" t="n">
        <f>30880</f>
        <v>30880.0</v>
      </c>
      <c r="V317" s="32" t="n">
        <f>34436190</f>
        <v>3.443619E7</v>
      </c>
      <c r="W317" s="32" t="n">
        <f>20071224</f>
        <v>2.0071224E7</v>
      </c>
      <c r="X317" s="36" t="n">
        <f>18</f>
        <v>18.0</v>
      </c>
    </row>
    <row r="318">
      <c r="A318" s="27" t="s">
        <v>42</v>
      </c>
      <c r="B318" s="27" t="s">
        <v>1004</v>
      </c>
      <c r="C318" s="27" t="s">
        <v>1005</v>
      </c>
      <c r="D318" s="27" t="s">
        <v>1006</v>
      </c>
      <c r="E318" s="28" t="s">
        <v>46</v>
      </c>
      <c r="F318" s="29" t="s">
        <v>46</v>
      </c>
      <c r="G318" s="30" t="s">
        <v>46</v>
      </c>
      <c r="H318" s="31"/>
      <c r="I318" s="31" t="s">
        <v>47</v>
      </c>
      <c r="J318" s="32" t="n">
        <v>1.0</v>
      </c>
      <c r="K318" s="33" t="n">
        <f>2241</f>
        <v>2241.0</v>
      </c>
      <c r="L318" s="34" t="s">
        <v>48</v>
      </c>
      <c r="M318" s="33" t="n">
        <f>2399</f>
        <v>2399.0</v>
      </c>
      <c r="N318" s="34" t="s">
        <v>77</v>
      </c>
      <c r="O318" s="33" t="n">
        <f>2233</f>
        <v>2233.0</v>
      </c>
      <c r="P318" s="34" t="s">
        <v>48</v>
      </c>
      <c r="Q318" s="33" t="n">
        <f>2378</f>
        <v>2378.0</v>
      </c>
      <c r="R318" s="34" t="s">
        <v>50</v>
      </c>
      <c r="S318" s="35" t="n">
        <f>2337.11</f>
        <v>2337.11</v>
      </c>
      <c r="T318" s="32" t="n">
        <f>82837</f>
        <v>82837.0</v>
      </c>
      <c r="U318" s="32" t="str">
        <f>"－"</f>
        <v>－</v>
      </c>
      <c r="V318" s="32" t="n">
        <f>197539635</f>
        <v>1.97539635E8</v>
      </c>
      <c r="W318" s="32" t="str">
        <f>"－"</f>
        <v>－</v>
      </c>
      <c r="X318" s="36" t="n">
        <f>19</f>
        <v>19.0</v>
      </c>
    </row>
    <row r="319">
      <c r="A319" s="27" t="s">
        <v>42</v>
      </c>
      <c r="B319" s="27" t="s">
        <v>1007</v>
      </c>
      <c r="C319" s="27" t="s">
        <v>1008</v>
      </c>
      <c r="D319" s="27" t="s">
        <v>1009</v>
      </c>
      <c r="E319" s="28" t="s">
        <v>46</v>
      </c>
      <c r="F319" s="29" t="s">
        <v>46</v>
      </c>
      <c r="G319" s="30" t="s">
        <v>46</v>
      </c>
      <c r="H319" s="31"/>
      <c r="I319" s="31" t="s">
        <v>47</v>
      </c>
      <c r="J319" s="32" t="n">
        <v>1.0</v>
      </c>
      <c r="K319" s="33" t="n">
        <f>2112</f>
        <v>2112.0</v>
      </c>
      <c r="L319" s="34" t="s">
        <v>48</v>
      </c>
      <c r="M319" s="33" t="n">
        <f>2227</f>
        <v>2227.0</v>
      </c>
      <c r="N319" s="34" t="s">
        <v>50</v>
      </c>
      <c r="O319" s="33" t="n">
        <f>2105</f>
        <v>2105.0</v>
      </c>
      <c r="P319" s="34" t="s">
        <v>48</v>
      </c>
      <c r="Q319" s="33" t="n">
        <f>2186</f>
        <v>2186.0</v>
      </c>
      <c r="R319" s="34" t="s">
        <v>50</v>
      </c>
      <c r="S319" s="35" t="n">
        <f>2170.53</f>
        <v>2170.53</v>
      </c>
      <c r="T319" s="32" t="n">
        <f>159397</f>
        <v>159397.0</v>
      </c>
      <c r="U319" s="32" t="n">
        <f>150000</f>
        <v>150000.0</v>
      </c>
      <c r="V319" s="32" t="n">
        <f>344924515</f>
        <v>3.44924515E8</v>
      </c>
      <c r="W319" s="32" t="n">
        <f>324507000</f>
        <v>3.24507E8</v>
      </c>
      <c r="X319" s="36" t="n">
        <f>19</f>
        <v>19.0</v>
      </c>
    </row>
    <row r="320">
      <c r="A320" s="27" t="s">
        <v>42</v>
      </c>
      <c r="B320" s="27" t="s">
        <v>1010</v>
      </c>
      <c r="C320" s="27" t="s">
        <v>1011</v>
      </c>
      <c r="D320" s="27" t="s">
        <v>1012</v>
      </c>
      <c r="E320" s="28" t="s">
        <v>46</v>
      </c>
      <c r="F320" s="29" t="s">
        <v>46</v>
      </c>
      <c r="G320" s="30" t="s">
        <v>46</v>
      </c>
      <c r="H320" s="31"/>
      <c r="I320" s="31" t="s">
        <v>47</v>
      </c>
      <c r="J320" s="32" t="n">
        <v>1.0</v>
      </c>
      <c r="K320" s="33" t="n">
        <f>8021</f>
        <v>8021.0</v>
      </c>
      <c r="L320" s="34" t="s">
        <v>48</v>
      </c>
      <c r="M320" s="33" t="n">
        <f>8299</f>
        <v>8299.0</v>
      </c>
      <c r="N320" s="34" t="s">
        <v>50</v>
      </c>
      <c r="O320" s="33" t="n">
        <f>8021</f>
        <v>8021.0</v>
      </c>
      <c r="P320" s="34" t="s">
        <v>48</v>
      </c>
      <c r="Q320" s="33" t="n">
        <f>8299</f>
        <v>8299.0</v>
      </c>
      <c r="R320" s="34" t="s">
        <v>50</v>
      </c>
      <c r="S320" s="35" t="n">
        <f>8195.05</f>
        <v>8195.05</v>
      </c>
      <c r="T320" s="32" t="n">
        <f>276393</f>
        <v>276393.0</v>
      </c>
      <c r="U320" s="32" t="n">
        <f>195290</f>
        <v>195290.0</v>
      </c>
      <c r="V320" s="32" t="n">
        <f>2268292157</f>
        <v>2.268292157E9</v>
      </c>
      <c r="W320" s="32" t="n">
        <f>1600774145</f>
        <v>1.600774145E9</v>
      </c>
      <c r="X320" s="36" t="n">
        <f>19</f>
        <v>19.0</v>
      </c>
    </row>
    <row r="321">
      <c r="A321" s="27" t="s">
        <v>42</v>
      </c>
      <c r="B321" s="27" t="s">
        <v>1013</v>
      </c>
      <c r="C321" s="27" t="s">
        <v>1014</v>
      </c>
      <c r="D321" s="27" t="s">
        <v>1015</v>
      </c>
      <c r="E321" s="28" t="s">
        <v>46</v>
      </c>
      <c r="F321" s="29" t="s">
        <v>46</v>
      </c>
      <c r="G321" s="30" t="s">
        <v>46</v>
      </c>
      <c r="H321" s="31"/>
      <c r="I321" s="31" t="s">
        <v>47</v>
      </c>
      <c r="J321" s="32" t="n">
        <v>1.0</v>
      </c>
      <c r="K321" s="33" t="n">
        <f>5812</f>
        <v>5812.0</v>
      </c>
      <c r="L321" s="34" t="s">
        <v>48</v>
      </c>
      <c r="M321" s="33" t="n">
        <f>5825</f>
        <v>5825.0</v>
      </c>
      <c r="N321" s="34" t="s">
        <v>208</v>
      </c>
      <c r="O321" s="33" t="n">
        <f>5679</f>
        <v>5679.0</v>
      </c>
      <c r="P321" s="34" t="s">
        <v>159</v>
      </c>
      <c r="Q321" s="33" t="n">
        <f>5755</f>
        <v>5755.0</v>
      </c>
      <c r="R321" s="34" t="s">
        <v>50</v>
      </c>
      <c r="S321" s="35" t="n">
        <f>5738.63</f>
        <v>5738.63</v>
      </c>
      <c r="T321" s="32" t="n">
        <f>1071106</f>
        <v>1071106.0</v>
      </c>
      <c r="U321" s="32" t="n">
        <f>1057017</f>
        <v>1057017.0</v>
      </c>
      <c r="V321" s="32" t="n">
        <f>6167830388</f>
        <v>6.167830388E9</v>
      </c>
      <c r="W321" s="32" t="n">
        <f>6086747959</f>
        <v>6.086747959E9</v>
      </c>
      <c r="X321" s="36" t="n">
        <f>19</f>
        <v>19.0</v>
      </c>
    </row>
    <row r="322">
      <c r="A322" s="27" t="s">
        <v>42</v>
      </c>
      <c r="B322" s="27" t="s">
        <v>1016</v>
      </c>
      <c r="C322" s="27" t="s">
        <v>1017</v>
      </c>
      <c r="D322" s="27" t="s">
        <v>1018</v>
      </c>
      <c r="E322" s="28" t="s">
        <v>46</v>
      </c>
      <c r="F322" s="29" t="s">
        <v>46</v>
      </c>
      <c r="G322" s="30" t="s">
        <v>46</v>
      </c>
      <c r="H322" s="31"/>
      <c r="I322" s="31" t="s">
        <v>47</v>
      </c>
      <c r="J322" s="32" t="n">
        <v>1.0</v>
      </c>
      <c r="K322" s="33" t="n">
        <f>21785</f>
        <v>21785.0</v>
      </c>
      <c r="L322" s="34" t="s">
        <v>48</v>
      </c>
      <c r="M322" s="33" t="n">
        <f>24110</f>
        <v>24110.0</v>
      </c>
      <c r="N322" s="34" t="s">
        <v>214</v>
      </c>
      <c r="O322" s="33" t="n">
        <f>21730</f>
        <v>21730.0</v>
      </c>
      <c r="P322" s="34" t="s">
        <v>48</v>
      </c>
      <c r="Q322" s="33" t="n">
        <f>23775</f>
        <v>23775.0</v>
      </c>
      <c r="R322" s="34" t="s">
        <v>50</v>
      </c>
      <c r="S322" s="35" t="n">
        <f>23168.16</f>
        <v>23168.16</v>
      </c>
      <c r="T322" s="32" t="n">
        <f>454239</f>
        <v>454239.0</v>
      </c>
      <c r="U322" s="32" t="n">
        <f>45</f>
        <v>45.0</v>
      </c>
      <c r="V322" s="32" t="n">
        <f>10468191205</f>
        <v>1.0468191205E10</v>
      </c>
      <c r="W322" s="32" t="n">
        <f>1020600</f>
        <v>1020600.0</v>
      </c>
      <c r="X322" s="36" t="n">
        <f>19</f>
        <v>19.0</v>
      </c>
    </row>
    <row r="323">
      <c r="A323" s="27" t="s">
        <v>42</v>
      </c>
      <c r="B323" s="27" t="s">
        <v>1019</v>
      </c>
      <c r="C323" s="27" t="s">
        <v>1020</v>
      </c>
      <c r="D323" s="27" t="s">
        <v>1021</v>
      </c>
      <c r="E323" s="28" t="s">
        <v>46</v>
      </c>
      <c r="F323" s="29" t="s">
        <v>46</v>
      </c>
      <c r="G323" s="30" t="s">
        <v>46</v>
      </c>
      <c r="H323" s="31"/>
      <c r="I323" s="31" t="s">
        <v>47</v>
      </c>
      <c r="J323" s="32" t="n">
        <v>1.0</v>
      </c>
      <c r="K323" s="33" t="n">
        <f>10515</f>
        <v>10515.0</v>
      </c>
      <c r="L323" s="34" t="s">
        <v>48</v>
      </c>
      <c r="M323" s="33" t="n">
        <f>11295</f>
        <v>11295.0</v>
      </c>
      <c r="N323" s="34" t="s">
        <v>214</v>
      </c>
      <c r="O323" s="33" t="n">
        <f>10435</f>
        <v>10435.0</v>
      </c>
      <c r="P323" s="34" t="s">
        <v>208</v>
      </c>
      <c r="Q323" s="33" t="n">
        <f>11110</f>
        <v>11110.0</v>
      </c>
      <c r="R323" s="34" t="s">
        <v>50</v>
      </c>
      <c r="S323" s="35" t="n">
        <f>10908.16</f>
        <v>10908.16</v>
      </c>
      <c r="T323" s="32" t="n">
        <f>1000597</f>
        <v>1000597.0</v>
      </c>
      <c r="U323" s="32" t="n">
        <f>273551</f>
        <v>273551.0</v>
      </c>
      <c r="V323" s="32" t="n">
        <f>10902366239</f>
        <v>1.0902366239E10</v>
      </c>
      <c r="W323" s="32" t="n">
        <f>2995297799</f>
        <v>2.995297799E9</v>
      </c>
      <c r="X323" s="36" t="n">
        <f>19</f>
        <v>19.0</v>
      </c>
    </row>
    <row r="324">
      <c r="A324" s="27" t="s">
        <v>42</v>
      </c>
      <c r="B324" s="27" t="s">
        <v>1022</v>
      </c>
      <c r="C324" s="27" t="s">
        <v>1023</v>
      </c>
      <c r="D324" s="27" t="s">
        <v>1024</v>
      </c>
      <c r="E324" s="28" t="s">
        <v>46</v>
      </c>
      <c r="F324" s="29" t="s">
        <v>46</v>
      </c>
      <c r="G324" s="30" t="s">
        <v>46</v>
      </c>
      <c r="H324" s="31"/>
      <c r="I324" s="31" t="s">
        <v>47</v>
      </c>
      <c r="J324" s="32" t="n">
        <v>1.0</v>
      </c>
      <c r="K324" s="33" t="n">
        <f>22190</f>
        <v>22190.0</v>
      </c>
      <c r="L324" s="34" t="s">
        <v>48</v>
      </c>
      <c r="M324" s="33" t="n">
        <f>22580</f>
        <v>22580.0</v>
      </c>
      <c r="N324" s="34" t="s">
        <v>208</v>
      </c>
      <c r="O324" s="33" t="n">
        <f>20875</f>
        <v>20875.0</v>
      </c>
      <c r="P324" s="34" t="s">
        <v>214</v>
      </c>
      <c r="Q324" s="33" t="n">
        <f>21225</f>
        <v>21225.0</v>
      </c>
      <c r="R324" s="34" t="s">
        <v>50</v>
      </c>
      <c r="S324" s="35" t="n">
        <f>21632.11</f>
        <v>21632.11</v>
      </c>
      <c r="T324" s="32" t="n">
        <f>264247</f>
        <v>264247.0</v>
      </c>
      <c r="U324" s="32" t="n">
        <f>199963</f>
        <v>199963.0</v>
      </c>
      <c r="V324" s="32" t="n">
        <f>5847519345</f>
        <v>5.847519345E9</v>
      </c>
      <c r="W324" s="32" t="n">
        <f>4453480305</f>
        <v>4.453480305E9</v>
      </c>
      <c r="X324" s="36" t="n">
        <f>19</f>
        <v>19.0</v>
      </c>
    </row>
    <row r="325">
      <c r="A325" s="27" t="s">
        <v>42</v>
      </c>
      <c r="B325" s="27" t="s">
        <v>1025</v>
      </c>
      <c r="C325" s="27" t="s">
        <v>1026</v>
      </c>
      <c r="D325" s="27" t="s">
        <v>1027</v>
      </c>
      <c r="E325" s="28" t="s">
        <v>46</v>
      </c>
      <c r="F325" s="29" t="s">
        <v>46</v>
      </c>
      <c r="G325" s="30" t="s">
        <v>46</v>
      </c>
      <c r="H325" s="31"/>
      <c r="I325" s="31" t="s">
        <v>47</v>
      </c>
      <c r="J325" s="32" t="n">
        <v>10.0</v>
      </c>
      <c r="K325" s="33" t="n">
        <f>4220</f>
        <v>4220.0</v>
      </c>
      <c r="L325" s="34" t="s">
        <v>48</v>
      </c>
      <c r="M325" s="33" t="n">
        <f>4220</f>
        <v>4220.0</v>
      </c>
      <c r="N325" s="34" t="s">
        <v>48</v>
      </c>
      <c r="O325" s="33" t="n">
        <f>4124</f>
        <v>4124.0</v>
      </c>
      <c r="P325" s="34" t="s">
        <v>209</v>
      </c>
      <c r="Q325" s="33" t="n">
        <f>4200</f>
        <v>4200.0</v>
      </c>
      <c r="R325" s="34" t="s">
        <v>50</v>
      </c>
      <c r="S325" s="35" t="n">
        <f>4173.11</f>
        <v>4173.11</v>
      </c>
      <c r="T325" s="32" t="n">
        <f>279340</f>
        <v>279340.0</v>
      </c>
      <c r="U325" s="32" t="n">
        <f>218000</f>
        <v>218000.0</v>
      </c>
      <c r="V325" s="32" t="n">
        <f>1162542470</f>
        <v>1.16254247E9</v>
      </c>
      <c r="W325" s="32" t="n">
        <f>907600200</f>
        <v>9.076002E8</v>
      </c>
      <c r="X325" s="36" t="n">
        <f>19</f>
        <v>19.0</v>
      </c>
    </row>
    <row r="326">
      <c r="A326" s="27" t="s">
        <v>42</v>
      </c>
      <c r="B326" s="27" t="s">
        <v>1028</v>
      </c>
      <c r="C326" s="27" t="s">
        <v>1029</v>
      </c>
      <c r="D326" s="27" t="s">
        <v>1030</v>
      </c>
      <c r="E326" s="28" t="s">
        <v>46</v>
      </c>
      <c r="F326" s="29" t="s">
        <v>46</v>
      </c>
      <c r="G326" s="30" t="s">
        <v>46</v>
      </c>
      <c r="H326" s="31"/>
      <c r="I326" s="31" t="s">
        <v>47</v>
      </c>
      <c r="J326" s="32" t="n">
        <v>10.0</v>
      </c>
      <c r="K326" s="33" t="n">
        <f>5159</f>
        <v>5159.0</v>
      </c>
      <c r="L326" s="34" t="s">
        <v>48</v>
      </c>
      <c r="M326" s="33" t="n">
        <f>5185</f>
        <v>5185.0</v>
      </c>
      <c r="N326" s="34" t="s">
        <v>50</v>
      </c>
      <c r="O326" s="33" t="n">
        <f>5080</f>
        <v>5080.0</v>
      </c>
      <c r="P326" s="34" t="s">
        <v>61</v>
      </c>
      <c r="Q326" s="33" t="n">
        <f>5177</f>
        <v>5177.0</v>
      </c>
      <c r="R326" s="34" t="s">
        <v>50</v>
      </c>
      <c r="S326" s="35" t="n">
        <f>5129.53</f>
        <v>5129.53</v>
      </c>
      <c r="T326" s="32" t="n">
        <f>750300</f>
        <v>750300.0</v>
      </c>
      <c r="U326" s="32" t="n">
        <f>721800</f>
        <v>721800.0</v>
      </c>
      <c r="V326" s="32" t="n">
        <f>3833958348</f>
        <v>3.833958348E9</v>
      </c>
      <c r="W326" s="32" t="n">
        <f>3687427588</f>
        <v>3.687427588E9</v>
      </c>
      <c r="X326" s="36" t="n">
        <f>19</f>
        <v>19.0</v>
      </c>
    </row>
    <row r="327">
      <c r="A327" s="27" t="s">
        <v>42</v>
      </c>
      <c r="B327" s="27" t="s">
        <v>1031</v>
      </c>
      <c r="C327" s="27" t="s">
        <v>1032</v>
      </c>
      <c r="D327" s="27" t="s">
        <v>1033</v>
      </c>
      <c r="E327" s="28" t="s">
        <v>46</v>
      </c>
      <c r="F327" s="29" t="s">
        <v>46</v>
      </c>
      <c r="G327" s="30" t="s">
        <v>46</v>
      </c>
      <c r="H327" s="31"/>
      <c r="I327" s="31" t="s">
        <v>47</v>
      </c>
      <c r="J327" s="32" t="n">
        <v>10.0</v>
      </c>
      <c r="K327" s="33" t="n">
        <f>2201</f>
        <v>2201.0</v>
      </c>
      <c r="L327" s="34" t="s">
        <v>48</v>
      </c>
      <c r="M327" s="33" t="n">
        <f>2360</f>
        <v>2360.0</v>
      </c>
      <c r="N327" s="34" t="s">
        <v>214</v>
      </c>
      <c r="O327" s="33" t="n">
        <f>2180.5</f>
        <v>2180.5</v>
      </c>
      <c r="P327" s="34" t="s">
        <v>208</v>
      </c>
      <c r="Q327" s="33" t="n">
        <f>2321.5</f>
        <v>2321.5</v>
      </c>
      <c r="R327" s="34" t="s">
        <v>50</v>
      </c>
      <c r="S327" s="35" t="n">
        <f>2279.21</f>
        <v>2279.21</v>
      </c>
      <c r="T327" s="32" t="n">
        <f>3342780</f>
        <v>3342780.0</v>
      </c>
      <c r="U327" s="32" t="n">
        <f>218660</f>
        <v>218660.0</v>
      </c>
      <c r="V327" s="32" t="n">
        <f>7601212603</f>
        <v>7.601212603E9</v>
      </c>
      <c r="W327" s="32" t="n">
        <f>497624498</f>
        <v>4.97624498E8</v>
      </c>
      <c r="X327" s="36" t="n">
        <f>19</f>
        <v>19.0</v>
      </c>
    </row>
    <row r="328">
      <c r="A328" s="27" t="s">
        <v>42</v>
      </c>
      <c r="B328" s="27" t="s">
        <v>1034</v>
      </c>
      <c r="C328" s="27" t="s">
        <v>1035</v>
      </c>
      <c r="D328" s="27" t="s">
        <v>1036</v>
      </c>
      <c r="E328" s="28" t="s">
        <v>46</v>
      </c>
      <c r="F328" s="29" t="s">
        <v>46</v>
      </c>
      <c r="G328" s="30" t="s">
        <v>46</v>
      </c>
      <c r="H328" s="31"/>
      <c r="I328" s="31" t="s">
        <v>47</v>
      </c>
      <c r="J328" s="32" t="n">
        <v>10.0</v>
      </c>
      <c r="K328" s="33" t="n">
        <f>2040</f>
        <v>2040.0</v>
      </c>
      <c r="L328" s="34" t="s">
        <v>48</v>
      </c>
      <c r="M328" s="33" t="n">
        <f>2089.5</f>
        <v>2089.5</v>
      </c>
      <c r="N328" s="34" t="s">
        <v>50</v>
      </c>
      <c r="O328" s="33" t="n">
        <f>2012.5</f>
        <v>2012.5</v>
      </c>
      <c r="P328" s="34" t="s">
        <v>209</v>
      </c>
      <c r="Q328" s="33" t="n">
        <f>2089</f>
        <v>2089.0</v>
      </c>
      <c r="R328" s="34" t="s">
        <v>50</v>
      </c>
      <c r="S328" s="35" t="n">
        <f>2050.26</f>
        <v>2050.26</v>
      </c>
      <c r="T328" s="32" t="n">
        <f>2558070</f>
        <v>2558070.0</v>
      </c>
      <c r="U328" s="32" t="n">
        <f>1997020</f>
        <v>1997020.0</v>
      </c>
      <c r="V328" s="32" t="n">
        <f>5230694837</f>
        <v>5.230694837E9</v>
      </c>
      <c r="W328" s="32" t="n">
        <f>4083899957</f>
        <v>4.083899957E9</v>
      </c>
      <c r="X328" s="36" t="n">
        <f>19</f>
        <v>19.0</v>
      </c>
    </row>
    <row r="329">
      <c r="A329" s="27" t="s">
        <v>42</v>
      </c>
      <c r="B329" s="27" t="s">
        <v>1037</v>
      </c>
      <c r="C329" s="27" t="s">
        <v>1038</v>
      </c>
      <c r="D329" s="27" t="s">
        <v>1039</v>
      </c>
      <c r="E329" s="28" t="s">
        <v>46</v>
      </c>
      <c r="F329" s="29" t="s">
        <v>46</v>
      </c>
      <c r="G329" s="30" t="s">
        <v>46</v>
      </c>
      <c r="H329" s="31"/>
      <c r="I329" s="31" t="s">
        <v>47</v>
      </c>
      <c r="J329" s="32" t="n">
        <v>1.0</v>
      </c>
      <c r="K329" s="33" t="n">
        <f>1780</f>
        <v>1780.0</v>
      </c>
      <c r="L329" s="34" t="s">
        <v>48</v>
      </c>
      <c r="M329" s="33" t="n">
        <f>1935</f>
        <v>1935.0</v>
      </c>
      <c r="N329" s="34" t="s">
        <v>77</v>
      </c>
      <c r="O329" s="33" t="n">
        <f>1768</f>
        <v>1768.0</v>
      </c>
      <c r="P329" s="34" t="s">
        <v>48</v>
      </c>
      <c r="Q329" s="33" t="n">
        <f>1878</f>
        <v>1878.0</v>
      </c>
      <c r="R329" s="34" t="s">
        <v>50</v>
      </c>
      <c r="S329" s="35" t="n">
        <f>1860.05</f>
        <v>1860.05</v>
      </c>
      <c r="T329" s="32" t="n">
        <f>14135</f>
        <v>14135.0</v>
      </c>
      <c r="U329" s="32" t="str">
        <f>"－"</f>
        <v>－</v>
      </c>
      <c r="V329" s="32" t="n">
        <f>26317256</f>
        <v>2.6317256E7</v>
      </c>
      <c r="W329" s="32" t="str">
        <f>"－"</f>
        <v>－</v>
      </c>
      <c r="X329" s="36" t="n">
        <f>19</f>
        <v>19.0</v>
      </c>
    </row>
    <row r="330">
      <c r="A330" s="27" t="s">
        <v>42</v>
      </c>
      <c r="B330" s="27" t="s">
        <v>1040</v>
      </c>
      <c r="C330" s="27" t="s">
        <v>1041</v>
      </c>
      <c r="D330" s="27" t="s">
        <v>1042</v>
      </c>
      <c r="E330" s="28" t="s">
        <v>46</v>
      </c>
      <c r="F330" s="29" t="s">
        <v>46</v>
      </c>
      <c r="G330" s="30" t="s">
        <v>46</v>
      </c>
      <c r="H330" s="31"/>
      <c r="I330" s="31" t="s">
        <v>47</v>
      </c>
      <c r="J330" s="32" t="n">
        <v>1.0</v>
      </c>
      <c r="K330" s="33" t="n">
        <f>1816</f>
        <v>1816.0</v>
      </c>
      <c r="L330" s="34" t="s">
        <v>48</v>
      </c>
      <c r="M330" s="33" t="n">
        <f>1971</f>
        <v>1971.0</v>
      </c>
      <c r="N330" s="34" t="s">
        <v>49</v>
      </c>
      <c r="O330" s="33" t="n">
        <f>1801</f>
        <v>1801.0</v>
      </c>
      <c r="P330" s="34" t="s">
        <v>48</v>
      </c>
      <c r="Q330" s="33" t="n">
        <f>1924</f>
        <v>1924.0</v>
      </c>
      <c r="R330" s="34" t="s">
        <v>60</v>
      </c>
      <c r="S330" s="35" t="n">
        <f>1915.44</f>
        <v>1915.44</v>
      </c>
      <c r="T330" s="32" t="n">
        <f>1836</f>
        <v>1836.0</v>
      </c>
      <c r="U330" s="32" t="str">
        <f>"－"</f>
        <v>－</v>
      </c>
      <c r="V330" s="32" t="n">
        <f>3555799</f>
        <v>3555799.0</v>
      </c>
      <c r="W330" s="32" t="str">
        <f>"－"</f>
        <v>－</v>
      </c>
      <c r="X330" s="36" t="n">
        <f>16</f>
        <v>16.0</v>
      </c>
    </row>
    <row r="331">
      <c r="A331" s="27" t="s">
        <v>42</v>
      </c>
      <c r="B331" s="27" t="s">
        <v>1043</v>
      </c>
      <c r="C331" s="27" t="s">
        <v>1044</v>
      </c>
      <c r="D331" s="27" t="s">
        <v>1045</v>
      </c>
      <c r="E331" s="28" t="s">
        <v>46</v>
      </c>
      <c r="F331" s="29" t="s">
        <v>46</v>
      </c>
      <c r="G331" s="30" t="s">
        <v>46</v>
      </c>
      <c r="H331" s="31"/>
      <c r="I331" s="31" t="s">
        <v>47</v>
      </c>
      <c r="J331" s="32" t="n">
        <v>1.0</v>
      </c>
      <c r="K331" s="33" t="n">
        <f>3875</f>
        <v>3875.0</v>
      </c>
      <c r="L331" s="34" t="s">
        <v>48</v>
      </c>
      <c r="M331" s="33" t="n">
        <f>4220</f>
        <v>4220.0</v>
      </c>
      <c r="N331" s="34" t="s">
        <v>87</v>
      </c>
      <c r="O331" s="33" t="n">
        <f>3875</f>
        <v>3875.0</v>
      </c>
      <c r="P331" s="34" t="s">
        <v>48</v>
      </c>
      <c r="Q331" s="33" t="n">
        <f>4155</f>
        <v>4155.0</v>
      </c>
      <c r="R331" s="34" t="s">
        <v>50</v>
      </c>
      <c r="S331" s="35" t="n">
        <f>4091.05</f>
        <v>4091.05</v>
      </c>
      <c r="T331" s="32" t="n">
        <f>75706</f>
        <v>75706.0</v>
      </c>
      <c r="U331" s="32" t="n">
        <f>50802</f>
        <v>50802.0</v>
      </c>
      <c r="V331" s="32" t="n">
        <f>311604655</f>
        <v>3.11604655E8</v>
      </c>
      <c r="W331" s="32" t="n">
        <f>209355040</f>
        <v>2.0935504E8</v>
      </c>
      <c r="X331" s="36" t="n">
        <f>19</f>
        <v>19.0</v>
      </c>
    </row>
    <row r="332">
      <c r="A332" s="27" t="s">
        <v>42</v>
      </c>
      <c r="B332" s="27" t="s">
        <v>1046</v>
      </c>
      <c r="C332" s="27" t="s">
        <v>1047</v>
      </c>
      <c r="D332" s="27" t="s">
        <v>1048</v>
      </c>
      <c r="E332" s="28" t="s">
        <v>46</v>
      </c>
      <c r="F332" s="29" t="s">
        <v>46</v>
      </c>
      <c r="G332" s="30" t="s">
        <v>46</v>
      </c>
      <c r="H332" s="31"/>
      <c r="I332" s="31" t="s">
        <v>47</v>
      </c>
      <c r="J332" s="32" t="n">
        <v>10.0</v>
      </c>
      <c r="K332" s="33" t="n">
        <f>2335.5</f>
        <v>2335.5</v>
      </c>
      <c r="L332" s="34" t="s">
        <v>48</v>
      </c>
      <c r="M332" s="33" t="n">
        <f>2561</f>
        <v>2561.0</v>
      </c>
      <c r="N332" s="34" t="s">
        <v>49</v>
      </c>
      <c r="O332" s="33" t="n">
        <f>2335.5</f>
        <v>2335.5</v>
      </c>
      <c r="P332" s="34" t="s">
        <v>48</v>
      </c>
      <c r="Q332" s="33" t="n">
        <f>2521.5</f>
        <v>2521.5</v>
      </c>
      <c r="R332" s="34" t="s">
        <v>50</v>
      </c>
      <c r="S332" s="35" t="n">
        <f>2474.96</f>
        <v>2474.96</v>
      </c>
      <c r="T332" s="32" t="n">
        <f>760</f>
        <v>760.0</v>
      </c>
      <c r="U332" s="32" t="str">
        <f>"－"</f>
        <v>－</v>
      </c>
      <c r="V332" s="32" t="n">
        <f>1882945</f>
        <v>1882945.0</v>
      </c>
      <c r="W332" s="32" t="str">
        <f>"－"</f>
        <v>－</v>
      </c>
      <c r="X332" s="36" t="n">
        <f>14</f>
        <v>14.0</v>
      </c>
    </row>
    <row r="333">
      <c r="A333" s="27" t="s">
        <v>42</v>
      </c>
      <c r="B333" s="27" t="s">
        <v>1049</v>
      </c>
      <c r="C333" s="27" t="s">
        <v>1050</v>
      </c>
      <c r="D333" s="27" t="s">
        <v>1051</v>
      </c>
      <c r="E333" s="28" t="s">
        <v>46</v>
      </c>
      <c r="F333" s="29" t="s">
        <v>46</v>
      </c>
      <c r="G333" s="30" t="s">
        <v>46</v>
      </c>
      <c r="H333" s="31"/>
      <c r="I333" s="31" t="s">
        <v>47</v>
      </c>
      <c r="J333" s="32" t="n">
        <v>10.0</v>
      </c>
      <c r="K333" s="33" t="n">
        <f>232.9</f>
        <v>232.9</v>
      </c>
      <c r="L333" s="34" t="s">
        <v>48</v>
      </c>
      <c r="M333" s="33" t="n">
        <f>255</f>
        <v>255.0</v>
      </c>
      <c r="N333" s="34" t="s">
        <v>49</v>
      </c>
      <c r="O333" s="33" t="n">
        <f>232.9</f>
        <v>232.9</v>
      </c>
      <c r="P333" s="34" t="s">
        <v>48</v>
      </c>
      <c r="Q333" s="33" t="n">
        <f>250.8</f>
        <v>250.8</v>
      </c>
      <c r="R333" s="34" t="s">
        <v>50</v>
      </c>
      <c r="S333" s="35" t="n">
        <f>245.47</f>
        <v>245.47</v>
      </c>
      <c r="T333" s="32" t="n">
        <f>14900</f>
        <v>14900.0</v>
      </c>
      <c r="U333" s="32" t="str">
        <f>"－"</f>
        <v>－</v>
      </c>
      <c r="V333" s="32" t="n">
        <f>3684242</f>
        <v>3684242.0</v>
      </c>
      <c r="W333" s="32" t="str">
        <f>"－"</f>
        <v>－</v>
      </c>
      <c r="X333" s="36" t="n">
        <f>18</f>
        <v>18.0</v>
      </c>
    </row>
    <row r="334">
      <c r="A334" s="27" t="s">
        <v>42</v>
      </c>
      <c r="B334" s="27" t="s">
        <v>1052</v>
      </c>
      <c r="C334" s="27" t="s">
        <v>1053</v>
      </c>
      <c r="D334" s="27" t="s">
        <v>1054</v>
      </c>
      <c r="E334" s="28" t="s">
        <v>46</v>
      </c>
      <c r="F334" s="29" t="s">
        <v>46</v>
      </c>
      <c r="G334" s="30" t="s">
        <v>46</v>
      </c>
      <c r="H334" s="31"/>
      <c r="I334" s="31" t="s">
        <v>47</v>
      </c>
      <c r="J334" s="32" t="n">
        <v>10.0</v>
      </c>
      <c r="K334" s="33" t="n">
        <f>183.2</f>
        <v>183.2</v>
      </c>
      <c r="L334" s="34" t="s">
        <v>48</v>
      </c>
      <c r="M334" s="33" t="n">
        <f>187.6</f>
        <v>187.6</v>
      </c>
      <c r="N334" s="34" t="s">
        <v>218</v>
      </c>
      <c r="O334" s="33" t="n">
        <f>175.7</f>
        <v>175.7</v>
      </c>
      <c r="P334" s="34" t="s">
        <v>48</v>
      </c>
      <c r="Q334" s="33" t="n">
        <f>177.8</f>
        <v>177.8</v>
      </c>
      <c r="R334" s="34" t="s">
        <v>50</v>
      </c>
      <c r="S334" s="35" t="n">
        <f>179.95</f>
        <v>179.95</v>
      </c>
      <c r="T334" s="32" t="n">
        <f>3826320</f>
        <v>3826320.0</v>
      </c>
      <c r="U334" s="32" t="n">
        <f>3812680</f>
        <v>3812680.0</v>
      </c>
      <c r="V334" s="32" t="n">
        <f>685046135</f>
        <v>6.85046135E8</v>
      </c>
      <c r="W334" s="32" t="n">
        <f>682591756</f>
        <v>6.82591756E8</v>
      </c>
      <c r="X334" s="36" t="n">
        <f>18</f>
        <v>18.0</v>
      </c>
    </row>
    <row r="335">
      <c r="A335" s="27" t="s">
        <v>42</v>
      </c>
      <c r="B335" s="27" t="s">
        <v>1055</v>
      </c>
      <c r="C335" s="27" t="s">
        <v>1056</v>
      </c>
      <c r="D335" s="27" t="s">
        <v>1057</v>
      </c>
      <c r="E335" s="28" t="s">
        <v>46</v>
      </c>
      <c r="F335" s="29" t="s">
        <v>46</v>
      </c>
      <c r="G335" s="30" t="s">
        <v>46</v>
      </c>
      <c r="H335" s="31"/>
      <c r="I335" s="31" t="s">
        <v>47</v>
      </c>
      <c r="J335" s="32" t="n">
        <v>10.0</v>
      </c>
      <c r="K335" s="33" t="n">
        <f>702.2</f>
        <v>702.2</v>
      </c>
      <c r="L335" s="34" t="s">
        <v>48</v>
      </c>
      <c r="M335" s="33" t="n">
        <f>703.3</f>
        <v>703.3</v>
      </c>
      <c r="N335" s="34" t="s">
        <v>48</v>
      </c>
      <c r="O335" s="33" t="n">
        <f>678.5</f>
        <v>678.5</v>
      </c>
      <c r="P335" s="34" t="s">
        <v>87</v>
      </c>
      <c r="Q335" s="33" t="n">
        <f>679.8</f>
        <v>679.8</v>
      </c>
      <c r="R335" s="34" t="s">
        <v>60</v>
      </c>
      <c r="S335" s="35" t="n">
        <f>687.72</f>
        <v>687.72</v>
      </c>
      <c r="T335" s="32" t="n">
        <f>64140</f>
        <v>64140.0</v>
      </c>
      <c r="U335" s="32" t="n">
        <f>63390</f>
        <v>63390.0</v>
      </c>
      <c r="V335" s="32" t="n">
        <f>44191599</f>
        <v>4.4191599E7</v>
      </c>
      <c r="W335" s="32" t="n">
        <f>43669311</f>
        <v>4.3669311E7</v>
      </c>
      <c r="X335" s="36" t="n">
        <f>10</f>
        <v>10.0</v>
      </c>
    </row>
    <row r="336">
      <c r="A336" s="27" t="s">
        <v>42</v>
      </c>
      <c r="B336" s="27" t="s">
        <v>1058</v>
      </c>
      <c r="C336" s="27" t="s">
        <v>1059</v>
      </c>
      <c r="D336" s="27" t="s">
        <v>1060</v>
      </c>
      <c r="E336" s="28" t="s">
        <v>46</v>
      </c>
      <c r="F336" s="29" t="s">
        <v>46</v>
      </c>
      <c r="G336" s="30" t="s">
        <v>46</v>
      </c>
      <c r="H336" s="31"/>
      <c r="I336" s="31" t="s">
        <v>47</v>
      </c>
      <c r="J336" s="32" t="n">
        <v>1.0</v>
      </c>
      <c r="K336" s="33" t="n">
        <f>1220</f>
        <v>1220.0</v>
      </c>
      <c r="L336" s="34" t="s">
        <v>48</v>
      </c>
      <c r="M336" s="33" t="n">
        <f>1402</f>
        <v>1402.0</v>
      </c>
      <c r="N336" s="34" t="s">
        <v>49</v>
      </c>
      <c r="O336" s="33" t="n">
        <f>1220</f>
        <v>1220.0</v>
      </c>
      <c r="P336" s="34" t="s">
        <v>48</v>
      </c>
      <c r="Q336" s="33" t="n">
        <f>1371</f>
        <v>1371.0</v>
      </c>
      <c r="R336" s="34" t="s">
        <v>50</v>
      </c>
      <c r="S336" s="35" t="n">
        <f>1338.68</f>
        <v>1338.68</v>
      </c>
      <c r="T336" s="32" t="n">
        <f>226866</f>
        <v>226866.0</v>
      </c>
      <c r="U336" s="32" t="n">
        <f>1</f>
        <v>1.0</v>
      </c>
      <c r="V336" s="32" t="n">
        <f>307804358</f>
        <v>3.07804358E8</v>
      </c>
      <c r="W336" s="32" t="n">
        <f>1371</f>
        <v>1371.0</v>
      </c>
      <c r="X336" s="36" t="n">
        <f>19</f>
        <v>19.0</v>
      </c>
    </row>
    <row r="337">
      <c r="A337" s="27" t="s">
        <v>42</v>
      </c>
      <c r="B337" s="27" t="s">
        <v>1061</v>
      </c>
      <c r="C337" s="27" t="s">
        <v>1062</v>
      </c>
      <c r="D337" s="27" t="s">
        <v>1063</v>
      </c>
      <c r="E337" s="28" t="s">
        <v>46</v>
      </c>
      <c r="F337" s="29" t="s">
        <v>46</v>
      </c>
      <c r="G337" s="30" t="s">
        <v>46</v>
      </c>
      <c r="H337" s="31"/>
      <c r="I337" s="31" t="s">
        <v>47</v>
      </c>
      <c r="J337" s="32" t="n">
        <v>1.0</v>
      </c>
      <c r="K337" s="33" t="n">
        <f>941</f>
        <v>941.0</v>
      </c>
      <c r="L337" s="34" t="s">
        <v>48</v>
      </c>
      <c r="M337" s="33" t="n">
        <f>960</f>
        <v>960.0</v>
      </c>
      <c r="N337" s="34" t="s">
        <v>77</v>
      </c>
      <c r="O337" s="33" t="n">
        <f>929</f>
        <v>929.0</v>
      </c>
      <c r="P337" s="34" t="s">
        <v>159</v>
      </c>
      <c r="Q337" s="33" t="n">
        <f>929</f>
        <v>929.0</v>
      </c>
      <c r="R337" s="34" t="s">
        <v>50</v>
      </c>
      <c r="S337" s="35" t="n">
        <f>942</f>
        <v>942.0</v>
      </c>
      <c r="T337" s="32" t="n">
        <f>67854</f>
        <v>67854.0</v>
      </c>
      <c r="U337" s="32" t="str">
        <f>"－"</f>
        <v>－</v>
      </c>
      <c r="V337" s="32" t="n">
        <f>63661687</f>
        <v>6.3661687E7</v>
      </c>
      <c r="W337" s="32" t="str">
        <f>"－"</f>
        <v>－</v>
      </c>
      <c r="X337" s="36" t="n">
        <f>19</f>
        <v>19.0</v>
      </c>
    </row>
    <row r="338">
      <c r="A338" s="27" t="s">
        <v>42</v>
      </c>
      <c r="B338" s="27" t="s">
        <v>1064</v>
      </c>
      <c r="C338" s="27" t="s">
        <v>1065</v>
      </c>
      <c r="D338" s="27" t="s">
        <v>1066</v>
      </c>
      <c r="E338" s="28" t="s">
        <v>46</v>
      </c>
      <c r="F338" s="29" t="s">
        <v>46</v>
      </c>
      <c r="G338" s="30" t="s">
        <v>46</v>
      </c>
      <c r="H338" s="31"/>
      <c r="I338" s="31" t="s">
        <v>47</v>
      </c>
      <c r="J338" s="32" t="n">
        <v>10.0</v>
      </c>
      <c r="K338" s="33" t="n">
        <f>726.3</f>
        <v>726.3</v>
      </c>
      <c r="L338" s="34" t="s">
        <v>48</v>
      </c>
      <c r="M338" s="33" t="n">
        <f>755.7</f>
        <v>755.7</v>
      </c>
      <c r="N338" s="34" t="s">
        <v>218</v>
      </c>
      <c r="O338" s="33" t="n">
        <f>716.6</f>
        <v>716.6</v>
      </c>
      <c r="P338" s="34" t="s">
        <v>159</v>
      </c>
      <c r="Q338" s="33" t="n">
        <f>721.1</f>
        <v>721.1</v>
      </c>
      <c r="R338" s="34" t="s">
        <v>50</v>
      </c>
      <c r="S338" s="35" t="n">
        <f>721.5</f>
        <v>721.5</v>
      </c>
      <c r="T338" s="32" t="n">
        <f>974650</f>
        <v>974650.0</v>
      </c>
      <c r="U338" s="32" t="n">
        <f>170250</f>
        <v>170250.0</v>
      </c>
      <c r="V338" s="32" t="n">
        <f>703635425</f>
        <v>7.03635425E8</v>
      </c>
      <c r="W338" s="32" t="n">
        <f>122801194</f>
        <v>1.22801194E8</v>
      </c>
      <c r="X338" s="36" t="n">
        <f>19</f>
        <v>19.0</v>
      </c>
    </row>
    <row r="339">
      <c r="A339" s="27" t="s">
        <v>42</v>
      </c>
      <c r="B339" s="27" t="s">
        <v>1067</v>
      </c>
      <c r="C339" s="27" t="s">
        <v>1068</v>
      </c>
      <c r="D339" s="27" t="s">
        <v>1069</v>
      </c>
      <c r="E339" s="28" t="s">
        <v>46</v>
      </c>
      <c r="F339" s="29" t="s">
        <v>46</v>
      </c>
      <c r="G339" s="30" t="s">
        <v>46</v>
      </c>
      <c r="H339" s="31"/>
      <c r="I339" s="31" t="s">
        <v>47</v>
      </c>
      <c r="J339" s="32" t="n">
        <v>10.0</v>
      </c>
      <c r="K339" s="33" t="n">
        <f>721.9</f>
        <v>721.9</v>
      </c>
      <c r="L339" s="34" t="s">
        <v>48</v>
      </c>
      <c r="M339" s="33" t="n">
        <f>721.9</f>
        <v>721.9</v>
      </c>
      <c r="N339" s="34" t="s">
        <v>48</v>
      </c>
      <c r="O339" s="33" t="n">
        <f>697</f>
        <v>697.0</v>
      </c>
      <c r="P339" s="34" t="s">
        <v>159</v>
      </c>
      <c r="Q339" s="33" t="n">
        <f>704.2</f>
        <v>704.2</v>
      </c>
      <c r="R339" s="34" t="s">
        <v>50</v>
      </c>
      <c r="S339" s="35" t="n">
        <f>705.03</f>
        <v>705.03</v>
      </c>
      <c r="T339" s="32" t="n">
        <f>4583740</f>
        <v>4583740.0</v>
      </c>
      <c r="U339" s="32" t="n">
        <f>4406010</f>
        <v>4406010.0</v>
      </c>
      <c r="V339" s="32" t="n">
        <f>3242778336</f>
        <v>3.242778336E9</v>
      </c>
      <c r="W339" s="32" t="n">
        <f>3118195716</f>
        <v>3.118195716E9</v>
      </c>
      <c r="X339" s="36" t="n">
        <f>19</f>
        <v>19.0</v>
      </c>
    </row>
    <row r="340">
      <c r="A340" s="27" t="s">
        <v>42</v>
      </c>
      <c r="B340" s="27" t="s">
        <v>1070</v>
      </c>
      <c r="C340" s="27" t="s">
        <v>1071</v>
      </c>
      <c r="D340" s="27" t="s">
        <v>1072</v>
      </c>
      <c r="E340" s="28" t="s">
        <v>46</v>
      </c>
      <c r="F340" s="29" t="s">
        <v>46</v>
      </c>
      <c r="G340" s="30" t="s">
        <v>46</v>
      </c>
      <c r="H340" s="31"/>
      <c r="I340" s="31" t="s">
        <v>47</v>
      </c>
      <c r="J340" s="32" t="n">
        <v>1.0</v>
      </c>
      <c r="K340" s="33" t="n">
        <f>1211</f>
        <v>1211.0</v>
      </c>
      <c r="L340" s="34" t="s">
        <v>48</v>
      </c>
      <c r="M340" s="33" t="n">
        <f>1219</f>
        <v>1219.0</v>
      </c>
      <c r="N340" s="34" t="s">
        <v>274</v>
      </c>
      <c r="O340" s="33" t="n">
        <f>1187</f>
        <v>1187.0</v>
      </c>
      <c r="P340" s="34" t="s">
        <v>274</v>
      </c>
      <c r="Q340" s="33" t="n">
        <f>1210</f>
        <v>1210.0</v>
      </c>
      <c r="R340" s="34" t="s">
        <v>50</v>
      </c>
      <c r="S340" s="35" t="n">
        <f>1205</f>
        <v>1205.0</v>
      </c>
      <c r="T340" s="32" t="n">
        <f>399481</f>
        <v>399481.0</v>
      </c>
      <c r="U340" s="32" t="str">
        <f>"－"</f>
        <v>－</v>
      </c>
      <c r="V340" s="32" t="n">
        <f>477193696</f>
        <v>4.77193696E8</v>
      </c>
      <c r="W340" s="32" t="str">
        <f>"－"</f>
        <v>－</v>
      </c>
      <c r="X340" s="36" t="n">
        <f>19</f>
        <v>19.0</v>
      </c>
    </row>
    <row r="341">
      <c r="A341" s="27" t="s">
        <v>42</v>
      </c>
      <c r="B341" s="27" t="s">
        <v>1073</v>
      </c>
      <c r="C341" s="27" t="s">
        <v>1074</v>
      </c>
      <c r="D341" s="27" t="s">
        <v>1075</v>
      </c>
      <c r="E341" s="28" t="s">
        <v>46</v>
      </c>
      <c r="F341" s="29" t="s">
        <v>46</v>
      </c>
      <c r="G341" s="30" t="s">
        <v>46</v>
      </c>
      <c r="H341" s="31"/>
      <c r="I341" s="31" t="s">
        <v>47</v>
      </c>
      <c r="J341" s="32" t="n">
        <v>10.0</v>
      </c>
      <c r="K341" s="33" t="n">
        <f>2467</f>
        <v>2467.0</v>
      </c>
      <c r="L341" s="34" t="s">
        <v>48</v>
      </c>
      <c r="M341" s="33" t="n">
        <f>2494</f>
        <v>2494.0</v>
      </c>
      <c r="N341" s="34" t="s">
        <v>214</v>
      </c>
      <c r="O341" s="33" t="n">
        <f>2350</f>
        <v>2350.0</v>
      </c>
      <c r="P341" s="34" t="s">
        <v>61</v>
      </c>
      <c r="Q341" s="33" t="n">
        <f>2494</f>
        <v>2494.0</v>
      </c>
      <c r="R341" s="34" t="s">
        <v>50</v>
      </c>
      <c r="S341" s="35" t="n">
        <f>2409.05</f>
        <v>2409.05</v>
      </c>
      <c r="T341" s="32" t="n">
        <f>48480</f>
        <v>48480.0</v>
      </c>
      <c r="U341" s="32" t="str">
        <f>"－"</f>
        <v>－</v>
      </c>
      <c r="V341" s="32" t="n">
        <f>118228825</f>
        <v>1.18228825E8</v>
      </c>
      <c r="W341" s="32" t="str">
        <f>"－"</f>
        <v>－</v>
      </c>
      <c r="X341" s="36" t="n">
        <f>19</f>
        <v>19.0</v>
      </c>
    </row>
    <row r="342">
      <c r="A342" s="27" t="s">
        <v>42</v>
      </c>
      <c r="B342" s="27" t="s">
        <v>1076</v>
      </c>
      <c r="C342" s="27" t="s">
        <v>1077</v>
      </c>
      <c r="D342" s="27" t="s">
        <v>1078</v>
      </c>
      <c r="E342" s="28" t="s">
        <v>46</v>
      </c>
      <c r="F342" s="29" t="s">
        <v>46</v>
      </c>
      <c r="G342" s="30" t="s">
        <v>46</v>
      </c>
      <c r="H342" s="31"/>
      <c r="I342" s="31" t="s">
        <v>47</v>
      </c>
      <c r="J342" s="32" t="n">
        <v>10.0</v>
      </c>
      <c r="K342" s="33" t="n">
        <f>2393</f>
        <v>2393.0</v>
      </c>
      <c r="L342" s="34" t="s">
        <v>48</v>
      </c>
      <c r="M342" s="33" t="n">
        <f>2445.5</f>
        <v>2445.5</v>
      </c>
      <c r="N342" s="34" t="s">
        <v>60</v>
      </c>
      <c r="O342" s="33" t="n">
        <f>2353</f>
        <v>2353.0</v>
      </c>
      <c r="P342" s="34" t="s">
        <v>61</v>
      </c>
      <c r="Q342" s="33" t="n">
        <f>2434.5</f>
        <v>2434.5</v>
      </c>
      <c r="R342" s="34" t="s">
        <v>50</v>
      </c>
      <c r="S342" s="35" t="n">
        <f>2398.21</f>
        <v>2398.21</v>
      </c>
      <c r="T342" s="32" t="n">
        <f>1364170</f>
        <v>1364170.0</v>
      </c>
      <c r="U342" s="32" t="n">
        <f>836000</f>
        <v>836000.0</v>
      </c>
      <c r="V342" s="32" t="n">
        <f>3273550930</f>
        <v>3.27355093E9</v>
      </c>
      <c r="W342" s="32" t="n">
        <f>2009551885</f>
        <v>2.009551885E9</v>
      </c>
      <c r="X342" s="36" t="n">
        <f>19</f>
        <v>19.0</v>
      </c>
    </row>
    <row r="343">
      <c r="A343" s="27" t="s">
        <v>42</v>
      </c>
      <c r="B343" s="27" t="s">
        <v>1079</v>
      </c>
      <c r="C343" s="27" t="s">
        <v>1080</v>
      </c>
      <c r="D343" s="27" t="s">
        <v>1081</v>
      </c>
      <c r="E343" s="28" t="s">
        <v>46</v>
      </c>
      <c r="F343" s="29" t="s">
        <v>46</v>
      </c>
      <c r="G343" s="30" t="s">
        <v>46</v>
      </c>
      <c r="H343" s="31"/>
      <c r="I343" s="31" t="s">
        <v>47</v>
      </c>
      <c r="J343" s="32" t="n">
        <v>10.0</v>
      </c>
      <c r="K343" s="33" t="n">
        <f>5310</f>
        <v>5310.0</v>
      </c>
      <c r="L343" s="34" t="s">
        <v>48</v>
      </c>
      <c r="M343" s="33" t="n">
        <f>5413</f>
        <v>5413.0</v>
      </c>
      <c r="N343" s="34" t="s">
        <v>209</v>
      </c>
      <c r="O343" s="33" t="n">
        <f>5285</f>
        <v>5285.0</v>
      </c>
      <c r="P343" s="34" t="s">
        <v>88</v>
      </c>
      <c r="Q343" s="33" t="n">
        <f>5358</f>
        <v>5358.0</v>
      </c>
      <c r="R343" s="34" t="s">
        <v>214</v>
      </c>
      <c r="S343" s="35" t="n">
        <f>5341.77</f>
        <v>5341.77</v>
      </c>
      <c r="T343" s="32" t="n">
        <f>167480</f>
        <v>167480.0</v>
      </c>
      <c r="U343" s="32" t="str">
        <f>"－"</f>
        <v>－</v>
      </c>
      <c r="V343" s="32" t="n">
        <f>891718540</f>
        <v>8.9171854E8</v>
      </c>
      <c r="W343" s="32" t="str">
        <f>"－"</f>
        <v>－</v>
      </c>
      <c r="X343" s="36" t="n">
        <f>13</f>
        <v>13.0</v>
      </c>
    </row>
    <row r="344">
      <c r="A344" s="27" t="s">
        <v>42</v>
      </c>
      <c r="B344" s="27" t="s">
        <v>1082</v>
      </c>
      <c r="C344" s="27" t="s">
        <v>1083</v>
      </c>
      <c r="D344" s="27" t="s">
        <v>1084</v>
      </c>
      <c r="E344" s="28" t="s">
        <v>46</v>
      </c>
      <c r="F344" s="29" t="s">
        <v>46</v>
      </c>
      <c r="G344" s="30" t="s">
        <v>46</v>
      </c>
      <c r="H344" s="31"/>
      <c r="I344" s="31" t="s">
        <v>47</v>
      </c>
      <c r="J344" s="32" t="n">
        <v>10.0</v>
      </c>
      <c r="K344" s="33" t="n">
        <f>4478</f>
        <v>4478.0</v>
      </c>
      <c r="L344" s="34" t="s">
        <v>48</v>
      </c>
      <c r="M344" s="33" t="n">
        <f>4478</f>
        <v>4478.0</v>
      </c>
      <c r="N344" s="34" t="s">
        <v>48</v>
      </c>
      <c r="O344" s="33" t="n">
        <f>4361</f>
        <v>4361.0</v>
      </c>
      <c r="P344" s="34" t="s">
        <v>209</v>
      </c>
      <c r="Q344" s="33" t="n">
        <f>4441</f>
        <v>4441.0</v>
      </c>
      <c r="R344" s="34" t="s">
        <v>364</v>
      </c>
      <c r="S344" s="35" t="n">
        <f>4407.79</f>
        <v>4407.79</v>
      </c>
      <c r="T344" s="32" t="n">
        <f>73310</f>
        <v>73310.0</v>
      </c>
      <c r="U344" s="32" t="n">
        <f>15000</f>
        <v>15000.0</v>
      </c>
      <c r="V344" s="32" t="n">
        <f>323738830</f>
        <v>3.2373883E8</v>
      </c>
      <c r="W344" s="32" t="n">
        <f>66308000</f>
        <v>6.6308E7</v>
      </c>
      <c r="X344" s="36" t="n">
        <f>14</f>
        <v>14.0</v>
      </c>
    </row>
    <row r="345">
      <c r="A345" s="27" t="s">
        <v>42</v>
      </c>
      <c r="B345" s="27" t="s">
        <v>1085</v>
      </c>
      <c r="C345" s="27" t="s">
        <v>1086</v>
      </c>
      <c r="D345" s="27" t="s">
        <v>1087</v>
      </c>
      <c r="E345" s="28" t="s">
        <v>46</v>
      </c>
      <c r="F345" s="29" t="s">
        <v>46</v>
      </c>
      <c r="G345" s="30" t="s">
        <v>46</v>
      </c>
      <c r="H345" s="31"/>
      <c r="I345" s="31" t="s">
        <v>47</v>
      </c>
      <c r="J345" s="32" t="n">
        <v>10.0</v>
      </c>
      <c r="K345" s="33" t="n">
        <f>1928</f>
        <v>1928.0</v>
      </c>
      <c r="L345" s="34" t="s">
        <v>48</v>
      </c>
      <c r="M345" s="33" t="n">
        <f>1935</f>
        <v>1935.0</v>
      </c>
      <c r="N345" s="34" t="s">
        <v>50</v>
      </c>
      <c r="O345" s="33" t="n">
        <f>1906</f>
        <v>1906.0</v>
      </c>
      <c r="P345" s="34" t="s">
        <v>245</v>
      </c>
      <c r="Q345" s="33" t="n">
        <f>1935</f>
        <v>1935.0</v>
      </c>
      <c r="R345" s="34" t="s">
        <v>50</v>
      </c>
      <c r="S345" s="35" t="n">
        <f>1917.92</f>
        <v>1917.92</v>
      </c>
      <c r="T345" s="32" t="n">
        <f>390</f>
        <v>390.0</v>
      </c>
      <c r="U345" s="32" t="str">
        <f>"－"</f>
        <v>－</v>
      </c>
      <c r="V345" s="32" t="n">
        <f>747335</f>
        <v>747335.0</v>
      </c>
      <c r="W345" s="32" t="str">
        <f>"－"</f>
        <v>－</v>
      </c>
      <c r="X345" s="36" t="n">
        <f>12</f>
        <v>12.0</v>
      </c>
    </row>
    <row r="346">
      <c r="A346" s="27" t="s">
        <v>42</v>
      </c>
      <c r="B346" s="27" t="s">
        <v>1088</v>
      </c>
      <c r="C346" s="27" t="s">
        <v>1089</v>
      </c>
      <c r="D346" s="27" t="s">
        <v>1090</v>
      </c>
      <c r="E346" s="28" t="s">
        <v>46</v>
      </c>
      <c r="F346" s="29" t="s">
        <v>46</v>
      </c>
      <c r="G346" s="30" t="s">
        <v>46</v>
      </c>
      <c r="H346" s="31"/>
      <c r="I346" s="31" t="s">
        <v>47</v>
      </c>
      <c r="J346" s="32" t="n">
        <v>1.0</v>
      </c>
      <c r="K346" s="33" t="n">
        <f>1291</f>
        <v>1291.0</v>
      </c>
      <c r="L346" s="34" t="s">
        <v>48</v>
      </c>
      <c r="M346" s="33" t="n">
        <f>1305</f>
        <v>1305.0</v>
      </c>
      <c r="N346" s="34" t="s">
        <v>49</v>
      </c>
      <c r="O346" s="33" t="n">
        <f>1250</f>
        <v>1250.0</v>
      </c>
      <c r="P346" s="34" t="s">
        <v>209</v>
      </c>
      <c r="Q346" s="33" t="n">
        <f>1263</f>
        <v>1263.0</v>
      </c>
      <c r="R346" s="34" t="s">
        <v>50</v>
      </c>
      <c r="S346" s="35" t="n">
        <f>1270</f>
        <v>1270.0</v>
      </c>
      <c r="T346" s="32" t="n">
        <f>12521</f>
        <v>12521.0</v>
      </c>
      <c r="U346" s="32" t="str">
        <f>"－"</f>
        <v>－</v>
      </c>
      <c r="V346" s="32" t="n">
        <f>15867515</f>
        <v>1.5867515E7</v>
      </c>
      <c r="W346" s="32" t="str">
        <f>"－"</f>
        <v>－</v>
      </c>
      <c r="X346" s="36" t="n">
        <f>19</f>
        <v>19.0</v>
      </c>
    </row>
    <row r="347">
      <c r="A347" s="27" t="s">
        <v>42</v>
      </c>
      <c r="B347" s="27" t="s">
        <v>1091</v>
      </c>
      <c r="C347" s="27" t="s">
        <v>1092</v>
      </c>
      <c r="D347" s="27" t="s">
        <v>1093</v>
      </c>
      <c r="E347" s="28" t="s">
        <v>46</v>
      </c>
      <c r="F347" s="29" t="s">
        <v>46</v>
      </c>
      <c r="G347" s="30" t="s">
        <v>46</v>
      </c>
      <c r="H347" s="31"/>
      <c r="I347" s="31" t="s">
        <v>47</v>
      </c>
      <c r="J347" s="32" t="n">
        <v>1.0</v>
      </c>
      <c r="K347" s="33" t="n">
        <f>1078</f>
        <v>1078.0</v>
      </c>
      <c r="L347" s="34" t="s">
        <v>48</v>
      </c>
      <c r="M347" s="33" t="n">
        <f>1154</f>
        <v>1154.0</v>
      </c>
      <c r="N347" s="34" t="s">
        <v>50</v>
      </c>
      <c r="O347" s="33" t="n">
        <f>1075</f>
        <v>1075.0</v>
      </c>
      <c r="P347" s="34" t="s">
        <v>48</v>
      </c>
      <c r="Q347" s="33" t="n">
        <f>1144</f>
        <v>1144.0</v>
      </c>
      <c r="R347" s="34" t="s">
        <v>50</v>
      </c>
      <c r="S347" s="35" t="n">
        <f>1118.89</f>
        <v>1118.89</v>
      </c>
      <c r="T347" s="32" t="n">
        <f>1253644</f>
        <v>1253644.0</v>
      </c>
      <c r="U347" s="32" t="n">
        <f>3</f>
        <v>3.0</v>
      </c>
      <c r="V347" s="32" t="n">
        <f>1394319766</f>
        <v>1.394319766E9</v>
      </c>
      <c r="W347" s="32" t="n">
        <f>3466</f>
        <v>3466.0</v>
      </c>
      <c r="X347" s="36" t="n">
        <f>19</f>
        <v>19.0</v>
      </c>
    </row>
    <row r="348">
      <c r="A348" s="27" t="s">
        <v>42</v>
      </c>
      <c r="B348" s="27" t="s">
        <v>1094</v>
      </c>
      <c r="C348" s="27" t="s">
        <v>1095</v>
      </c>
      <c r="D348" s="27" t="s">
        <v>1096</v>
      </c>
      <c r="E348" s="28" t="s">
        <v>46</v>
      </c>
      <c r="F348" s="29" t="s">
        <v>46</v>
      </c>
      <c r="G348" s="30" t="s">
        <v>46</v>
      </c>
      <c r="H348" s="31"/>
      <c r="I348" s="31" t="s">
        <v>47</v>
      </c>
      <c r="J348" s="32" t="n">
        <v>1.0</v>
      </c>
      <c r="K348" s="33" t="n">
        <f>936</f>
        <v>936.0</v>
      </c>
      <c r="L348" s="34" t="s">
        <v>48</v>
      </c>
      <c r="M348" s="33" t="n">
        <f>1000</f>
        <v>1000.0</v>
      </c>
      <c r="N348" s="34" t="s">
        <v>50</v>
      </c>
      <c r="O348" s="33" t="n">
        <f>936</f>
        <v>936.0</v>
      </c>
      <c r="P348" s="34" t="s">
        <v>48</v>
      </c>
      <c r="Q348" s="33" t="n">
        <f>998</f>
        <v>998.0</v>
      </c>
      <c r="R348" s="34" t="s">
        <v>50</v>
      </c>
      <c r="S348" s="35" t="n">
        <f>969.32</f>
        <v>969.32</v>
      </c>
      <c r="T348" s="32" t="n">
        <f>959737</f>
        <v>959737.0</v>
      </c>
      <c r="U348" s="32" t="n">
        <f>414</f>
        <v>414.0</v>
      </c>
      <c r="V348" s="32" t="n">
        <f>923345546</f>
        <v>9.23345546E8</v>
      </c>
      <c r="W348" s="32" t="n">
        <f>389582</f>
        <v>389582.0</v>
      </c>
      <c r="X348" s="36" t="n">
        <f>19</f>
        <v>19.0</v>
      </c>
    </row>
    <row r="349">
      <c r="A349" s="27" t="s">
        <v>42</v>
      </c>
      <c r="B349" s="27" t="s">
        <v>1097</v>
      </c>
      <c r="C349" s="27" t="s">
        <v>1098</v>
      </c>
      <c r="D349" s="27" t="s">
        <v>1099</v>
      </c>
      <c r="E349" s="28" t="s">
        <v>46</v>
      </c>
      <c r="F349" s="29" t="s">
        <v>46</v>
      </c>
      <c r="G349" s="30" t="s">
        <v>46</v>
      </c>
      <c r="H349" s="31"/>
      <c r="I349" s="31" t="s">
        <v>47</v>
      </c>
      <c r="J349" s="32" t="n">
        <v>1.0</v>
      </c>
      <c r="K349" s="33" t="n">
        <f>1107</f>
        <v>1107.0</v>
      </c>
      <c r="L349" s="34" t="s">
        <v>48</v>
      </c>
      <c r="M349" s="33" t="n">
        <f>1116</f>
        <v>1116.0</v>
      </c>
      <c r="N349" s="34" t="s">
        <v>274</v>
      </c>
      <c r="O349" s="33" t="n">
        <f>1060</f>
        <v>1060.0</v>
      </c>
      <c r="P349" s="34" t="s">
        <v>61</v>
      </c>
      <c r="Q349" s="33" t="n">
        <f>1085</f>
        <v>1085.0</v>
      </c>
      <c r="R349" s="34" t="s">
        <v>50</v>
      </c>
      <c r="S349" s="35" t="n">
        <f>1083.95</f>
        <v>1083.95</v>
      </c>
      <c r="T349" s="32" t="n">
        <f>19267</f>
        <v>19267.0</v>
      </c>
      <c r="U349" s="32" t="str">
        <f>"－"</f>
        <v>－</v>
      </c>
      <c r="V349" s="32" t="n">
        <f>20840433</f>
        <v>2.0840433E7</v>
      </c>
      <c r="W349" s="32" t="str">
        <f>"－"</f>
        <v>－</v>
      </c>
      <c r="X349" s="36" t="n">
        <f>19</f>
        <v>19.0</v>
      </c>
    </row>
    <row r="350">
      <c r="A350" s="27" t="s">
        <v>42</v>
      </c>
      <c r="B350" s="27" t="s">
        <v>1100</v>
      </c>
      <c r="C350" s="27" t="s">
        <v>1101</v>
      </c>
      <c r="D350" s="27" t="s">
        <v>1102</v>
      </c>
      <c r="E350" s="28" t="s">
        <v>46</v>
      </c>
      <c r="F350" s="29" t="s">
        <v>46</v>
      </c>
      <c r="G350" s="30" t="s">
        <v>46</v>
      </c>
      <c r="H350" s="31"/>
      <c r="I350" s="31" t="s">
        <v>47</v>
      </c>
      <c r="J350" s="32" t="n">
        <v>1.0</v>
      </c>
      <c r="K350" s="33" t="n">
        <f>976</f>
        <v>976.0</v>
      </c>
      <c r="L350" s="34" t="s">
        <v>48</v>
      </c>
      <c r="M350" s="33" t="n">
        <f>1020</f>
        <v>1020.0</v>
      </c>
      <c r="N350" s="34" t="s">
        <v>364</v>
      </c>
      <c r="O350" s="33" t="n">
        <f>970</f>
        <v>970.0</v>
      </c>
      <c r="P350" s="34" t="s">
        <v>48</v>
      </c>
      <c r="Q350" s="33" t="n">
        <f>1018</f>
        <v>1018.0</v>
      </c>
      <c r="R350" s="34" t="s">
        <v>50</v>
      </c>
      <c r="S350" s="35" t="n">
        <f>1001.74</f>
        <v>1001.74</v>
      </c>
      <c r="T350" s="32" t="n">
        <f>610026</f>
        <v>610026.0</v>
      </c>
      <c r="U350" s="32" t="n">
        <f>4</f>
        <v>4.0</v>
      </c>
      <c r="V350" s="32" t="n">
        <f>609284712</f>
        <v>6.09284712E8</v>
      </c>
      <c r="W350" s="32" t="n">
        <f>3977</f>
        <v>3977.0</v>
      </c>
      <c r="X350" s="36" t="n">
        <f>19</f>
        <v>19.0</v>
      </c>
    </row>
    <row r="351">
      <c r="A351" s="27" t="s">
        <v>42</v>
      </c>
      <c r="B351" s="27" t="s">
        <v>1103</v>
      </c>
      <c r="C351" s="27" t="s">
        <v>1104</v>
      </c>
      <c r="D351" s="27" t="s">
        <v>1105</v>
      </c>
      <c r="E351" s="28" t="s">
        <v>46</v>
      </c>
      <c r="F351" s="29" t="s">
        <v>46</v>
      </c>
      <c r="G351" s="30" t="s">
        <v>46</v>
      </c>
      <c r="H351" s="31"/>
      <c r="I351" s="31" t="s">
        <v>47</v>
      </c>
      <c r="J351" s="32" t="n">
        <v>1.0</v>
      </c>
      <c r="K351" s="33" t="n">
        <f>32780</f>
        <v>32780.0</v>
      </c>
      <c r="L351" s="34" t="s">
        <v>48</v>
      </c>
      <c r="M351" s="33" t="n">
        <f>37560</f>
        <v>37560.0</v>
      </c>
      <c r="N351" s="34" t="s">
        <v>214</v>
      </c>
      <c r="O351" s="33" t="n">
        <f>32290</f>
        <v>32290.0</v>
      </c>
      <c r="P351" s="34" t="s">
        <v>208</v>
      </c>
      <c r="Q351" s="33" t="n">
        <f>36330</f>
        <v>36330.0</v>
      </c>
      <c r="R351" s="34" t="s">
        <v>50</v>
      </c>
      <c r="S351" s="35" t="n">
        <f>35168.95</f>
        <v>35168.95</v>
      </c>
      <c r="T351" s="32" t="n">
        <f>315943</f>
        <v>315943.0</v>
      </c>
      <c r="U351" s="32" t="n">
        <f>221</f>
        <v>221.0</v>
      </c>
      <c r="V351" s="32" t="n">
        <f>11089482390</f>
        <v>1.108948239E10</v>
      </c>
      <c r="W351" s="32" t="n">
        <f>7570610</f>
        <v>7570610.0</v>
      </c>
      <c r="X351" s="36" t="n">
        <f>19</f>
        <v>19.0</v>
      </c>
    </row>
    <row r="352">
      <c r="A352" s="27" t="s">
        <v>42</v>
      </c>
      <c r="B352" s="27" t="s">
        <v>1106</v>
      </c>
      <c r="C352" s="27" t="s">
        <v>1107</v>
      </c>
      <c r="D352" s="27" t="s">
        <v>1108</v>
      </c>
      <c r="E352" s="28" t="s">
        <v>46</v>
      </c>
      <c r="F352" s="29" t="s">
        <v>46</v>
      </c>
      <c r="G352" s="30" t="s">
        <v>46</v>
      </c>
      <c r="H352" s="31"/>
      <c r="I352" s="31" t="s">
        <v>47</v>
      </c>
      <c r="J352" s="32" t="n">
        <v>1.0</v>
      </c>
      <c r="K352" s="33" t="n">
        <f>29405</f>
        <v>29405.0</v>
      </c>
      <c r="L352" s="34" t="s">
        <v>48</v>
      </c>
      <c r="M352" s="33" t="n">
        <f>29860</f>
        <v>29860.0</v>
      </c>
      <c r="N352" s="34" t="s">
        <v>208</v>
      </c>
      <c r="O352" s="33" t="n">
        <f>25495</f>
        <v>25495.0</v>
      </c>
      <c r="P352" s="34" t="s">
        <v>214</v>
      </c>
      <c r="Q352" s="33" t="n">
        <f>26335</f>
        <v>26335.0</v>
      </c>
      <c r="R352" s="34" t="s">
        <v>50</v>
      </c>
      <c r="S352" s="35" t="n">
        <f>27382.37</f>
        <v>27382.37</v>
      </c>
      <c r="T352" s="32" t="n">
        <f>161441</f>
        <v>161441.0</v>
      </c>
      <c r="U352" s="32" t="n">
        <f>16</f>
        <v>16.0</v>
      </c>
      <c r="V352" s="32" t="n">
        <f>4438899035</f>
        <v>4.438899035E9</v>
      </c>
      <c r="W352" s="32" t="n">
        <f>415810</f>
        <v>415810.0</v>
      </c>
      <c r="X352" s="36" t="n">
        <f>19</f>
        <v>19.0</v>
      </c>
    </row>
    <row r="353">
      <c r="A353" s="27" t="s">
        <v>42</v>
      </c>
      <c r="B353" s="27" t="s">
        <v>1109</v>
      </c>
      <c r="C353" s="27" t="s">
        <v>1110</v>
      </c>
      <c r="D353" s="27" t="s">
        <v>1111</v>
      </c>
      <c r="E353" s="28" t="s">
        <v>46</v>
      </c>
      <c r="F353" s="29" t="s">
        <v>46</v>
      </c>
      <c r="G353" s="30" t="s">
        <v>46</v>
      </c>
      <c r="H353" s="31"/>
      <c r="I353" s="31" t="s">
        <v>47</v>
      </c>
      <c r="J353" s="32" t="n">
        <v>1.0</v>
      </c>
      <c r="K353" s="33" t="n">
        <f>117000</f>
        <v>117000.0</v>
      </c>
      <c r="L353" s="34" t="s">
        <v>48</v>
      </c>
      <c r="M353" s="33" t="n">
        <f>123200</f>
        <v>123200.0</v>
      </c>
      <c r="N353" s="34" t="s">
        <v>49</v>
      </c>
      <c r="O353" s="33" t="n">
        <f>116500</f>
        <v>116500.0</v>
      </c>
      <c r="P353" s="34" t="s">
        <v>48</v>
      </c>
      <c r="Q353" s="33" t="n">
        <f>118700</f>
        <v>118700.0</v>
      </c>
      <c r="R353" s="34" t="s">
        <v>50</v>
      </c>
      <c r="S353" s="35" t="n">
        <f>120194.74</f>
        <v>120194.74</v>
      </c>
      <c r="T353" s="32" t="n">
        <f>35471</f>
        <v>35471.0</v>
      </c>
      <c r="U353" s="32" t="n">
        <f>2445</f>
        <v>2445.0</v>
      </c>
      <c r="V353" s="32" t="n">
        <f>4262982970</f>
        <v>4.26298297E9</v>
      </c>
      <c r="W353" s="32" t="n">
        <f>293979970</f>
        <v>2.9397997E8</v>
      </c>
      <c r="X353" s="36" t="n">
        <f>19</f>
        <v>19.0</v>
      </c>
    </row>
    <row r="354">
      <c r="A354" s="27" t="s">
        <v>42</v>
      </c>
      <c r="B354" s="27" t="s">
        <v>1112</v>
      </c>
      <c r="C354" s="27" t="s">
        <v>1113</v>
      </c>
      <c r="D354" s="27" t="s">
        <v>1114</v>
      </c>
      <c r="E354" s="28" t="s">
        <v>46</v>
      </c>
      <c r="F354" s="29" t="s">
        <v>46</v>
      </c>
      <c r="G354" s="30" t="s">
        <v>46</v>
      </c>
      <c r="H354" s="31"/>
      <c r="I354" s="31" t="s">
        <v>586</v>
      </c>
      <c r="J354" s="32" t="n">
        <v>1.0</v>
      </c>
      <c r="K354" s="33" t="n">
        <f>91100</f>
        <v>91100.0</v>
      </c>
      <c r="L354" s="34" t="s">
        <v>48</v>
      </c>
      <c r="M354" s="33" t="n">
        <f>94000</f>
        <v>94000.0</v>
      </c>
      <c r="N354" s="34" t="s">
        <v>50</v>
      </c>
      <c r="O354" s="33" t="n">
        <f>89600</f>
        <v>89600.0</v>
      </c>
      <c r="P354" s="34" t="s">
        <v>61</v>
      </c>
      <c r="Q354" s="33" t="n">
        <f>93800</f>
        <v>93800.0</v>
      </c>
      <c r="R354" s="34" t="s">
        <v>50</v>
      </c>
      <c r="S354" s="35" t="n">
        <f>91321.05</f>
        <v>91321.05</v>
      </c>
      <c r="T354" s="32" t="n">
        <f>24393</f>
        <v>24393.0</v>
      </c>
      <c r="U354" s="32" t="n">
        <f>4465</f>
        <v>4465.0</v>
      </c>
      <c r="V354" s="32" t="n">
        <f>2230751802</f>
        <v>2.230751802E9</v>
      </c>
      <c r="W354" s="32" t="n">
        <f>407495002</f>
        <v>4.07495002E8</v>
      </c>
      <c r="X354" s="36" t="n">
        <f>19</f>
        <v>19.0</v>
      </c>
    </row>
    <row r="355">
      <c r="A355" s="27" t="s">
        <v>42</v>
      </c>
      <c r="B355" s="27" t="s">
        <v>1115</v>
      </c>
      <c r="C355" s="27" t="s">
        <v>1116</v>
      </c>
      <c r="D355" s="27" t="s">
        <v>1117</v>
      </c>
      <c r="E355" s="28" t="s">
        <v>46</v>
      </c>
      <c r="F355" s="29" t="s">
        <v>46</v>
      </c>
      <c r="G355" s="30" t="s">
        <v>46</v>
      </c>
      <c r="H355" s="31"/>
      <c r="I355" s="31" t="s">
        <v>47</v>
      </c>
      <c r="J355" s="32" t="n">
        <v>1.0</v>
      </c>
      <c r="K355" s="33" t="n">
        <f>120500</f>
        <v>120500.0</v>
      </c>
      <c r="L355" s="34" t="s">
        <v>48</v>
      </c>
      <c r="M355" s="33" t="n">
        <f>122400</f>
        <v>122400.0</v>
      </c>
      <c r="N355" s="34" t="s">
        <v>77</v>
      </c>
      <c r="O355" s="33" t="n">
        <f>118600</f>
        <v>118600.0</v>
      </c>
      <c r="P355" s="34" t="s">
        <v>159</v>
      </c>
      <c r="Q355" s="33" t="n">
        <f>119800</f>
        <v>119800.0</v>
      </c>
      <c r="R355" s="34" t="s">
        <v>50</v>
      </c>
      <c r="S355" s="35" t="n">
        <f>120568.42</f>
        <v>120568.42</v>
      </c>
      <c r="T355" s="32" t="n">
        <f>51215</f>
        <v>51215.0</v>
      </c>
      <c r="U355" s="32" t="n">
        <f>9461</f>
        <v>9461.0</v>
      </c>
      <c r="V355" s="32" t="n">
        <f>6175097643</f>
        <v>6.175097643E9</v>
      </c>
      <c r="W355" s="32" t="n">
        <f>1140075743</f>
        <v>1.140075743E9</v>
      </c>
      <c r="X355" s="36" t="n">
        <f>19</f>
        <v>19.0</v>
      </c>
    </row>
    <row r="356">
      <c r="A356" s="27" t="s">
        <v>42</v>
      </c>
      <c r="B356" s="27" t="s">
        <v>1118</v>
      </c>
      <c r="C356" s="27" t="s">
        <v>1119</v>
      </c>
      <c r="D356" s="27" t="s">
        <v>1120</v>
      </c>
      <c r="E356" s="28" t="s">
        <v>46</v>
      </c>
      <c r="F356" s="29" t="s">
        <v>46</v>
      </c>
      <c r="G356" s="30" t="s">
        <v>46</v>
      </c>
      <c r="H356" s="31"/>
      <c r="I356" s="31" t="s">
        <v>586</v>
      </c>
      <c r="J356" s="32" t="n">
        <v>1.0</v>
      </c>
      <c r="K356" s="33" t="n">
        <f>125600</f>
        <v>125600.0</v>
      </c>
      <c r="L356" s="34" t="s">
        <v>48</v>
      </c>
      <c r="M356" s="33" t="n">
        <f>130000</f>
        <v>130000.0</v>
      </c>
      <c r="N356" s="34" t="s">
        <v>49</v>
      </c>
      <c r="O356" s="33" t="n">
        <f>123600</f>
        <v>123600.0</v>
      </c>
      <c r="P356" s="34" t="s">
        <v>50</v>
      </c>
      <c r="Q356" s="33" t="n">
        <f>124500</f>
        <v>124500.0</v>
      </c>
      <c r="R356" s="34" t="s">
        <v>50</v>
      </c>
      <c r="S356" s="35" t="n">
        <f>127457.89</f>
        <v>127457.89</v>
      </c>
      <c r="T356" s="32" t="n">
        <f>32581</f>
        <v>32581.0</v>
      </c>
      <c r="U356" s="32" t="n">
        <f>2525</f>
        <v>2525.0</v>
      </c>
      <c r="V356" s="32" t="n">
        <f>4145246451</f>
        <v>4.145246451E9</v>
      </c>
      <c r="W356" s="32" t="n">
        <f>320100751</f>
        <v>3.20100751E8</v>
      </c>
      <c r="X356" s="36" t="n">
        <f>19</f>
        <v>19.0</v>
      </c>
    </row>
    <row r="357">
      <c r="A357" s="27" t="s">
        <v>42</v>
      </c>
      <c r="B357" s="27" t="s">
        <v>1121</v>
      </c>
      <c r="C357" s="27" t="s">
        <v>1122</v>
      </c>
      <c r="D357" s="27" t="s">
        <v>1123</v>
      </c>
      <c r="E357" s="28" t="s">
        <v>46</v>
      </c>
      <c r="F357" s="29" t="s">
        <v>46</v>
      </c>
      <c r="G357" s="30" t="s">
        <v>46</v>
      </c>
      <c r="H357" s="31"/>
      <c r="I357" s="31" t="s">
        <v>47</v>
      </c>
      <c r="J357" s="32" t="n">
        <v>1.0</v>
      </c>
      <c r="K357" s="33" t="n">
        <f>604000</f>
        <v>604000.0</v>
      </c>
      <c r="L357" s="34" t="s">
        <v>48</v>
      </c>
      <c r="M357" s="33" t="n">
        <f>617000</f>
        <v>617000.0</v>
      </c>
      <c r="N357" s="34" t="s">
        <v>49</v>
      </c>
      <c r="O357" s="33" t="n">
        <f>593000</f>
        <v>593000.0</v>
      </c>
      <c r="P357" s="34" t="s">
        <v>61</v>
      </c>
      <c r="Q357" s="33" t="n">
        <f>614000</f>
        <v>614000.0</v>
      </c>
      <c r="R357" s="34" t="s">
        <v>50</v>
      </c>
      <c r="S357" s="35" t="n">
        <f>606947.37</f>
        <v>606947.37</v>
      </c>
      <c r="T357" s="32" t="n">
        <f>23041</f>
        <v>23041.0</v>
      </c>
      <c r="U357" s="32" t="n">
        <f>5738</f>
        <v>5738.0</v>
      </c>
      <c r="V357" s="32" t="n">
        <f>13978978785</f>
        <v>1.3978978785E10</v>
      </c>
      <c r="W357" s="32" t="n">
        <f>3479305785</f>
        <v>3.479305785E9</v>
      </c>
      <c r="X357" s="36" t="n">
        <f>19</f>
        <v>19.0</v>
      </c>
    </row>
    <row r="358">
      <c r="A358" s="27" t="s">
        <v>42</v>
      </c>
      <c r="B358" s="27" t="s">
        <v>1124</v>
      </c>
      <c r="C358" s="27" t="s">
        <v>1125</v>
      </c>
      <c r="D358" s="27" t="s">
        <v>1126</v>
      </c>
      <c r="E358" s="28" t="s">
        <v>46</v>
      </c>
      <c r="F358" s="29" t="s">
        <v>46</v>
      </c>
      <c r="G358" s="30" t="s">
        <v>46</v>
      </c>
      <c r="H358" s="31"/>
      <c r="I358" s="31" t="s">
        <v>47</v>
      </c>
      <c r="J358" s="32" t="n">
        <v>1.0</v>
      </c>
      <c r="K358" s="33" t="n">
        <f>140400</f>
        <v>140400.0</v>
      </c>
      <c r="L358" s="34" t="s">
        <v>48</v>
      </c>
      <c r="M358" s="33" t="n">
        <f>142300</f>
        <v>142300.0</v>
      </c>
      <c r="N358" s="34" t="s">
        <v>208</v>
      </c>
      <c r="O358" s="33" t="n">
        <f>136900</f>
        <v>136900.0</v>
      </c>
      <c r="P358" s="34" t="s">
        <v>214</v>
      </c>
      <c r="Q358" s="33" t="n">
        <f>137200</f>
        <v>137200.0</v>
      </c>
      <c r="R358" s="34" t="s">
        <v>50</v>
      </c>
      <c r="S358" s="35" t="n">
        <f>140268.42</f>
        <v>140268.42</v>
      </c>
      <c r="T358" s="32" t="n">
        <f>91845</f>
        <v>91845.0</v>
      </c>
      <c r="U358" s="32" t="n">
        <f>18054</f>
        <v>18054.0</v>
      </c>
      <c r="V358" s="32" t="n">
        <f>12875334657</f>
        <v>1.2875334657E10</v>
      </c>
      <c r="W358" s="32" t="n">
        <f>2533951257</f>
        <v>2.533951257E9</v>
      </c>
      <c r="X358" s="36" t="n">
        <f>19</f>
        <v>19.0</v>
      </c>
    </row>
    <row r="359">
      <c r="A359" s="27" t="s">
        <v>42</v>
      </c>
      <c r="B359" s="27" t="s">
        <v>1127</v>
      </c>
      <c r="C359" s="27" t="s">
        <v>1128</v>
      </c>
      <c r="D359" s="27" t="s">
        <v>1129</v>
      </c>
      <c r="E359" s="28" t="s">
        <v>46</v>
      </c>
      <c r="F359" s="29" t="s">
        <v>46</v>
      </c>
      <c r="G359" s="30" t="s">
        <v>46</v>
      </c>
      <c r="H359" s="31"/>
      <c r="I359" s="31" t="s">
        <v>47</v>
      </c>
      <c r="J359" s="32" t="n">
        <v>1.0</v>
      </c>
      <c r="K359" s="33" t="n">
        <f>140000</f>
        <v>140000.0</v>
      </c>
      <c r="L359" s="34" t="s">
        <v>48</v>
      </c>
      <c r="M359" s="33" t="n">
        <f>143000</f>
        <v>143000.0</v>
      </c>
      <c r="N359" s="34" t="s">
        <v>88</v>
      </c>
      <c r="O359" s="33" t="n">
        <f>133500</f>
        <v>133500.0</v>
      </c>
      <c r="P359" s="34" t="s">
        <v>50</v>
      </c>
      <c r="Q359" s="33" t="n">
        <f>133600</f>
        <v>133600.0</v>
      </c>
      <c r="R359" s="34" t="s">
        <v>50</v>
      </c>
      <c r="S359" s="35" t="n">
        <f>139815.79</f>
        <v>139815.79</v>
      </c>
      <c r="T359" s="32" t="n">
        <f>128713</f>
        <v>128713.0</v>
      </c>
      <c r="U359" s="32" t="n">
        <f>24211</f>
        <v>24211.0</v>
      </c>
      <c r="V359" s="32" t="n">
        <f>17967952377</f>
        <v>1.7967952377E10</v>
      </c>
      <c r="W359" s="32" t="n">
        <f>3390841677</f>
        <v>3.390841677E9</v>
      </c>
      <c r="X359" s="36" t="n">
        <f>19</f>
        <v>19.0</v>
      </c>
    </row>
    <row r="360">
      <c r="A360" s="27" t="s">
        <v>42</v>
      </c>
      <c r="B360" s="27" t="s">
        <v>1130</v>
      </c>
      <c r="C360" s="27" t="s">
        <v>1131</v>
      </c>
      <c r="D360" s="27" t="s">
        <v>1132</v>
      </c>
      <c r="E360" s="28" t="s">
        <v>46</v>
      </c>
      <c r="F360" s="29" t="s">
        <v>46</v>
      </c>
      <c r="G360" s="30" t="s">
        <v>46</v>
      </c>
      <c r="H360" s="31"/>
      <c r="I360" s="31" t="s">
        <v>47</v>
      </c>
      <c r="J360" s="32" t="n">
        <v>1.0</v>
      </c>
      <c r="K360" s="33" t="n">
        <f>319000</f>
        <v>319000.0</v>
      </c>
      <c r="L360" s="34" t="s">
        <v>48</v>
      </c>
      <c r="M360" s="33" t="n">
        <f>334000</f>
        <v>334000.0</v>
      </c>
      <c r="N360" s="34" t="s">
        <v>49</v>
      </c>
      <c r="O360" s="33" t="n">
        <f>313000</f>
        <v>313000.0</v>
      </c>
      <c r="P360" s="34" t="s">
        <v>48</v>
      </c>
      <c r="Q360" s="33" t="n">
        <f>325000</f>
        <v>325000.0</v>
      </c>
      <c r="R360" s="34" t="s">
        <v>50</v>
      </c>
      <c r="S360" s="35" t="n">
        <f>325842.11</f>
        <v>325842.11</v>
      </c>
      <c r="T360" s="32" t="n">
        <f>83201</f>
        <v>83201.0</v>
      </c>
      <c r="U360" s="32" t="n">
        <f>24844</f>
        <v>24844.0</v>
      </c>
      <c r="V360" s="32" t="n">
        <f>27145775391</f>
        <v>2.7145775391E10</v>
      </c>
      <c r="W360" s="32" t="n">
        <f>8104562891</f>
        <v>8.104562891E9</v>
      </c>
      <c r="X360" s="36" t="n">
        <f>19</f>
        <v>19.0</v>
      </c>
    </row>
    <row r="361">
      <c r="A361" s="27" t="s">
        <v>42</v>
      </c>
      <c r="B361" s="27" t="s">
        <v>1133</v>
      </c>
      <c r="C361" s="27" t="s">
        <v>1134</v>
      </c>
      <c r="D361" s="27" t="s">
        <v>1135</v>
      </c>
      <c r="E361" s="28" t="s">
        <v>46</v>
      </c>
      <c r="F361" s="29" t="s">
        <v>46</v>
      </c>
      <c r="G361" s="30" t="s">
        <v>46</v>
      </c>
      <c r="H361" s="31"/>
      <c r="I361" s="31" t="s">
        <v>47</v>
      </c>
      <c r="J361" s="32" t="n">
        <v>1.0</v>
      </c>
      <c r="K361" s="33" t="n">
        <f>390000</f>
        <v>390000.0</v>
      </c>
      <c r="L361" s="34" t="s">
        <v>48</v>
      </c>
      <c r="M361" s="33" t="n">
        <f>415000</f>
        <v>415000.0</v>
      </c>
      <c r="N361" s="34" t="s">
        <v>213</v>
      </c>
      <c r="O361" s="33" t="n">
        <f>385000</f>
        <v>385000.0</v>
      </c>
      <c r="P361" s="34" t="s">
        <v>48</v>
      </c>
      <c r="Q361" s="33" t="n">
        <f>402000</f>
        <v>402000.0</v>
      </c>
      <c r="R361" s="34" t="s">
        <v>50</v>
      </c>
      <c r="S361" s="35" t="n">
        <f>398921.05</f>
        <v>398921.05</v>
      </c>
      <c r="T361" s="32" t="n">
        <f>47287</f>
        <v>47287.0</v>
      </c>
      <c r="U361" s="32" t="n">
        <f>12397</f>
        <v>12397.0</v>
      </c>
      <c r="V361" s="32" t="n">
        <f>18988726710</f>
        <v>1.898872671E10</v>
      </c>
      <c r="W361" s="32" t="n">
        <f>4971954710</f>
        <v>4.97195471E9</v>
      </c>
      <c r="X361" s="36" t="n">
        <f>19</f>
        <v>19.0</v>
      </c>
    </row>
    <row r="362">
      <c r="A362" s="27" t="s">
        <v>42</v>
      </c>
      <c r="B362" s="27" t="s">
        <v>1136</v>
      </c>
      <c r="C362" s="27" t="s">
        <v>1137</v>
      </c>
      <c r="D362" s="27" t="s">
        <v>1138</v>
      </c>
      <c r="E362" s="28" t="s">
        <v>46</v>
      </c>
      <c r="F362" s="29" t="s">
        <v>46</v>
      </c>
      <c r="G362" s="30" t="s">
        <v>46</v>
      </c>
      <c r="H362" s="31"/>
      <c r="I362" s="31" t="s">
        <v>47</v>
      </c>
      <c r="J362" s="32" t="n">
        <v>1.0</v>
      </c>
      <c r="K362" s="33" t="n">
        <f>140700</f>
        <v>140700.0</v>
      </c>
      <c r="L362" s="34" t="s">
        <v>48</v>
      </c>
      <c r="M362" s="33" t="n">
        <f>143500</f>
        <v>143500.0</v>
      </c>
      <c r="N362" s="34" t="s">
        <v>218</v>
      </c>
      <c r="O362" s="33" t="n">
        <f>130700</f>
        <v>130700.0</v>
      </c>
      <c r="P362" s="34" t="s">
        <v>364</v>
      </c>
      <c r="Q362" s="33" t="n">
        <f>131700</f>
        <v>131700.0</v>
      </c>
      <c r="R362" s="34" t="s">
        <v>50</v>
      </c>
      <c r="S362" s="35" t="n">
        <f>137673.68</f>
        <v>137673.68</v>
      </c>
      <c r="T362" s="32" t="n">
        <f>311826</f>
        <v>311826.0</v>
      </c>
      <c r="U362" s="32" t="n">
        <f>80410</f>
        <v>80410.0</v>
      </c>
      <c r="V362" s="32" t="n">
        <f>42706804181</f>
        <v>4.2706804181E10</v>
      </c>
      <c r="W362" s="32" t="n">
        <f>11064692981</f>
        <v>1.1064692981E10</v>
      </c>
      <c r="X362" s="36" t="n">
        <f>19</f>
        <v>19.0</v>
      </c>
    </row>
    <row r="363">
      <c r="A363" s="27" t="s">
        <v>42</v>
      </c>
      <c r="B363" s="27" t="s">
        <v>1139</v>
      </c>
      <c r="C363" s="27" t="s">
        <v>1140</v>
      </c>
      <c r="D363" s="27" t="s">
        <v>1141</v>
      </c>
      <c r="E363" s="28" t="s">
        <v>46</v>
      </c>
      <c r="F363" s="29" t="s">
        <v>46</v>
      </c>
      <c r="G363" s="30" t="s">
        <v>46</v>
      </c>
      <c r="H363" s="31"/>
      <c r="I363" s="31" t="s">
        <v>47</v>
      </c>
      <c r="J363" s="32" t="n">
        <v>1.0</v>
      </c>
      <c r="K363" s="33" t="n">
        <f>317500</f>
        <v>317500.0</v>
      </c>
      <c r="L363" s="34" t="s">
        <v>48</v>
      </c>
      <c r="M363" s="33" t="n">
        <f>323000</f>
        <v>323000.0</v>
      </c>
      <c r="N363" s="34" t="s">
        <v>49</v>
      </c>
      <c r="O363" s="33" t="n">
        <f>304000</f>
        <v>304000.0</v>
      </c>
      <c r="P363" s="34" t="s">
        <v>61</v>
      </c>
      <c r="Q363" s="33" t="n">
        <f>309500</f>
        <v>309500.0</v>
      </c>
      <c r="R363" s="34" t="s">
        <v>50</v>
      </c>
      <c r="S363" s="35" t="n">
        <f>313763.16</f>
        <v>313763.16</v>
      </c>
      <c r="T363" s="32" t="n">
        <f>51569</f>
        <v>51569.0</v>
      </c>
      <c r="U363" s="32" t="n">
        <f>11374</f>
        <v>11374.0</v>
      </c>
      <c r="V363" s="32" t="n">
        <f>16200432523</f>
        <v>1.6200432523E10</v>
      </c>
      <c r="W363" s="32" t="n">
        <f>3567625523</f>
        <v>3.567625523E9</v>
      </c>
      <c r="X363" s="36" t="n">
        <f>19</f>
        <v>19.0</v>
      </c>
    </row>
    <row r="364">
      <c r="A364" s="27" t="s">
        <v>42</v>
      </c>
      <c r="B364" s="27" t="s">
        <v>1142</v>
      </c>
      <c r="C364" s="27" t="s">
        <v>1143</v>
      </c>
      <c r="D364" s="27" t="s">
        <v>1144</v>
      </c>
      <c r="E364" s="28" t="s">
        <v>46</v>
      </c>
      <c r="F364" s="29" t="s">
        <v>46</v>
      </c>
      <c r="G364" s="30" t="s">
        <v>46</v>
      </c>
      <c r="H364" s="31"/>
      <c r="I364" s="31" t="s">
        <v>47</v>
      </c>
      <c r="J364" s="32" t="n">
        <v>1.0</v>
      </c>
      <c r="K364" s="33" t="n">
        <f>271800</f>
        <v>271800.0</v>
      </c>
      <c r="L364" s="34" t="s">
        <v>48</v>
      </c>
      <c r="M364" s="33" t="n">
        <f>284000</f>
        <v>284000.0</v>
      </c>
      <c r="N364" s="34" t="s">
        <v>77</v>
      </c>
      <c r="O364" s="33" t="n">
        <f>262300</f>
        <v>262300.0</v>
      </c>
      <c r="P364" s="34" t="s">
        <v>50</v>
      </c>
      <c r="Q364" s="33" t="n">
        <f>262600</f>
        <v>262600.0</v>
      </c>
      <c r="R364" s="34" t="s">
        <v>50</v>
      </c>
      <c r="S364" s="35" t="n">
        <f>274710.53</f>
        <v>274710.53</v>
      </c>
      <c r="T364" s="32" t="n">
        <f>148881</f>
        <v>148881.0</v>
      </c>
      <c r="U364" s="32" t="n">
        <f>49885</f>
        <v>49885.0</v>
      </c>
      <c r="V364" s="32" t="n">
        <f>40850127905</f>
        <v>4.0850127905E10</v>
      </c>
      <c r="W364" s="32" t="n">
        <f>13719956005</f>
        <v>1.3719956005E10</v>
      </c>
      <c r="X364" s="36" t="n">
        <f>19</f>
        <v>19.0</v>
      </c>
    </row>
    <row r="365">
      <c r="A365" s="27" t="s">
        <v>42</v>
      </c>
      <c r="B365" s="27" t="s">
        <v>1145</v>
      </c>
      <c r="C365" s="27" t="s">
        <v>1146</v>
      </c>
      <c r="D365" s="27" t="s">
        <v>1147</v>
      </c>
      <c r="E365" s="28" t="s">
        <v>46</v>
      </c>
      <c r="F365" s="29" t="s">
        <v>46</v>
      </c>
      <c r="G365" s="30" t="s">
        <v>46</v>
      </c>
      <c r="H365" s="31"/>
      <c r="I365" s="31" t="s">
        <v>47</v>
      </c>
      <c r="J365" s="32" t="n">
        <v>1.0</v>
      </c>
      <c r="K365" s="33" t="n">
        <f>566000</f>
        <v>566000.0</v>
      </c>
      <c r="L365" s="34" t="s">
        <v>48</v>
      </c>
      <c r="M365" s="33" t="n">
        <f>579000</f>
        <v>579000.0</v>
      </c>
      <c r="N365" s="34" t="s">
        <v>88</v>
      </c>
      <c r="O365" s="33" t="n">
        <f>513000</f>
        <v>513000.0</v>
      </c>
      <c r="P365" s="34" t="s">
        <v>50</v>
      </c>
      <c r="Q365" s="33" t="n">
        <f>515000</f>
        <v>515000.0</v>
      </c>
      <c r="R365" s="34" t="s">
        <v>50</v>
      </c>
      <c r="S365" s="35" t="n">
        <f>545684.21</f>
        <v>545684.21</v>
      </c>
      <c r="T365" s="32" t="n">
        <f>27574</f>
        <v>27574.0</v>
      </c>
      <c r="U365" s="32" t="n">
        <f>6713</f>
        <v>6713.0</v>
      </c>
      <c r="V365" s="32" t="n">
        <f>14958172945</f>
        <v>1.4958172945E10</v>
      </c>
      <c r="W365" s="32" t="n">
        <f>3631918945</f>
        <v>3.631918945E9</v>
      </c>
      <c r="X365" s="36" t="n">
        <f>19</f>
        <v>19.0</v>
      </c>
    </row>
    <row r="366">
      <c r="A366" s="27" t="s">
        <v>42</v>
      </c>
      <c r="B366" s="27" t="s">
        <v>1148</v>
      </c>
      <c r="C366" s="27" t="s">
        <v>1149</v>
      </c>
      <c r="D366" s="27" t="s">
        <v>1150</v>
      </c>
      <c r="E366" s="28" t="s">
        <v>46</v>
      </c>
      <c r="F366" s="29" t="s">
        <v>46</v>
      </c>
      <c r="G366" s="30" t="s">
        <v>46</v>
      </c>
      <c r="H366" s="31"/>
      <c r="I366" s="31" t="s">
        <v>47</v>
      </c>
      <c r="J366" s="32" t="n">
        <v>1.0</v>
      </c>
      <c r="K366" s="33" t="n">
        <f>265900</f>
        <v>265900.0</v>
      </c>
      <c r="L366" s="34" t="s">
        <v>48</v>
      </c>
      <c r="M366" s="33" t="n">
        <f>274900</f>
        <v>274900.0</v>
      </c>
      <c r="N366" s="34" t="s">
        <v>77</v>
      </c>
      <c r="O366" s="33" t="n">
        <f>264300</f>
        <v>264300.0</v>
      </c>
      <c r="P366" s="34" t="s">
        <v>208</v>
      </c>
      <c r="Q366" s="33" t="n">
        <f>271200</f>
        <v>271200.0</v>
      </c>
      <c r="R366" s="34" t="s">
        <v>50</v>
      </c>
      <c r="S366" s="35" t="n">
        <f>270731.58</f>
        <v>270731.58</v>
      </c>
      <c r="T366" s="32" t="n">
        <f>16498</f>
        <v>16498.0</v>
      </c>
      <c r="U366" s="32" t="n">
        <f>2991</f>
        <v>2991.0</v>
      </c>
      <c r="V366" s="32" t="n">
        <f>4465323847</f>
        <v>4.465323847E9</v>
      </c>
      <c r="W366" s="32" t="n">
        <f>809557547</f>
        <v>8.09557547E8</v>
      </c>
      <c r="X366" s="36" t="n">
        <f>19</f>
        <v>19.0</v>
      </c>
    </row>
    <row r="367">
      <c r="A367" s="27" t="s">
        <v>42</v>
      </c>
      <c r="B367" s="27" t="s">
        <v>1151</v>
      </c>
      <c r="C367" s="27" t="s">
        <v>1152</v>
      </c>
      <c r="D367" s="27" t="s">
        <v>1153</v>
      </c>
      <c r="E367" s="28" t="s">
        <v>46</v>
      </c>
      <c r="F367" s="29" t="s">
        <v>46</v>
      </c>
      <c r="G367" s="30" t="s">
        <v>46</v>
      </c>
      <c r="H367" s="31"/>
      <c r="I367" s="31" t="s">
        <v>47</v>
      </c>
      <c r="J367" s="32" t="n">
        <v>1.0</v>
      </c>
      <c r="K367" s="33" t="n">
        <f>141800</f>
        <v>141800.0</v>
      </c>
      <c r="L367" s="34" t="s">
        <v>48</v>
      </c>
      <c r="M367" s="33" t="n">
        <f>142800</f>
        <v>142800.0</v>
      </c>
      <c r="N367" s="34" t="s">
        <v>49</v>
      </c>
      <c r="O367" s="33" t="n">
        <f>137800</f>
        <v>137800.0</v>
      </c>
      <c r="P367" s="34" t="s">
        <v>214</v>
      </c>
      <c r="Q367" s="33" t="n">
        <f>138900</f>
        <v>138900.0</v>
      </c>
      <c r="R367" s="34" t="s">
        <v>50</v>
      </c>
      <c r="S367" s="35" t="n">
        <f>141105.26</f>
        <v>141105.26</v>
      </c>
      <c r="T367" s="32" t="n">
        <f>120970</f>
        <v>120970.0</v>
      </c>
      <c r="U367" s="32" t="n">
        <f>22621</f>
        <v>22621.0</v>
      </c>
      <c r="V367" s="32" t="n">
        <f>17079437808</f>
        <v>1.7079437808E10</v>
      </c>
      <c r="W367" s="32" t="n">
        <f>3197855308</f>
        <v>3.197855308E9</v>
      </c>
      <c r="X367" s="36" t="n">
        <f>19</f>
        <v>19.0</v>
      </c>
    </row>
    <row r="368">
      <c r="A368" s="27" t="s">
        <v>42</v>
      </c>
      <c r="B368" s="27" t="s">
        <v>1154</v>
      </c>
      <c r="C368" s="27" t="s">
        <v>1155</v>
      </c>
      <c r="D368" s="27" t="s">
        <v>1156</v>
      </c>
      <c r="E368" s="28" t="s">
        <v>46</v>
      </c>
      <c r="F368" s="29" t="s">
        <v>46</v>
      </c>
      <c r="G368" s="30" t="s">
        <v>46</v>
      </c>
      <c r="H368" s="31"/>
      <c r="I368" s="31" t="s">
        <v>47</v>
      </c>
      <c r="J368" s="32" t="n">
        <v>1.0</v>
      </c>
      <c r="K368" s="33" t="n">
        <f>149500</f>
        <v>149500.0</v>
      </c>
      <c r="L368" s="34" t="s">
        <v>48</v>
      </c>
      <c r="M368" s="33" t="n">
        <f>157700</f>
        <v>157700.0</v>
      </c>
      <c r="N368" s="34" t="s">
        <v>49</v>
      </c>
      <c r="O368" s="33" t="n">
        <f>147600</f>
        <v>147600.0</v>
      </c>
      <c r="P368" s="34" t="s">
        <v>48</v>
      </c>
      <c r="Q368" s="33" t="n">
        <f>155300</f>
        <v>155300.0</v>
      </c>
      <c r="R368" s="34" t="s">
        <v>50</v>
      </c>
      <c r="S368" s="35" t="n">
        <f>153757.89</f>
        <v>153757.89</v>
      </c>
      <c r="T368" s="32" t="n">
        <f>74751</f>
        <v>74751.0</v>
      </c>
      <c r="U368" s="32" t="n">
        <f>23860</f>
        <v>23860.0</v>
      </c>
      <c r="V368" s="32" t="n">
        <f>11507300910</f>
        <v>1.150730091E10</v>
      </c>
      <c r="W368" s="32" t="n">
        <f>3669312910</f>
        <v>3.66931291E9</v>
      </c>
      <c r="X368" s="36" t="n">
        <f>19</f>
        <v>19.0</v>
      </c>
    </row>
    <row r="369">
      <c r="A369" s="27" t="s">
        <v>42</v>
      </c>
      <c r="B369" s="27" t="s">
        <v>1157</v>
      </c>
      <c r="C369" s="27" t="s">
        <v>1158</v>
      </c>
      <c r="D369" s="27" t="s">
        <v>1159</v>
      </c>
      <c r="E369" s="28" t="s">
        <v>46</v>
      </c>
      <c r="F369" s="29" t="s">
        <v>46</v>
      </c>
      <c r="G369" s="30" t="s">
        <v>46</v>
      </c>
      <c r="H369" s="31"/>
      <c r="I369" s="31" t="s">
        <v>47</v>
      </c>
      <c r="J369" s="32" t="n">
        <v>1.0</v>
      </c>
      <c r="K369" s="33" t="n">
        <f>336000</f>
        <v>336000.0</v>
      </c>
      <c r="L369" s="34" t="s">
        <v>48</v>
      </c>
      <c r="M369" s="33" t="n">
        <f>347500</f>
        <v>347500.0</v>
      </c>
      <c r="N369" s="34" t="s">
        <v>49</v>
      </c>
      <c r="O369" s="33" t="n">
        <f>335000</f>
        <v>335000.0</v>
      </c>
      <c r="P369" s="34" t="s">
        <v>48</v>
      </c>
      <c r="Q369" s="33" t="n">
        <f>341500</f>
        <v>341500.0</v>
      </c>
      <c r="R369" s="34" t="s">
        <v>50</v>
      </c>
      <c r="S369" s="35" t="n">
        <f>342131.58</f>
        <v>342131.58</v>
      </c>
      <c r="T369" s="32" t="n">
        <f>22033</f>
        <v>22033.0</v>
      </c>
      <c r="U369" s="32" t="n">
        <f>6854</f>
        <v>6854.0</v>
      </c>
      <c r="V369" s="32" t="n">
        <f>7539664207</f>
        <v>7.539664207E9</v>
      </c>
      <c r="W369" s="32" t="n">
        <f>2344993207</f>
        <v>2.344993207E9</v>
      </c>
      <c r="X369" s="36" t="n">
        <f>19</f>
        <v>19.0</v>
      </c>
    </row>
    <row r="370">
      <c r="A370" s="27" t="s">
        <v>42</v>
      </c>
      <c r="B370" s="27" t="s">
        <v>1160</v>
      </c>
      <c r="C370" s="27" t="s">
        <v>1161</v>
      </c>
      <c r="D370" s="27" t="s">
        <v>1162</v>
      </c>
      <c r="E370" s="28" t="s">
        <v>46</v>
      </c>
      <c r="F370" s="29" t="s">
        <v>46</v>
      </c>
      <c r="G370" s="30" t="s">
        <v>46</v>
      </c>
      <c r="H370" s="31"/>
      <c r="I370" s="31" t="s">
        <v>47</v>
      </c>
      <c r="J370" s="32" t="n">
        <v>1.0</v>
      </c>
      <c r="K370" s="33" t="n">
        <f>77800</f>
        <v>77800.0</v>
      </c>
      <c r="L370" s="34" t="s">
        <v>48</v>
      </c>
      <c r="M370" s="33" t="n">
        <f>79900</f>
        <v>79900.0</v>
      </c>
      <c r="N370" s="34" t="s">
        <v>218</v>
      </c>
      <c r="O370" s="33" t="n">
        <f>76600</f>
        <v>76600.0</v>
      </c>
      <c r="P370" s="34" t="s">
        <v>61</v>
      </c>
      <c r="Q370" s="33" t="n">
        <f>78500</f>
        <v>78500.0</v>
      </c>
      <c r="R370" s="34" t="s">
        <v>50</v>
      </c>
      <c r="S370" s="35" t="n">
        <f>78268.42</f>
        <v>78268.42</v>
      </c>
      <c r="T370" s="32" t="n">
        <f>169480</f>
        <v>169480.0</v>
      </c>
      <c r="U370" s="32" t="n">
        <f>43467</f>
        <v>43467.0</v>
      </c>
      <c r="V370" s="32" t="n">
        <f>13255092518</f>
        <v>1.3255092518E10</v>
      </c>
      <c r="W370" s="32" t="n">
        <f>3396190318</f>
        <v>3.396190318E9</v>
      </c>
      <c r="X370" s="36" t="n">
        <f>19</f>
        <v>19.0</v>
      </c>
    </row>
    <row r="371">
      <c r="A371" s="27" t="s">
        <v>42</v>
      </c>
      <c r="B371" s="27" t="s">
        <v>1163</v>
      </c>
      <c r="C371" s="27" t="s">
        <v>1164</v>
      </c>
      <c r="D371" s="27" t="s">
        <v>1165</v>
      </c>
      <c r="E371" s="28" t="s">
        <v>46</v>
      </c>
      <c r="F371" s="29" t="s">
        <v>46</v>
      </c>
      <c r="G371" s="30" t="s">
        <v>46</v>
      </c>
      <c r="H371" s="31"/>
      <c r="I371" s="31" t="s">
        <v>586</v>
      </c>
      <c r="J371" s="32" t="n">
        <v>1.0</v>
      </c>
      <c r="K371" s="33" t="n">
        <f>135500</f>
        <v>135500.0</v>
      </c>
      <c r="L371" s="34" t="s">
        <v>48</v>
      </c>
      <c r="M371" s="33" t="n">
        <f>142200</f>
        <v>142200.0</v>
      </c>
      <c r="N371" s="34" t="s">
        <v>50</v>
      </c>
      <c r="O371" s="33" t="n">
        <f>135300</f>
        <v>135300.0</v>
      </c>
      <c r="P371" s="34" t="s">
        <v>48</v>
      </c>
      <c r="Q371" s="33" t="n">
        <f>142200</f>
        <v>142200.0</v>
      </c>
      <c r="R371" s="34" t="s">
        <v>50</v>
      </c>
      <c r="S371" s="35" t="n">
        <f>138994.74</f>
        <v>138994.74</v>
      </c>
      <c r="T371" s="32" t="n">
        <f>17823</f>
        <v>17823.0</v>
      </c>
      <c r="U371" s="32" t="n">
        <f>2311</f>
        <v>2311.0</v>
      </c>
      <c r="V371" s="32" t="n">
        <f>2473776206</f>
        <v>2.473776206E9</v>
      </c>
      <c r="W371" s="32" t="n">
        <f>320506506</f>
        <v>3.20506506E8</v>
      </c>
      <c r="X371" s="36" t="n">
        <f>19</f>
        <v>19.0</v>
      </c>
    </row>
    <row r="372">
      <c r="A372" s="27" t="s">
        <v>42</v>
      </c>
      <c r="B372" s="27" t="s">
        <v>1166</v>
      </c>
      <c r="C372" s="27" t="s">
        <v>1167</v>
      </c>
      <c r="D372" s="27" t="s">
        <v>1168</v>
      </c>
      <c r="E372" s="28" t="s">
        <v>46</v>
      </c>
      <c r="F372" s="29" t="s">
        <v>46</v>
      </c>
      <c r="G372" s="30" t="s">
        <v>46</v>
      </c>
      <c r="H372" s="31"/>
      <c r="I372" s="31" t="s">
        <v>47</v>
      </c>
      <c r="J372" s="32" t="n">
        <v>1.0</v>
      </c>
      <c r="K372" s="33" t="n">
        <f>140800</f>
        <v>140800.0</v>
      </c>
      <c r="L372" s="34" t="s">
        <v>48</v>
      </c>
      <c r="M372" s="33" t="n">
        <f>142100</f>
        <v>142100.0</v>
      </c>
      <c r="N372" s="34" t="s">
        <v>88</v>
      </c>
      <c r="O372" s="33" t="n">
        <f>131600</f>
        <v>131600.0</v>
      </c>
      <c r="P372" s="34" t="s">
        <v>50</v>
      </c>
      <c r="Q372" s="33" t="n">
        <f>131700</f>
        <v>131700.0</v>
      </c>
      <c r="R372" s="34" t="s">
        <v>50</v>
      </c>
      <c r="S372" s="35" t="n">
        <f>137968.42</f>
        <v>137968.42</v>
      </c>
      <c r="T372" s="32" t="n">
        <f>38805</f>
        <v>38805.0</v>
      </c>
      <c r="U372" s="32" t="n">
        <f>3324</f>
        <v>3324.0</v>
      </c>
      <c r="V372" s="32" t="n">
        <f>5334512563</f>
        <v>5.334512563E9</v>
      </c>
      <c r="W372" s="32" t="n">
        <f>459683463</f>
        <v>4.59683463E8</v>
      </c>
      <c r="X372" s="36" t="n">
        <f>19</f>
        <v>19.0</v>
      </c>
    </row>
    <row r="373">
      <c r="A373" s="27" t="s">
        <v>42</v>
      </c>
      <c r="B373" s="27" t="s">
        <v>1169</v>
      </c>
      <c r="C373" s="27" t="s">
        <v>1170</v>
      </c>
      <c r="D373" s="27" t="s">
        <v>1171</v>
      </c>
      <c r="E373" s="28" t="s">
        <v>46</v>
      </c>
      <c r="F373" s="29" t="s">
        <v>46</v>
      </c>
      <c r="G373" s="30" t="s">
        <v>46</v>
      </c>
      <c r="H373" s="31"/>
      <c r="I373" s="31" t="s">
        <v>47</v>
      </c>
      <c r="J373" s="32" t="n">
        <v>1.0</v>
      </c>
      <c r="K373" s="33" t="n">
        <f>109900</f>
        <v>109900.0</v>
      </c>
      <c r="L373" s="34" t="s">
        <v>48</v>
      </c>
      <c r="M373" s="33" t="n">
        <f>111700</f>
        <v>111700.0</v>
      </c>
      <c r="N373" s="34" t="s">
        <v>87</v>
      </c>
      <c r="O373" s="33" t="n">
        <f>107100</f>
        <v>107100.0</v>
      </c>
      <c r="P373" s="34" t="s">
        <v>50</v>
      </c>
      <c r="Q373" s="33" t="n">
        <f>107400</f>
        <v>107400.0</v>
      </c>
      <c r="R373" s="34" t="s">
        <v>50</v>
      </c>
      <c r="S373" s="35" t="n">
        <f>110194.74</f>
        <v>110194.74</v>
      </c>
      <c r="T373" s="32" t="n">
        <f>32770</f>
        <v>32770.0</v>
      </c>
      <c r="U373" s="32" t="n">
        <f>3921</f>
        <v>3921.0</v>
      </c>
      <c r="V373" s="32" t="n">
        <f>3608382400</f>
        <v>3.6083824E9</v>
      </c>
      <c r="W373" s="32" t="n">
        <f>431363300</f>
        <v>4.313633E8</v>
      </c>
      <c r="X373" s="36" t="n">
        <f>19</f>
        <v>19.0</v>
      </c>
    </row>
    <row r="374">
      <c r="A374" s="27" t="s">
        <v>42</v>
      </c>
      <c r="B374" s="27" t="s">
        <v>1172</v>
      </c>
      <c r="C374" s="27" t="s">
        <v>1173</v>
      </c>
      <c r="D374" s="27" t="s">
        <v>1174</v>
      </c>
      <c r="E374" s="28" t="s">
        <v>46</v>
      </c>
      <c r="F374" s="29" t="s">
        <v>46</v>
      </c>
      <c r="G374" s="30" t="s">
        <v>46</v>
      </c>
      <c r="H374" s="31"/>
      <c r="I374" s="31" t="s">
        <v>47</v>
      </c>
      <c r="J374" s="32" t="n">
        <v>1.0</v>
      </c>
      <c r="K374" s="33" t="n">
        <f>166400</f>
        <v>166400.0</v>
      </c>
      <c r="L374" s="34" t="s">
        <v>48</v>
      </c>
      <c r="M374" s="33" t="n">
        <f>166400</f>
        <v>166400.0</v>
      </c>
      <c r="N374" s="34" t="s">
        <v>48</v>
      </c>
      <c r="O374" s="33" t="n">
        <f>158300</f>
        <v>158300.0</v>
      </c>
      <c r="P374" s="34" t="s">
        <v>61</v>
      </c>
      <c r="Q374" s="33" t="n">
        <f>161400</f>
        <v>161400.0</v>
      </c>
      <c r="R374" s="34" t="s">
        <v>50</v>
      </c>
      <c r="S374" s="35" t="n">
        <f>162226.32</f>
        <v>162226.32</v>
      </c>
      <c r="T374" s="32" t="n">
        <f>214521</f>
        <v>214521.0</v>
      </c>
      <c r="U374" s="32" t="n">
        <f>53331</f>
        <v>53331.0</v>
      </c>
      <c r="V374" s="32" t="n">
        <f>34822325480</f>
        <v>3.482232548E10</v>
      </c>
      <c r="W374" s="32" t="n">
        <f>8660384580</f>
        <v>8.66038458E9</v>
      </c>
      <c r="X374" s="36" t="n">
        <f>19</f>
        <v>19.0</v>
      </c>
    </row>
    <row r="375">
      <c r="A375" s="27" t="s">
        <v>42</v>
      </c>
      <c r="B375" s="27" t="s">
        <v>1175</v>
      </c>
      <c r="C375" s="27" t="s">
        <v>1176</v>
      </c>
      <c r="D375" s="27" t="s">
        <v>1177</v>
      </c>
      <c r="E375" s="28" t="s">
        <v>46</v>
      </c>
      <c r="F375" s="29" t="s">
        <v>46</v>
      </c>
      <c r="G375" s="30" t="s">
        <v>46</v>
      </c>
      <c r="H375" s="31"/>
      <c r="I375" s="31" t="s">
        <v>586</v>
      </c>
      <c r="J375" s="32" t="n">
        <v>1.0</v>
      </c>
      <c r="K375" s="33" t="n">
        <f>111400</f>
        <v>111400.0</v>
      </c>
      <c r="L375" s="34" t="s">
        <v>48</v>
      </c>
      <c r="M375" s="33" t="n">
        <f>123100</f>
        <v>123100.0</v>
      </c>
      <c r="N375" s="34" t="s">
        <v>87</v>
      </c>
      <c r="O375" s="33" t="n">
        <f>110800</f>
        <v>110800.0</v>
      </c>
      <c r="P375" s="34" t="s">
        <v>48</v>
      </c>
      <c r="Q375" s="33" t="n">
        <f>115200</f>
        <v>115200.0</v>
      </c>
      <c r="R375" s="34" t="s">
        <v>50</v>
      </c>
      <c r="S375" s="35" t="n">
        <f>116405.26</f>
        <v>116405.26</v>
      </c>
      <c r="T375" s="32" t="n">
        <f>42788</f>
        <v>42788.0</v>
      </c>
      <c r="U375" s="32" t="n">
        <f>5291</f>
        <v>5291.0</v>
      </c>
      <c r="V375" s="32" t="n">
        <f>5012045992</f>
        <v>5.012045992E9</v>
      </c>
      <c r="W375" s="32" t="n">
        <f>612850992</f>
        <v>6.12850992E8</v>
      </c>
      <c r="X375" s="36" t="n">
        <f>19</f>
        <v>19.0</v>
      </c>
    </row>
    <row r="376">
      <c r="A376" s="27" t="s">
        <v>42</v>
      </c>
      <c r="B376" s="27" t="s">
        <v>1178</v>
      </c>
      <c r="C376" s="27" t="s">
        <v>1179</v>
      </c>
      <c r="D376" s="27" t="s">
        <v>1180</v>
      </c>
      <c r="E376" s="28" t="s">
        <v>46</v>
      </c>
      <c r="F376" s="29" t="s">
        <v>46</v>
      </c>
      <c r="G376" s="30" t="s">
        <v>46</v>
      </c>
      <c r="H376" s="31"/>
      <c r="I376" s="31" t="s">
        <v>47</v>
      </c>
      <c r="J376" s="32" t="n">
        <v>1.0</v>
      </c>
      <c r="K376" s="33" t="n">
        <f>152300</f>
        <v>152300.0</v>
      </c>
      <c r="L376" s="34" t="s">
        <v>48</v>
      </c>
      <c r="M376" s="33" t="n">
        <f>154200</f>
        <v>154200.0</v>
      </c>
      <c r="N376" s="34" t="s">
        <v>274</v>
      </c>
      <c r="O376" s="33" t="n">
        <f>148300</f>
        <v>148300.0</v>
      </c>
      <c r="P376" s="34" t="s">
        <v>61</v>
      </c>
      <c r="Q376" s="33" t="n">
        <f>149400</f>
        <v>149400.0</v>
      </c>
      <c r="R376" s="34" t="s">
        <v>50</v>
      </c>
      <c r="S376" s="35" t="n">
        <f>151068.42</f>
        <v>151068.42</v>
      </c>
      <c r="T376" s="32" t="n">
        <f>88839</f>
        <v>88839.0</v>
      </c>
      <c r="U376" s="32" t="n">
        <f>18786</f>
        <v>18786.0</v>
      </c>
      <c r="V376" s="32" t="n">
        <f>13417833192</f>
        <v>1.3417833192E10</v>
      </c>
      <c r="W376" s="32" t="n">
        <f>2836159192</f>
        <v>2.836159192E9</v>
      </c>
      <c r="X376" s="36" t="n">
        <f>19</f>
        <v>19.0</v>
      </c>
    </row>
    <row r="377">
      <c r="A377" s="27" t="s">
        <v>42</v>
      </c>
      <c r="B377" s="27" t="s">
        <v>1181</v>
      </c>
      <c r="C377" s="27" t="s">
        <v>1182</v>
      </c>
      <c r="D377" s="27" t="s">
        <v>1183</v>
      </c>
      <c r="E377" s="28" t="s">
        <v>46</v>
      </c>
      <c r="F377" s="29" t="s">
        <v>46</v>
      </c>
      <c r="G377" s="30" t="s">
        <v>46</v>
      </c>
      <c r="H377" s="31"/>
      <c r="I377" s="31" t="s">
        <v>47</v>
      </c>
      <c r="J377" s="32" t="n">
        <v>1.0</v>
      </c>
      <c r="K377" s="33" t="n">
        <f>58100</f>
        <v>58100.0</v>
      </c>
      <c r="L377" s="34" t="s">
        <v>48</v>
      </c>
      <c r="M377" s="33" t="n">
        <f>60700</f>
        <v>60700.0</v>
      </c>
      <c r="N377" s="34" t="s">
        <v>213</v>
      </c>
      <c r="O377" s="33" t="n">
        <f>57000</f>
        <v>57000.0</v>
      </c>
      <c r="P377" s="34" t="s">
        <v>214</v>
      </c>
      <c r="Q377" s="33" t="n">
        <f>57800</f>
        <v>57800.0</v>
      </c>
      <c r="R377" s="34" t="s">
        <v>50</v>
      </c>
      <c r="S377" s="35" t="n">
        <f>59036.84</f>
        <v>59036.84</v>
      </c>
      <c r="T377" s="32" t="n">
        <f>199315</f>
        <v>199315.0</v>
      </c>
      <c r="U377" s="32" t="n">
        <f>30917</f>
        <v>30917.0</v>
      </c>
      <c r="V377" s="32" t="n">
        <f>11757917693</f>
        <v>1.1757917693E10</v>
      </c>
      <c r="W377" s="32" t="n">
        <f>1825327093</f>
        <v>1.825327093E9</v>
      </c>
      <c r="X377" s="36" t="n">
        <f>19</f>
        <v>19.0</v>
      </c>
    </row>
    <row r="378">
      <c r="A378" s="27" t="s">
        <v>42</v>
      </c>
      <c r="B378" s="27" t="s">
        <v>1184</v>
      </c>
      <c r="C378" s="27" t="s">
        <v>1185</v>
      </c>
      <c r="D378" s="27" t="s">
        <v>1186</v>
      </c>
      <c r="E378" s="28" t="s">
        <v>46</v>
      </c>
      <c r="F378" s="29" t="s">
        <v>46</v>
      </c>
      <c r="G378" s="30" t="s">
        <v>46</v>
      </c>
      <c r="H378" s="31"/>
      <c r="I378" s="31" t="s">
        <v>586</v>
      </c>
      <c r="J378" s="32" t="n">
        <v>1.0</v>
      </c>
      <c r="K378" s="33" t="n">
        <f>121900</f>
        <v>121900.0</v>
      </c>
      <c r="L378" s="34" t="s">
        <v>48</v>
      </c>
      <c r="M378" s="33" t="n">
        <f>126300</f>
        <v>126300.0</v>
      </c>
      <c r="N378" s="34" t="s">
        <v>50</v>
      </c>
      <c r="O378" s="33" t="n">
        <f>121400</f>
        <v>121400.0</v>
      </c>
      <c r="P378" s="34" t="s">
        <v>48</v>
      </c>
      <c r="Q378" s="33" t="n">
        <f>126000</f>
        <v>126000.0</v>
      </c>
      <c r="R378" s="34" t="s">
        <v>50</v>
      </c>
      <c r="S378" s="35" t="n">
        <f>123731.58</f>
        <v>123731.58</v>
      </c>
      <c r="T378" s="32" t="n">
        <f>17110</f>
        <v>17110.0</v>
      </c>
      <c r="U378" s="32" t="n">
        <f>2110</f>
        <v>2110.0</v>
      </c>
      <c r="V378" s="32" t="n">
        <f>2116842780</f>
        <v>2.11684278E9</v>
      </c>
      <c r="W378" s="32" t="n">
        <f>260711480</f>
        <v>2.6071148E8</v>
      </c>
      <c r="X378" s="36" t="n">
        <f>19</f>
        <v>19.0</v>
      </c>
    </row>
    <row r="379">
      <c r="A379" s="27" t="s">
        <v>42</v>
      </c>
      <c r="B379" s="27" t="s">
        <v>1187</v>
      </c>
      <c r="C379" s="27" t="s">
        <v>1188</v>
      </c>
      <c r="D379" s="27" t="s">
        <v>1189</v>
      </c>
      <c r="E379" s="28" t="s">
        <v>46</v>
      </c>
      <c r="F379" s="29" t="s">
        <v>46</v>
      </c>
      <c r="G379" s="30" t="s">
        <v>46</v>
      </c>
      <c r="H379" s="31"/>
      <c r="I379" s="31" t="s">
        <v>47</v>
      </c>
      <c r="J379" s="32" t="n">
        <v>1.0</v>
      </c>
      <c r="K379" s="33" t="n">
        <f>457500</f>
        <v>457500.0</v>
      </c>
      <c r="L379" s="34" t="s">
        <v>48</v>
      </c>
      <c r="M379" s="33" t="n">
        <f>469500</f>
        <v>469500.0</v>
      </c>
      <c r="N379" s="34" t="s">
        <v>49</v>
      </c>
      <c r="O379" s="33" t="n">
        <f>441500</f>
        <v>441500.0</v>
      </c>
      <c r="P379" s="34" t="s">
        <v>50</v>
      </c>
      <c r="Q379" s="33" t="n">
        <f>442500</f>
        <v>442500.0</v>
      </c>
      <c r="R379" s="34" t="s">
        <v>50</v>
      </c>
      <c r="S379" s="35" t="n">
        <f>460868.42</f>
        <v>460868.42</v>
      </c>
      <c r="T379" s="32" t="n">
        <f>39991</f>
        <v>39991.0</v>
      </c>
      <c r="U379" s="32" t="n">
        <f>11118</f>
        <v>11118.0</v>
      </c>
      <c r="V379" s="32" t="n">
        <f>18421988354</f>
        <v>1.8421988354E10</v>
      </c>
      <c r="W379" s="32" t="n">
        <f>5125058854</f>
        <v>5.125058854E9</v>
      </c>
      <c r="X379" s="36" t="n">
        <f>19</f>
        <v>19.0</v>
      </c>
    </row>
    <row r="380">
      <c r="A380" s="27" t="s">
        <v>42</v>
      </c>
      <c r="B380" s="27" t="s">
        <v>1190</v>
      </c>
      <c r="C380" s="27" t="s">
        <v>1191</v>
      </c>
      <c r="D380" s="27" t="s">
        <v>1192</v>
      </c>
      <c r="E380" s="28" t="s">
        <v>46</v>
      </c>
      <c r="F380" s="29" t="s">
        <v>46</v>
      </c>
      <c r="G380" s="30" t="s">
        <v>46</v>
      </c>
      <c r="H380" s="31"/>
      <c r="I380" s="31" t="s">
        <v>586</v>
      </c>
      <c r="J380" s="32" t="n">
        <v>1.0</v>
      </c>
      <c r="K380" s="33" t="n">
        <f>70500</f>
        <v>70500.0</v>
      </c>
      <c r="L380" s="34" t="s">
        <v>48</v>
      </c>
      <c r="M380" s="33" t="n">
        <f>76900</f>
        <v>76900.0</v>
      </c>
      <c r="N380" s="34" t="s">
        <v>214</v>
      </c>
      <c r="O380" s="33" t="n">
        <f>67200</f>
        <v>67200.0</v>
      </c>
      <c r="P380" s="34" t="s">
        <v>218</v>
      </c>
      <c r="Q380" s="33" t="n">
        <f>76500</f>
        <v>76500.0</v>
      </c>
      <c r="R380" s="34" t="s">
        <v>50</v>
      </c>
      <c r="S380" s="35" t="n">
        <f>71468.42</f>
        <v>71468.42</v>
      </c>
      <c r="T380" s="32" t="n">
        <f>30750</f>
        <v>30750.0</v>
      </c>
      <c r="U380" s="32" t="n">
        <f>3157</f>
        <v>3157.0</v>
      </c>
      <c r="V380" s="32" t="n">
        <f>2218621939</f>
        <v>2.218621939E9</v>
      </c>
      <c r="W380" s="32" t="n">
        <f>224363339</f>
        <v>2.24363339E8</v>
      </c>
      <c r="X380" s="36" t="n">
        <f>19</f>
        <v>19.0</v>
      </c>
    </row>
    <row r="381">
      <c r="A381" s="27" t="s">
        <v>42</v>
      </c>
      <c r="B381" s="27" t="s">
        <v>1193</v>
      </c>
      <c r="C381" s="27" t="s">
        <v>1194</v>
      </c>
      <c r="D381" s="27" t="s">
        <v>1195</v>
      </c>
      <c r="E381" s="28" t="s">
        <v>46</v>
      </c>
      <c r="F381" s="29" t="s">
        <v>46</v>
      </c>
      <c r="G381" s="30" t="s">
        <v>46</v>
      </c>
      <c r="H381" s="31"/>
      <c r="I381" s="31" t="s">
        <v>47</v>
      </c>
      <c r="J381" s="32" t="n">
        <v>1.0</v>
      </c>
      <c r="K381" s="33" t="n">
        <f>43800</f>
        <v>43800.0</v>
      </c>
      <c r="L381" s="34" t="s">
        <v>48</v>
      </c>
      <c r="M381" s="33" t="n">
        <f>45750</f>
        <v>45750.0</v>
      </c>
      <c r="N381" s="34" t="s">
        <v>213</v>
      </c>
      <c r="O381" s="33" t="n">
        <f>43350</f>
        <v>43350.0</v>
      </c>
      <c r="P381" s="34" t="s">
        <v>48</v>
      </c>
      <c r="Q381" s="33" t="n">
        <f>45100</f>
        <v>45100.0</v>
      </c>
      <c r="R381" s="34" t="s">
        <v>50</v>
      </c>
      <c r="S381" s="35" t="n">
        <f>44852.63</f>
        <v>44852.63</v>
      </c>
      <c r="T381" s="32" t="n">
        <f>123707</f>
        <v>123707.0</v>
      </c>
      <c r="U381" s="32" t="n">
        <f>17033</f>
        <v>17033.0</v>
      </c>
      <c r="V381" s="32" t="n">
        <f>5545490854</f>
        <v>5.545490854E9</v>
      </c>
      <c r="W381" s="32" t="n">
        <f>762319754</f>
        <v>7.62319754E8</v>
      </c>
      <c r="X381" s="36" t="n">
        <f>19</f>
        <v>19.0</v>
      </c>
    </row>
    <row r="382">
      <c r="A382" s="27" t="s">
        <v>42</v>
      </c>
      <c r="B382" s="27" t="s">
        <v>1196</v>
      </c>
      <c r="C382" s="27" t="s">
        <v>1197</v>
      </c>
      <c r="D382" s="27" t="s">
        <v>1198</v>
      </c>
      <c r="E382" s="28" t="s">
        <v>46</v>
      </c>
      <c r="F382" s="29" t="s">
        <v>46</v>
      </c>
      <c r="G382" s="30" t="s">
        <v>46</v>
      </c>
      <c r="H382" s="31"/>
      <c r="I382" s="31" t="s">
        <v>47</v>
      </c>
      <c r="J382" s="32" t="n">
        <v>1.0</v>
      </c>
      <c r="K382" s="33" t="n">
        <f>376000</f>
        <v>376000.0</v>
      </c>
      <c r="L382" s="34" t="s">
        <v>48</v>
      </c>
      <c r="M382" s="33" t="n">
        <f>387000</f>
        <v>387000.0</v>
      </c>
      <c r="N382" s="34" t="s">
        <v>49</v>
      </c>
      <c r="O382" s="33" t="n">
        <f>369500</f>
        <v>369500.0</v>
      </c>
      <c r="P382" s="34" t="s">
        <v>50</v>
      </c>
      <c r="Q382" s="33" t="n">
        <f>369500</f>
        <v>369500.0</v>
      </c>
      <c r="R382" s="34" t="s">
        <v>50</v>
      </c>
      <c r="S382" s="35" t="n">
        <f>377973.68</f>
        <v>377973.68</v>
      </c>
      <c r="T382" s="32" t="n">
        <f>37086</f>
        <v>37086.0</v>
      </c>
      <c r="U382" s="32" t="n">
        <f>8520</f>
        <v>8520.0</v>
      </c>
      <c r="V382" s="32" t="n">
        <f>13999247540</f>
        <v>1.399924754E10</v>
      </c>
      <c r="W382" s="32" t="n">
        <f>3218671040</f>
        <v>3.21867104E9</v>
      </c>
      <c r="X382" s="36" t="n">
        <f>19</f>
        <v>19.0</v>
      </c>
    </row>
    <row r="383">
      <c r="A383" s="27" t="s">
        <v>42</v>
      </c>
      <c r="B383" s="27" t="s">
        <v>1199</v>
      </c>
      <c r="C383" s="27" t="s">
        <v>1200</v>
      </c>
      <c r="D383" s="27" t="s">
        <v>1201</v>
      </c>
      <c r="E383" s="28" t="s">
        <v>46</v>
      </c>
      <c r="F383" s="29" t="s">
        <v>46</v>
      </c>
      <c r="G383" s="30" t="s">
        <v>46</v>
      </c>
      <c r="H383" s="31"/>
      <c r="I383" s="31" t="s">
        <v>47</v>
      </c>
      <c r="J383" s="32" t="n">
        <v>1.0</v>
      </c>
      <c r="K383" s="33" t="n">
        <f>155300</f>
        <v>155300.0</v>
      </c>
      <c r="L383" s="34" t="s">
        <v>48</v>
      </c>
      <c r="M383" s="33" t="n">
        <f>158500</f>
        <v>158500.0</v>
      </c>
      <c r="N383" s="34" t="s">
        <v>218</v>
      </c>
      <c r="O383" s="33" t="n">
        <f>152700</f>
        <v>152700.0</v>
      </c>
      <c r="P383" s="34" t="s">
        <v>159</v>
      </c>
      <c r="Q383" s="33" t="n">
        <f>154300</f>
        <v>154300.0</v>
      </c>
      <c r="R383" s="34" t="s">
        <v>50</v>
      </c>
      <c r="S383" s="35" t="n">
        <f>155315.79</f>
        <v>155315.79</v>
      </c>
      <c r="T383" s="32" t="n">
        <f>44932</f>
        <v>44932.0</v>
      </c>
      <c r="U383" s="32" t="n">
        <f>10608</f>
        <v>10608.0</v>
      </c>
      <c r="V383" s="32" t="n">
        <f>6978141340</f>
        <v>6.97814134E9</v>
      </c>
      <c r="W383" s="32" t="n">
        <f>1649457840</f>
        <v>1.64945784E9</v>
      </c>
      <c r="X383" s="36" t="n">
        <f>19</f>
        <v>19.0</v>
      </c>
    </row>
    <row r="384">
      <c r="A384" s="27" t="s">
        <v>42</v>
      </c>
      <c r="B384" s="27" t="s">
        <v>1202</v>
      </c>
      <c r="C384" s="27" t="s">
        <v>1203</v>
      </c>
      <c r="D384" s="27" t="s">
        <v>1204</v>
      </c>
      <c r="E384" s="28" t="s">
        <v>46</v>
      </c>
      <c r="F384" s="29" t="s">
        <v>46</v>
      </c>
      <c r="G384" s="30" t="s">
        <v>46</v>
      </c>
      <c r="H384" s="31"/>
      <c r="I384" s="31" t="s">
        <v>586</v>
      </c>
      <c r="J384" s="32" t="n">
        <v>1.0</v>
      </c>
      <c r="K384" s="33" t="n">
        <f>118700</f>
        <v>118700.0</v>
      </c>
      <c r="L384" s="34" t="s">
        <v>48</v>
      </c>
      <c r="M384" s="33" t="n">
        <f>121400</f>
        <v>121400.0</v>
      </c>
      <c r="N384" s="34" t="s">
        <v>213</v>
      </c>
      <c r="O384" s="33" t="n">
        <f>117700</f>
        <v>117700.0</v>
      </c>
      <c r="P384" s="34" t="s">
        <v>287</v>
      </c>
      <c r="Q384" s="33" t="n">
        <f>120600</f>
        <v>120600.0</v>
      </c>
      <c r="R384" s="34" t="s">
        <v>50</v>
      </c>
      <c r="S384" s="35" t="n">
        <f>119463.16</f>
        <v>119463.16</v>
      </c>
      <c r="T384" s="32" t="n">
        <f>19452</f>
        <v>19452.0</v>
      </c>
      <c r="U384" s="32" t="n">
        <f>2730</f>
        <v>2730.0</v>
      </c>
      <c r="V384" s="32" t="n">
        <f>2327273070</f>
        <v>2.32727307E9</v>
      </c>
      <c r="W384" s="32" t="n">
        <f>326774270</f>
        <v>3.2677427E8</v>
      </c>
      <c r="X384" s="36" t="n">
        <f>19</f>
        <v>19.0</v>
      </c>
    </row>
    <row r="385">
      <c r="A385" s="27" t="s">
        <v>42</v>
      </c>
      <c r="B385" s="27" t="s">
        <v>1205</v>
      </c>
      <c r="C385" s="27" t="s">
        <v>1206</v>
      </c>
      <c r="D385" s="27" t="s">
        <v>1207</v>
      </c>
      <c r="E385" s="28" t="s">
        <v>46</v>
      </c>
      <c r="F385" s="29" t="s">
        <v>46</v>
      </c>
      <c r="G385" s="30" t="s">
        <v>46</v>
      </c>
      <c r="H385" s="31"/>
      <c r="I385" s="31" t="s">
        <v>47</v>
      </c>
      <c r="J385" s="32" t="n">
        <v>1.0</v>
      </c>
      <c r="K385" s="33" t="n">
        <f>100600</f>
        <v>100600.0</v>
      </c>
      <c r="L385" s="34" t="s">
        <v>48</v>
      </c>
      <c r="M385" s="33" t="n">
        <f>105800</f>
        <v>105800.0</v>
      </c>
      <c r="N385" s="34" t="s">
        <v>49</v>
      </c>
      <c r="O385" s="33" t="n">
        <f>100000</f>
        <v>100000.0</v>
      </c>
      <c r="P385" s="34" t="s">
        <v>48</v>
      </c>
      <c r="Q385" s="33" t="n">
        <f>104900</f>
        <v>104900.0</v>
      </c>
      <c r="R385" s="34" t="s">
        <v>50</v>
      </c>
      <c r="S385" s="35" t="n">
        <f>103526.32</f>
        <v>103526.32</v>
      </c>
      <c r="T385" s="32" t="n">
        <f>55159</f>
        <v>55159.0</v>
      </c>
      <c r="U385" s="32" t="n">
        <f>5447</f>
        <v>5447.0</v>
      </c>
      <c r="V385" s="32" t="n">
        <f>5698997358</f>
        <v>5.698997358E9</v>
      </c>
      <c r="W385" s="32" t="n">
        <f>562613858</f>
        <v>5.62613858E8</v>
      </c>
      <c r="X385" s="36" t="n">
        <f>19</f>
        <v>19.0</v>
      </c>
    </row>
    <row r="386">
      <c r="A386" s="27" t="s">
        <v>42</v>
      </c>
      <c r="B386" s="27" t="s">
        <v>1208</v>
      </c>
      <c r="C386" s="27" t="s">
        <v>1209</v>
      </c>
      <c r="D386" s="27" t="s">
        <v>1210</v>
      </c>
      <c r="E386" s="28" t="s">
        <v>46</v>
      </c>
      <c r="F386" s="29" t="s">
        <v>46</v>
      </c>
      <c r="G386" s="30" t="s">
        <v>46</v>
      </c>
      <c r="H386" s="31"/>
      <c r="I386" s="31" t="s">
        <v>47</v>
      </c>
      <c r="J386" s="32" t="n">
        <v>1.0</v>
      </c>
      <c r="K386" s="33" t="n">
        <f>126500</f>
        <v>126500.0</v>
      </c>
      <c r="L386" s="34" t="s">
        <v>48</v>
      </c>
      <c r="M386" s="33" t="n">
        <f>131300</f>
        <v>131300.0</v>
      </c>
      <c r="N386" s="34" t="s">
        <v>49</v>
      </c>
      <c r="O386" s="33" t="n">
        <f>125700</f>
        <v>125700.0</v>
      </c>
      <c r="P386" s="34" t="s">
        <v>208</v>
      </c>
      <c r="Q386" s="33" t="n">
        <f>128200</f>
        <v>128200.0</v>
      </c>
      <c r="R386" s="34" t="s">
        <v>50</v>
      </c>
      <c r="S386" s="35" t="n">
        <f>128294.74</f>
        <v>128294.74</v>
      </c>
      <c r="T386" s="32" t="n">
        <f>33131</f>
        <v>33131.0</v>
      </c>
      <c r="U386" s="32" t="n">
        <f>6234</f>
        <v>6234.0</v>
      </c>
      <c r="V386" s="32" t="n">
        <f>4247334317</f>
        <v>4.247334317E9</v>
      </c>
      <c r="W386" s="32" t="n">
        <f>798446317</f>
        <v>7.98446317E8</v>
      </c>
      <c r="X386" s="36" t="n">
        <f>19</f>
        <v>19.0</v>
      </c>
    </row>
    <row r="387">
      <c r="A387" s="27" t="s">
        <v>42</v>
      </c>
      <c r="B387" s="27" t="s">
        <v>1211</v>
      </c>
      <c r="C387" s="27" t="s">
        <v>1212</v>
      </c>
      <c r="D387" s="27" t="s">
        <v>1213</v>
      </c>
      <c r="E387" s="28" t="s">
        <v>46</v>
      </c>
      <c r="F387" s="29" t="s">
        <v>46</v>
      </c>
      <c r="G387" s="30" t="s">
        <v>46</v>
      </c>
      <c r="H387" s="31"/>
      <c r="I387" s="31" t="s">
        <v>47</v>
      </c>
      <c r="J387" s="32" t="n">
        <v>1.0</v>
      </c>
      <c r="K387" s="33" t="n">
        <f>613000</f>
        <v>613000.0</v>
      </c>
      <c r="L387" s="34" t="s">
        <v>48</v>
      </c>
      <c r="M387" s="33" t="n">
        <f>628000</f>
        <v>628000.0</v>
      </c>
      <c r="N387" s="34" t="s">
        <v>274</v>
      </c>
      <c r="O387" s="33" t="n">
        <f>588000</f>
        <v>588000.0</v>
      </c>
      <c r="P387" s="34" t="s">
        <v>159</v>
      </c>
      <c r="Q387" s="33" t="n">
        <f>597000</f>
        <v>597000.0</v>
      </c>
      <c r="R387" s="34" t="s">
        <v>50</v>
      </c>
      <c r="S387" s="35" t="n">
        <f>608000</f>
        <v>608000.0</v>
      </c>
      <c r="T387" s="32" t="n">
        <f>80975</f>
        <v>80975.0</v>
      </c>
      <c r="U387" s="32" t="n">
        <f>19432</f>
        <v>19432.0</v>
      </c>
      <c r="V387" s="32" t="n">
        <f>49236174016</f>
        <v>4.9236174016E10</v>
      </c>
      <c r="W387" s="32" t="n">
        <f>11822361016</f>
        <v>1.1822361016E10</v>
      </c>
      <c r="X387" s="36" t="n">
        <f>19</f>
        <v>19.0</v>
      </c>
    </row>
    <row r="388">
      <c r="A388" s="27" t="s">
        <v>42</v>
      </c>
      <c r="B388" s="27" t="s">
        <v>1214</v>
      </c>
      <c r="C388" s="27" t="s">
        <v>1215</v>
      </c>
      <c r="D388" s="27" t="s">
        <v>1216</v>
      </c>
      <c r="E388" s="28" t="s">
        <v>46</v>
      </c>
      <c r="F388" s="29" t="s">
        <v>46</v>
      </c>
      <c r="G388" s="30" t="s">
        <v>46</v>
      </c>
      <c r="H388" s="31"/>
      <c r="I388" s="31" t="s">
        <v>47</v>
      </c>
      <c r="J388" s="32" t="n">
        <v>1.0</v>
      </c>
      <c r="K388" s="33" t="n">
        <f>581000</f>
        <v>581000.0</v>
      </c>
      <c r="L388" s="34" t="s">
        <v>48</v>
      </c>
      <c r="M388" s="33" t="n">
        <f>593000</f>
        <v>593000.0</v>
      </c>
      <c r="N388" s="34" t="s">
        <v>274</v>
      </c>
      <c r="O388" s="33" t="n">
        <f>560000</f>
        <v>560000.0</v>
      </c>
      <c r="P388" s="34" t="s">
        <v>159</v>
      </c>
      <c r="Q388" s="33" t="n">
        <f>566000</f>
        <v>566000.0</v>
      </c>
      <c r="R388" s="34" t="s">
        <v>50</v>
      </c>
      <c r="S388" s="35" t="n">
        <f>575736.84</f>
        <v>575736.84</v>
      </c>
      <c r="T388" s="32" t="n">
        <f>81172</f>
        <v>81172.0</v>
      </c>
      <c r="U388" s="32" t="n">
        <f>17831</f>
        <v>17831.0</v>
      </c>
      <c r="V388" s="32" t="n">
        <f>46731050961</f>
        <v>4.6731050961E10</v>
      </c>
      <c r="W388" s="32" t="n">
        <f>10272206961</f>
        <v>1.0272206961E10</v>
      </c>
      <c r="X388" s="36" t="n">
        <f>19</f>
        <v>19.0</v>
      </c>
    </row>
    <row r="389">
      <c r="A389" s="27" t="s">
        <v>42</v>
      </c>
      <c r="B389" s="27" t="s">
        <v>1217</v>
      </c>
      <c r="C389" s="27" t="s">
        <v>1218</v>
      </c>
      <c r="D389" s="27" t="s">
        <v>1219</v>
      </c>
      <c r="E389" s="28" t="s">
        <v>46</v>
      </c>
      <c r="F389" s="29" t="s">
        <v>46</v>
      </c>
      <c r="G389" s="30" t="s">
        <v>46</v>
      </c>
      <c r="H389" s="31"/>
      <c r="I389" s="31" t="s">
        <v>47</v>
      </c>
      <c r="J389" s="32" t="n">
        <v>1.0</v>
      </c>
      <c r="K389" s="33" t="n">
        <f>101400</f>
        <v>101400.0</v>
      </c>
      <c r="L389" s="34" t="s">
        <v>48</v>
      </c>
      <c r="M389" s="33" t="n">
        <f>103800</f>
        <v>103800.0</v>
      </c>
      <c r="N389" s="34" t="s">
        <v>77</v>
      </c>
      <c r="O389" s="33" t="n">
        <f>99200</f>
        <v>99200.0</v>
      </c>
      <c r="P389" s="34" t="s">
        <v>159</v>
      </c>
      <c r="Q389" s="33" t="n">
        <f>100200</f>
        <v>100200.0</v>
      </c>
      <c r="R389" s="34" t="s">
        <v>50</v>
      </c>
      <c r="S389" s="35" t="n">
        <f>101273.68</f>
        <v>101273.68</v>
      </c>
      <c r="T389" s="32" t="n">
        <f>365305</f>
        <v>365305.0</v>
      </c>
      <c r="U389" s="32" t="n">
        <f>100923</f>
        <v>100923.0</v>
      </c>
      <c r="V389" s="32" t="n">
        <f>36978817353</f>
        <v>3.6978817353E10</v>
      </c>
      <c r="W389" s="32" t="n">
        <f>10228001353</f>
        <v>1.0228001353E10</v>
      </c>
      <c r="X389" s="36" t="n">
        <f>19</f>
        <v>19.0</v>
      </c>
    </row>
    <row r="390">
      <c r="A390" s="27" t="s">
        <v>42</v>
      </c>
      <c r="B390" s="27" t="s">
        <v>1220</v>
      </c>
      <c r="C390" s="27" t="s">
        <v>1221</v>
      </c>
      <c r="D390" s="27" t="s">
        <v>1222</v>
      </c>
      <c r="E390" s="28" t="s">
        <v>46</v>
      </c>
      <c r="F390" s="29" t="s">
        <v>46</v>
      </c>
      <c r="G390" s="30" t="s">
        <v>46</v>
      </c>
      <c r="H390" s="31"/>
      <c r="I390" s="31" t="s">
        <v>47</v>
      </c>
      <c r="J390" s="32" t="n">
        <v>1.0</v>
      </c>
      <c r="K390" s="33" t="n">
        <f>167400</f>
        <v>167400.0</v>
      </c>
      <c r="L390" s="34" t="s">
        <v>48</v>
      </c>
      <c r="M390" s="33" t="n">
        <f>172600</f>
        <v>172600.0</v>
      </c>
      <c r="N390" s="34" t="s">
        <v>214</v>
      </c>
      <c r="O390" s="33" t="n">
        <f>165700</f>
        <v>165700.0</v>
      </c>
      <c r="P390" s="34" t="s">
        <v>48</v>
      </c>
      <c r="Q390" s="33" t="n">
        <f>170600</f>
        <v>170600.0</v>
      </c>
      <c r="R390" s="34" t="s">
        <v>50</v>
      </c>
      <c r="S390" s="35" t="n">
        <f>169478.95</f>
        <v>169478.95</v>
      </c>
      <c r="T390" s="32" t="n">
        <f>162984</f>
        <v>162984.0</v>
      </c>
      <c r="U390" s="32" t="n">
        <f>41952</f>
        <v>41952.0</v>
      </c>
      <c r="V390" s="32" t="n">
        <f>27612621145</f>
        <v>2.7612621145E10</v>
      </c>
      <c r="W390" s="32" t="n">
        <f>7085540345</f>
        <v>7.085540345E9</v>
      </c>
      <c r="X390" s="36" t="n">
        <f>19</f>
        <v>19.0</v>
      </c>
    </row>
    <row r="391">
      <c r="A391" s="27" t="s">
        <v>42</v>
      </c>
      <c r="B391" s="27" t="s">
        <v>1223</v>
      </c>
      <c r="C391" s="27" t="s">
        <v>1224</v>
      </c>
      <c r="D391" s="27" t="s">
        <v>1225</v>
      </c>
      <c r="E391" s="28" t="s">
        <v>46</v>
      </c>
      <c r="F391" s="29" t="s">
        <v>46</v>
      </c>
      <c r="G391" s="30" t="s">
        <v>46</v>
      </c>
      <c r="H391" s="31"/>
      <c r="I391" s="31" t="s">
        <v>47</v>
      </c>
      <c r="J391" s="32" t="n">
        <v>1.0</v>
      </c>
      <c r="K391" s="33" t="n">
        <f>351000</f>
        <v>351000.0</v>
      </c>
      <c r="L391" s="34" t="s">
        <v>48</v>
      </c>
      <c r="M391" s="33" t="n">
        <f>364500</f>
        <v>364500.0</v>
      </c>
      <c r="N391" s="34" t="s">
        <v>49</v>
      </c>
      <c r="O391" s="33" t="n">
        <f>348000</f>
        <v>348000.0</v>
      </c>
      <c r="P391" s="34" t="s">
        <v>48</v>
      </c>
      <c r="Q391" s="33" t="n">
        <f>353500</f>
        <v>353500.0</v>
      </c>
      <c r="R391" s="34" t="s">
        <v>50</v>
      </c>
      <c r="S391" s="35" t="n">
        <f>355868.42</f>
        <v>355868.42</v>
      </c>
      <c r="T391" s="32" t="n">
        <f>43738</f>
        <v>43738.0</v>
      </c>
      <c r="U391" s="32" t="n">
        <f>10688</f>
        <v>10688.0</v>
      </c>
      <c r="V391" s="32" t="n">
        <f>15576525750</f>
        <v>1.557652575E10</v>
      </c>
      <c r="W391" s="32" t="n">
        <f>3807768750</f>
        <v>3.80776875E9</v>
      </c>
      <c r="X391" s="36" t="n">
        <f>19</f>
        <v>19.0</v>
      </c>
    </row>
    <row r="392">
      <c r="A392" s="27" t="s">
        <v>42</v>
      </c>
      <c r="B392" s="27" t="s">
        <v>1226</v>
      </c>
      <c r="C392" s="27" t="s">
        <v>1227</v>
      </c>
      <c r="D392" s="27" t="s">
        <v>1228</v>
      </c>
      <c r="E392" s="28" t="s">
        <v>46</v>
      </c>
      <c r="F392" s="29" t="s">
        <v>46</v>
      </c>
      <c r="G392" s="30" t="s">
        <v>46</v>
      </c>
      <c r="H392" s="31"/>
      <c r="I392" s="31" t="s">
        <v>47</v>
      </c>
      <c r="J392" s="32" t="n">
        <v>1.0</v>
      </c>
      <c r="K392" s="33" t="n">
        <f>126000</f>
        <v>126000.0</v>
      </c>
      <c r="L392" s="34" t="s">
        <v>48</v>
      </c>
      <c r="M392" s="33" t="n">
        <f>127700</f>
        <v>127700.0</v>
      </c>
      <c r="N392" s="34" t="s">
        <v>49</v>
      </c>
      <c r="O392" s="33" t="n">
        <f>123900</f>
        <v>123900.0</v>
      </c>
      <c r="P392" s="34" t="s">
        <v>48</v>
      </c>
      <c r="Q392" s="33" t="n">
        <f>125200</f>
        <v>125200.0</v>
      </c>
      <c r="R392" s="34" t="s">
        <v>50</v>
      </c>
      <c r="S392" s="35" t="n">
        <f>125852.63</f>
        <v>125852.63</v>
      </c>
      <c r="T392" s="32" t="n">
        <f>68809</f>
        <v>68809.0</v>
      </c>
      <c r="U392" s="32" t="n">
        <f>13334</f>
        <v>13334.0</v>
      </c>
      <c r="V392" s="32" t="n">
        <f>8661947600</f>
        <v>8.6619476E9</v>
      </c>
      <c r="W392" s="32" t="n">
        <f>1677367800</f>
        <v>1.6773678E9</v>
      </c>
      <c r="X392" s="36" t="n">
        <f>19</f>
        <v>19.0</v>
      </c>
    </row>
    <row r="393">
      <c r="A393" s="27" t="s">
        <v>42</v>
      </c>
      <c r="B393" s="27" t="s">
        <v>1229</v>
      </c>
      <c r="C393" s="27" t="s">
        <v>1230</v>
      </c>
      <c r="D393" s="27" t="s">
        <v>1231</v>
      </c>
      <c r="E393" s="28" t="s">
        <v>46</v>
      </c>
      <c r="F393" s="29" t="s">
        <v>46</v>
      </c>
      <c r="G393" s="30" t="s">
        <v>46</v>
      </c>
      <c r="H393" s="31"/>
      <c r="I393" s="31" t="s">
        <v>47</v>
      </c>
      <c r="J393" s="32" t="n">
        <v>1.0</v>
      </c>
      <c r="K393" s="33" t="n">
        <f>170500</f>
        <v>170500.0</v>
      </c>
      <c r="L393" s="34" t="s">
        <v>48</v>
      </c>
      <c r="M393" s="33" t="n">
        <f>177800</f>
        <v>177800.0</v>
      </c>
      <c r="N393" s="34" t="s">
        <v>87</v>
      </c>
      <c r="O393" s="33" t="n">
        <f>168500</f>
        <v>168500.0</v>
      </c>
      <c r="P393" s="34" t="s">
        <v>48</v>
      </c>
      <c r="Q393" s="33" t="n">
        <f>172000</f>
        <v>172000.0</v>
      </c>
      <c r="R393" s="34" t="s">
        <v>50</v>
      </c>
      <c r="S393" s="35" t="n">
        <f>173784.21</f>
        <v>173784.21</v>
      </c>
      <c r="T393" s="32" t="n">
        <f>59740</f>
        <v>59740.0</v>
      </c>
      <c r="U393" s="32" t="n">
        <f>10354</f>
        <v>10354.0</v>
      </c>
      <c r="V393" s="32" t="n">
        <f>10397166761</f>
        <v>1.0397166761E10</v>
      </c>
      <c r="W393" s="32" t="n">
        <f>1797663661</f>
        <v>1.797663661E9</v>
      </c>
      <c r="X393" s="36" t="n">
        <f>19</f>
        <v>19.0</v>
      </c>
    </row>
    <row r="394">
      <c r="A394" s="27" t="s">
        <v>42</v>
      </c>
      <c r="B394" s="27" t="s">
        <v>1232</v>
      </c>
      <c r="C394" s="27" t="s">
        <v>1233</v>
      </c>
      <c r="D394" s="27" t="s">
        <v>1234</v>
      </c>
      <c r="E394" s="28" t="s">
        <v>46</v>
      </c>
      <c r="F394" s="29" t="s">
        <v>46</v>
      </c>
      <c r="G394" s="30" t="s">
        <v>46</v>
      </c>
      <c r="H394" s="31"/>
      <c r="I394" s="31" t="s">
        <v>47</v>
      </c>
      <c r="J394" s="32" t="n">
        <v>1.0</v>
      </c>
      <c r="K394" s="33" t="n">
        <f>109700</f>
        <v>109700.0</v>
      </c>
      <c r="L394" s="34" t="s">
        <v>48</v>
      </c>
      <c r="M394" s="33" t="n">
        <f>114000</f>
        <v>114000.0</v>
      </c>
      <c r="N394" s="34" t="s">
        <v>158</v>
      </c>
      <c r="O394" s="33" t="n">
        <f>108900</f>
        <v>108900.0</v>
      </c>
      <c r="P394" s="34" t="s">
        <v>48</v>
      </c>
      <c r="Q394" s="33" t="n">
        <f>109800</f>
        <v>109800.0</v>
      </c>
      <c r="R394" s="34" t="s">
        <v>50</v>
      </c>
      <c r="S394" s="35" t="n">
        <f>110610.53</f>
        <v>110610.53</v>
      </c>
      <c r="T394" s="32" t="n">
        <f>51375</f>
        <v>51375.0</v>
      </c>
      <c r="U394" s="32" t="n">
        <f>13008</f>
        <v>13008.0</v>
      </c>
      <c r="V394" s="32" t="n">
        <f>5685093637</f>
        <v>5.685093637E9</v>
      </c>
      <c r="W394" s="32" t="n">
        <f>1438529537</f>
        <v>1.438529537E9</v>
      </c>
      <c r="X394" s="36" t="n">
        <f>19</f>
        <v>19.0</v>
      </c>
    </row>
    <row r="395">
      <c r="A395" s="27" t="s">
        <v>42</v>
      </c>
      <c r="B395" s="27" t="s">
        <v>1235</v>
      </c>
      <c r="C395" s="27" t="s">
        <v>1236</v>
      </c>
      <c r="D395" s="27" t="s">
        <v>1237</v>
      </c>
      <c r="E395" s="28" t="s">
        <v>46</v>
      </c>
      <c r="F395" s="29" t="s">
        <v>46</v>
      </c>
      <c r="G395" s="30" t="s">
        <v>46</v>
      </c>
      <c r="H395" s="31"/>
      <c r="I395" s="31" t="s">
        <v>47</v>
      </c>
      <c r="J395" s="32" t="n">
        <v>1.0</v>
      </c>
      <c r="K395" s="33" t="n">
        <f>144700</f>
        <v>144700.0</v>
      </c>
      <c r="L395" s="34" t="s">
        <v>48</v>
      </c>
      <c r="M395" s="33" t="n">
        <f>155800</f>
        <v>155800.0</v>
      </c>
      <c r="N395" s="34" t="s">
        <v>213</v>
      </c>
      <c r="O395" s="33" t="n">
        <f>143100</f>
        <v>143100.0</v>
      </c>
      <c r="P395" s="34" t="s">
        <v>48</v>
      </c>
      <c r="Q395" s="33" t="n">
        <f>149400</f>
        <v>149400.0</v>
      </c>
      <c r="R395" s="34" t="s">
        <v>50</v>
      </c>
      <c r="S395" s="35" t="n">
        <f>149294.74</f>
        <v>149294.74</v>
      </c>
      <c r="T395" s="32" t="n">
        <f>153899</f>
        <v>153899.0</v>
      </c>
      <c r="U395" s="32" t="n">
        <f>40585</f>
        <v>40585.0</v>
      </c>
      <c r="V395" s="32" t="n">
        <f>22981109348</f>
        <v>2.2981109348E10</v>
      </c>
      <c r="W395" s="32" t="n">
        <f>6036291048</f>
        <v>6.036291048E9</v>
      </c>
      <c r="X395" s="36" t="n">
        <f>19</f>
        <v>19.0</v>
      </c>
    </row>
    <row r="396">
      <c r="A396" s="27" t="s">
        <v>42</v>
      </c>
      <c r="B396" s="27" t="s">
        <v>1238</v>
      </c>
      <c r="C396" s="27" t="s">
        <v>1239</v>
      </c>
      <c r="D396" s="27" t="s">
        <v>1240</v>
      </c>
      <c r="E396" s="28" t="s">
        <v>46</v>
      </c>
      <c r="F396" s="29" t="s">
        <v>46</v>
      </c>
      <c r="G396" s="30" t="s">
        <v>46</v>
      </c>
      <c r="H396" s="31"/>
      <c r="I396" s="31" t="s">
        <v>47</v>
      </c>
      <c r="J396" s="32" t="n">
        <v>1.0</v>
      </c>
      <c r="K396" s="33" t="n">
        <f>72300</f>
        <v>72300.0</v>
      </c>
      <c r="L396" s="34" t="s">
        <v>48</v>
      </c>
      <c r="M396" s="33" t="n">
        <f>75500</f>
        <v>75500.0</v>
      </c>
      <c r="N396" s="34" t="s">
        <v>77</v>
      </c>
      <c r="O396" s="33" t="n">
        <f>72300</f>
        <v>72300.0</v>
      </c>
      <c r="P396" s="34" t="s">
        <v>48</v>
      </c>
      <c r="Q396" s="33" t="n">
        <f>74900</f>
        <v>74900.0</v>
      </c>
      <c r="R396" s="34" t="s">
        <v>50</v>
      </c>
      <c r="S396" s="35" t="n">
        <f>74110.53</f>
        <v>74110.53</v>
      </c>
      <c r="T396" s="32" t="n">
        <f>102774</f>
        <v>102774.0</v>
      </c>
      <c r="U396" s="32" t="n">
        <f>26380</f>
        <v>26380.0</v>
      </c>
      <c r="V396" s="32" t="n">
        <f>7616876929</f>
        <v>7.616876929E9</v>
      </c>
      <c r="W396" s="32" t="n">
        <f>1952983829</f>
        <v>1.952983829E9</v>
      </c>
      <c r="X396" s="36" t="n">
        <f>19</f>
        <v>19.0</v>
      </c>
    </row>
    <row r="397">
      <c r="A397" s="27" t="s">
        <v>42</v>
      </c>
      <c r="B397" s="27" t="s">
        <v>1241</v>
      </c>
      <c r="C397" s="27" t="s">
        <v>1242</v>
      </c>
      <c r="D397" s="27" t="s">
        <v>1243</v>
      </c>
      <c r="E397" s="28" t="s">
        <v>46</v>
      </c>
      <c r="F397" s="29" t="s">
        <v>46</v>
      </c>
      <c r="G397" s="30" t="s">
        <v>46</v>
      </c>
      <c r="H397" s="31"/>
      <c r="I397" s="31" t="s">
        <v>47</v>
      </c>
      <c r="J397" s="32" t="n">
        <v>1.0</v>
      </c>
      <c r="K397" s="33" t="n">
        <f>61000</f>
        <v>61000.0</v>
      </c>
      <c r="L397" s="34" t="s">
        <v>48</v>
      </c>
      <c r="M397" s="33" t="n">
        <f>62400</f>
        <v>62400.0</v>
      </c>
      <c r="N397" s="34" t="s">
        <v>87</v>
      </c>
      <c r="O397" s="33" t="n">
        <f>58700</f>
        <v>58700.0</v>
      </c>
      <c r="P397" s="34" t="s">
        <v>245</v>
      </c>
      <c r="Q397" s="33" t="n">
        <f>60700</f>
        <v>60700.0</v>
      </c>
      <c r="R397" s="34" t="s">
        <v>50</v>
      </c>
      <c r="S397" s="35" t="n">
        <f>60326.32</f>
        <v>60326.32</v>
      </c>
      <c r="T397" s="32" t="n">
        <f>817921</f>
        <v>817921.0</v>
      </c>
      <c r="U397" s="32" t="n">
        <f>228835</f>
        <v>228835.0</v>
      </c>
      <c r="V397" s="32" t="n">
        <f>49254516258</f>
        <v>4.9254516258E10</v>
      </c>
      <c r="W397" s="32" t="n">
        <f>13783962358</f>
        <v>1.3783962358E10</v>
      </c>
      <c r="X397" s="36" t="n">
        <f>19</f>
        <v>19.0</v>
      </c>
    </row>
    <row r="398">
      <c r="A398" s="27" t="s">
        <v>42</v>
      </c>
      <c r="B398" s="27" t="s">
        <v>1244</v>
      </c>
      <c r="C398" s="27" t="s">
        <v>1245</v>
      </c>
      <c r="D398" s="27" t="s">
        <v>1246</v>
      </c>
      <c r="E398" s="28" t="s">
        <v>46</v>
      </c>
      <c r="F398" s="29" t="s">
        <v>46</v>
      </c>
      <c r="G398" s="30" t="s">
        <v>46</v>
      </c>
      <c r="H398" s="31"/>
      <c r="I398" s="31" t="s">
        <v>47</v>
      </c>
      <c r="J398" s="32" t="n">
        <v>1.0</v>
      </c>
      <c r="K398" s="33" t="n">
        <f>435000</f>
        <v>435000.0</v>
      </c>
      <c r="L398" s="34" t="s">
        <v>48</v>
      </c>
      <c r="M398" s="33" t="n">
        <f>443500</f>
        <v>443500.0</v>
      </c>
      <c r="N398" s="34" t="s">
        <v>87</v>
      </c>
      <c r="O398" s="33" t="n">
        <f>428500</f>
        <v>428500.0</v>
      </c>
      <c r="P398" s="34" t="s">
        <v>48</v>
      </c>
      <c r="Q398" s="33" t="n">
        <f>436000</f>
        <v>436000.0</v>
      </c>
      <c r="R398" s="34" t="s">
        <v>50</v>
      </c>
      <c r="S398" s="35" t="n">
        <f>436421.05</f>
        <v>436421.05</v>
      </c>
      <c r="T398" s="32" t="n">
        <f>33934</f>
        <v>33934.0</v>
      </c>
      <c r="U398" s="32" t="n">
        <f>7415</f>
        <v>7415.0</v>
      </c>
      <c r="V398" s="32" t="n">
        <f>14810901345</f>
        <v>1.4810901345E10</v>
      </c>
      <c r="W398" s="32" t="n">
        <f>3237806345</f>
        <v>3.237806345E9</v>
      </c>
      <c r="X398" s="36" t="n">
        <f>19</f>
        <v>19.0</v>
      </c>
    </row>
    <row r="399">
      <c r="A399" s="27" t="s">
        <v>42</v>
      </c>
      <c r="B399" s="27" t="s">
        <v>1247</v>
      </c>
      <c r="C399" s="27" t="s">
        <v>1248</v>
      </c>
      <c r="D399" s="27" t="s">
        <v>1249</v>
      </c>
      <c r="E399" s="28" t="s">
        <v>46</v>
      </c>
      <c r="F399" s="29" t="s">
        <v>46</v>
      </c>
      <c r="G399" s="30" t="s">
        <v>46</v>
      </c>
      <c r="H399" s="31"/>
      <c r="I399" s="31" t="s">
        <v>47</v>
      </c>
      <c r="J399" s="32" t="n">
        <v>1.0</v>
      </c>
      <c r="K399" s="33" t="n">
        <f>134200</f>
        <v>134200.0</v>
      </c>
      <c r="L399" s="34" t="s">
        <v>48</v>
      </c>
      <c r="M399" s="33" t="n">
        <f>139700</f>
        <v>139700.0</v>
      </c>
      <c r="N399" s="34" t="s">
        <v>49</v>
      </c>
      <c r="O399" s="33" t="n">
        <f>132500</f>
        <v>132500.0</v>
      </c>
      <c r="P399" s="34" t="s">
        <v>61</v>
      </c>
      <c r="Q399" s="33" t="n">
        <f>137200</f>
        <v>137200.0</v>
      </c>
      <c r="R399" s="34" t="s">
        <v>50</v>
      </c>
      <c r="S399" s="35" t="n">
        <f>136184.21</f>
        <v>136184.21</v>
      </c>
      <c r="T399" s="32" t="n">
        <f>74825</f>
        <v>74825.0</v>
      </c>
      <c r="U399" s="32" t="n">
        <f>18658</f>
        <v>18658.0</v>
      </c>
      <c r="V399" s="32" t="n">
        <f>10216562765</f>
        <v>1.0216562765E10</v>
      </c>
      <c r="W399" s="32" t="n">
        <f>2548114165</f>
        <v>2.548114165E9</v>
      </c>
      <c r="X399" s="36" t="n">
        <f>19</f>
        <v>19.0</v>
      </c>
    </row>
    <row r="400">
      <c r="A400" s="27" t="s">
        <v>42</v>
      </c>
      <c r="B400" s="27" t="s">
        <v>1250</v>
      </c>
      <c r="C400" s="27" t="s">
        <v>1251</v>
      </c>
      <c r="D400" s="27" t="s">
        <v>1252</v>
      </c>
      <c r="E400" s="28" t="s">
        <v>46</v>
      </c>
      <c r="F400" s="29" t="s">
        <v>46</v>
      </c>
      <c r="G400" s="30" t="s">
        <v>46</v>
      </c>
      <c r="H400" s="31"/>
      <c r="I400" s="31" t="s">
        <v>47</v>
      </c>
      <c r="J400" s="32" t="n">
        <v>1.0</v>
      </c>
      <c r="K400" s="33" t="n">
        <f>286100</f>
        <v>286100.0</v>
      </c>
      <c r="L400" s="34" t="s">
        <v>48</v>
      </c>
      <c r="M400" s="33" t="n">
        <f>289100</f>
        <v>289100.0</v>
      </c>
      <c r="N400" s="34" t="s">
        <v>77</v>
      </c>
      <c r="O400" s="33" t="n">
        <f>272300</f>
        <v>272300.0</v>
      </c>
      <c r="P400" s="34" t="s">
        <v>50</v>
      </c>
      <c r="Q400" s="33" t="n">
        <f>272800</f>
        <v>272800.0</v>
      </c>
      <c r="R400" s="34" t="s">
        <v>50</v>
      </c>
      <c r="S400" s="35" t="n">
        <f>283936.84</f>
        <v>283936.84</v>
      </c>
      <c r="T400" s="32" t="n">
        <f>45710</f>
        <v>45710.0</v>
      </c>
      <c r="U400" s="32" t="n">
        <f>9727</f>
        <v>9727.0</v>
      </c>
      <c r="V400" s="32" t="n">
        <f>12943041938</f>
        <v>1.2943041938E10</v>
      </c>
      <c r="W400" s="32" t="n">
        <f>2763321838</f>
        <v>2.763321838E9</v>
      </c>
      <c r="X400" s="36" t="n">
        <f>19</f>
        <v>19.0</v>
      </c>
    </row>
    <row r="401">
      <c r="A401" s="27" t="s">
        <v>42</v>
      </c>
      <c r="B401" s="27" t="s">
        <v>1253</v>
      </c>
      <c r="C401" s="27" t="s">
        <v>1254</v>
      </c>
      <c r="D401" s="27" t="s">
        <v>1255</v>
      </c>
      <c r="E401" s="28" t="s">
        <v>46</v>
      </c>
      <c r="F401" s="29" t="s">
        <v>46</v>
      </c>
      <c r="G401" s="30" t="s">
        <v>46</v>
      </c>
      <c r="H401" s="31"/>
      <c r="I401" s="31" t="s">
        <v>47</v>
      </c>
      <c r="J401" s="32" t="n">
        <v>1.0</v>
      </c>
      <c r="K401" s="33" t="n">
        <f>170700</f>
        <v>170700.0</v>
      </c>
      <c r="L401" s="34" t="s">
        <v>48</v>
      </c>
      <c r="M401" s="33" t="n">
        <f>175100</f>
        <v>175100.0</v>
      </c>
      <c r="N401" s="34" t="s">
        <v>50</v>
      </c>
      <c r="O401" s="33" t="n">
        <f>167400</f>
        <v>167400.0</v>
      </c>
      <c r="P401" s="34" t="s">
        <v>208</v>
      </c>
      <c r="Q401" s="33" t="n">
        <f>174400</f>
        <v>174400.0</v>
      </c>
      <c r="R401" s="34" t="s">
        <v>50</v>
      </c>
      <c r="S401" s="35" t="n">
        <f>171747.37</f>
        <v>171747.37</v>
      </c>
      <c r="T401" s="32" t="n">
        <f>35810</f>
        <v>35810.0</v>
      </c>
      <c r="U401" s="32" t="n">
        <f>8408</f>
        <v>8408.0</v>
      </c>
      <c r="V401" s="32" t="n">
        <f>6151746755</f>
        <v>6.151746755E9</v>
      </c>
      <c r="W401" s="32" t="n">
        <f>1442785555</f>
        <v>1.442785555E9</v>
      </c>
      <c r="X401" s="36" t="n">
        <f>19</f>
        <v>19.0</v>
      </c>
    </row>
    <row r="402">
      <c r="A402" s="27" t="s">
        <v>42</v>
      </c>
      <c r="B402" s="27" t="s">
        <v>1256</v>
      </c>
      <c r="C402" s="27" t="s">
        <v>1257</v>
      </c>
      <c r="D402" s="27" t="s">
        <v>1258</v>
      </c>
      <c r="E402" s="28" t="s">
        <v>46</v>
      </c>
      <c r="F402" s="29" t="s">
        <v>46</v>
      </c>
      <c r="G402" s="30" t="s">
        <v>46</v>
      </c>
      <c r="H402" s="31"/>
      <c r="I402" s="31" t="s">
        <v>47</v>
      </c>
      <c r="J402" s="32" t="n">
        <v>1.0</v>
      </c>
      <c r="K402" s="33" t="n">
        <f>162000</f>
        <v>162000.0</v>
      </c>
      <c r="L402" s="34" t="s">
        <v>48</v>
      </c>
      <c r="M402" s="33" t="n">
        <f>168500</f>
        <v>168500.0</v>
      </c>
      <c r="N402" s="34" t="s">
        <v>49</v>
      </c>
      <c r="O402" s="33" t="n">
        <f>156800</f>
        <v>156800.0</v>
      </c>
      <c r="P402" s="34" t="s">
        <v>214</v>
      </c>
      <c r="Q402" s="33" t="n">
        <f>160200</f>
        <v>160200.0</v>
      </c>
      <c r="R402" s="34" t="s">
        <v>50</v>
      </c>
      <c r="S402" s="35" t="n">
        <f>163236.84</f>
        <v>163236.84</v>
      </c>
      <c r="T402" s="32" t="n">
        <f>294913</f>
        <v>294913.0</v>
      </c>
      <c r="U402" s="32" t="n">
        <f>73775</f>
        <v>73775.0</v>
      </c>
      <c r="V402" s="32" t="n">
        <f>48056220659</f>
        <v>4.8056220659E10</v>
      </c>
      <c r="W402" s="32" t="n">
        <f>12051534459</f>
        <v>1.2051534459E10</v>
      </c>
      <c r="X402" s="36" t="n">
        <f>19</f>
        <v>19.0</v>
      </c>
    </row>
    <row r="403">
      <c r="A403" s="27" t="s">
        <v>42</v>
      </c>
      <c r="B403" s="27" t="s">
        <v>1259</v>
      </c>
      <c r="C403" s="27" t="s">
        <v>1260</v>
      </c>
      <c r="D403" s="27" t="s">
        <v>1261</v>
      </c>
      <c r="E403" s="28" t="s">
        <v>46</v>
      </c>
      <c r="F403" s="29" t="s">
        <v>46</v>
      </c>
      <c r="G403" s="30" t="s">
        <v>46</v>
      </c>
      <c r="H403" s="31"/>
      <c r="I403" s="31" t="s">
        <v>47</v>
      </c>
      <c r="J403" s="32" t="n">
        <v>1.0</v>
      </c>
      <c r="K403" s="33" t="n">
        <f>83000</f>
        <v>83000.0</v>
      </c>
      <c r="L403" s="34" t="s">
        <v>48</v>
      </c>
      <c r="M403" s="33" t="n">
        <f>83700</f>
        <v>83700.0</v>
      </c>
      <c r="N403" s="34" t="s">
        <v>88</v>
      </c>
      <c r="O403" s="33" t="n">
        <f>81200</f>
        <v>81200.0</v>
      </c>
      <c r="P403" s="34" t="s">
        <v>61</v>
      </c>
      <c r="Q403" s="33" t="n">
        <f>82800</f>
        <v>82800.0</v>
      </c>
      <c r="R403" s="34" t="s">
        <v>50</v>
      </c>
      <c r="S403" s="35" t="n">
        <f>82784.21</f>
        <v>82784.21</v>
      </c>
      <c r="T403" s="32" t="n">
        <f>69654</f>
        <v>69654.0</v>
      </c>
      <c r="U403" s="32" t="n">
        <f>17965</f>
        <v>17965.0</v>
      </c>
      <c r="V403" s="32" t="n">
        <f>5769049559</f>
        <v>5.769049559E9</v>
      </c>
      <c r="W403" s="32" t="n">
        <f>1488314359</f>
        <v>1.488314359E9</v>
      </c>
      <c r="X403" s="36" t="n">
        <f>19</f>
        <v>19.0</v>
      </c>
    </row>
    <row r="404">
      <c r="A404" s="27" t="s">
        <v>42</v>
      </c>
      <c r="B404" s="27" t="s">
        <v>1262</v>
      </c>
      <c r="C404" s="27" t="s">
        <v>1263</v>
      </c>
      <c r="D404" s="27" t="s">
        <v>1264</v>
      </c>
      <c r="E404" s="28" t="s">
        <v>46</v>
      </c>
      <c r="F404" s="29" t="s">
        <v>46</v>
      </c>
      <c r="G404" s="30" t="s">
        <v>46</v>
      </c>
      <c r="H404" s="31"/>
      <c r="I404" s="31" t="s">
        <v>47</v>
      </c>
      <c r="J404" s="32" t="n">
        <v>1.0</v>
      </c>
      <c r="K404" s="33" t="n">
        <f>664000</f>
        <v>664000.0</v>
      </c>
      <c r="L404" s="34" t="s">
        <v>48</v>
      </c>
      <c r="M404" s="33" t="n">
        <f>679000</f>
        <v>679000.0</v>
      </c>
      <c r="N404" s="34" t="s">
        <v>218</v>
      </c>
      <c r="O404" s="33" t="n">
        <f>611000</f>
        <v>611000.0</v>
      </c>
      <c r="P404" s="34" t="s">
        <v>60</v>
      </c>
      <c r="Q404" s="33" t="n">
        <f>629000</f>
        <v>629000.0</v>
      </c>
      <c r="R404" s="34" t="s">
        <v>50</v>
      </c>
      <c r="S404" s="35" t="n">
        <f>650263.16</f>
        <v>650263.16</v>
      </c>
      <c r="T404" s="32" t="n">
        <f>25490</f>
        <v>25490.0</v>
      </c>
      <c r="U404" s="32" t="n">
        <f>4908</f>
        <v>4908.0</v>
      </c>
      <c r="V404" s="32" t="n">
        <f>16500926325</f>
        <v>1.6500926325E10</v>
      </c>
      <c r="W404" s="32" t="n">
        <f>3191797325</f>
        <v>3.191797325E9</v>
      </c>
      <c r="X404" s="36" t="n">
        <f>19</f>
        <v>19.0</v>
      </c>
    </row>
    <row r="405">
      <c r="A405" s="27" t="s">
        <v>42</v>
      </c>
      <c r="B405" s="27" t="s">
        <v>1265</v>
      </c>
      <c r="C405" s="27" t="s">
        <v>1266</v>
      </c>
      <c r="D405" s="27" t="s">
        <v>1267</v>
      </c>
      <c r="E405" s="28" t="s">
        <v>46</v>
      </c>
      <c r="F405" s="29" t="s">
        <v>46</v>
      </c>
      <c r="G405" s="30" t="s">
        <v>46</v>
      </c>
      <c r="H405" s="31"/>
      <c r="I405" s="31" t="s">
        <v>47</v>
      </c>
      <c r="J405" s="32" t="n">
        <v>1.0</v>
      </c>
      <c r="K405" s="33" t="n">
        <f>138300</f>
        <v>138300.0</v>
      </c>
      <c r="L405" s="34" t="s">
        <v>48</v>
      </c>
      <c r="M405" s="33" t="n">
        <f>146900</f>
        <v>146900.0</v>
      </c>
      <c r="N405" s="34" t="s">
        <v>364</v>
      </c>
      <c r="O405" s="33" t="n">
        <f>137300</f>
        <v>137300.0</v>
      </c>
      <c r="P405" s="34" t="s">
        <v>48</v>
      </c>
      <c r="Q405" s="33" t="n">
        <f>146100</f>
        <v>146100.0</v>
      </c>
      <c r="R405" s="34" t="s">
        <v>50</v>
      </c>
      <c r="S405" s="35" t="n">
        <f>141947.37</f>
        <v>141947.37</v>
      </c>
      <c r="T405" s="32" t="n">
        <f>27026</f>
        <v>27026.0</v>
      </c>
      <c r="U405" s="32" t="n">
        <f>5124</f>
        <v>5124.0</v>
      </c>
      <c r="V405" s="32" t="n">
        <f>3840096994</f>
        <v>3.840096994E9</v>
      </c>
      <c r="W405" s="32" t="n">
        <f>724847794</f>
        <v>7.24847794E8</v>
      </c>
      <c r="X405" s="36" t="n">
        <f>19</f>
        <v>19.0</v>
      </c>
    </row>
    <row r="406">
      <c r="A406" s="27" t="s">
        <v>42</v>
      </c>
      <c r="B406" s="27" t="s">
        <v>1268</v>
      </c>
      <c r="C406" s="27" t="s">
        <v>1269</v>
      </c>
      <c r="D406" s="27" t="s">
        <v>1270</v>
      </c>
      <c r="E406" s="28" t="s">
        <v>46</v>
      </c>
      <c r="F406" s="29" t="s">
        <v>46</v>
      </c>
      <c r="G406" s="30" t="s">
        <v>46</v>
      </c>
      <c r="H406" s="31"/>
      <c r="I406" s="31" t="s">
        <v>586</v>
      </c>
      <c r="J406" s="32" t="n">
        <v>1.0</v>
      </c>
      <c r="K406" s="33" t="n">
        <f>200000</f>
        <v>200000.0</v>
      </c>
      <c r="L406" s="34" t="s">
        <v>48</v>
      </c>
      <c r="M406" s="33" t="n">
        <f>205200</f>
        <v>205200.0</v>
      </c>
      <c r="N406" s="34" t="s">
        <v>214</v>
      </c>
      <c r="O406" s="33" t="n">
        <f>197000</f>
        <v>197000.0</v>
      </c>
      <c r="P406" s="34" t="s">
        <v>48</v>
      </c>
      <c r="Q406" s="33" t="n">
        <f>203400</f>
        <v>203400.0</v>
      </c>
      <c r="R406" s="34" t="s">
        <v>50</v>
      </c>
      <c r="S406" s="35" t="n">
        <f>201289.47</f>
        <v>201289.47</v>
      </c>
      <c r="T406" s="32" t="n">
        <f>14536</f>
        <v>14536.0</v>
      </c>
      <c r="U406" s="32" t="n">
        <f>2900</f>
        <v>2900.0</v>
      </c>
      <c r="V406" s="32" t="n">
        <f>2925061733</f>
        <v>2.925061733E9</v>
      </c>
      <c r="W406" s="32" t="n">
        <f>584501133</f>
        <v>5.84501133E8</v>
      </c>
      <c r="X406" s="36" t="n">
        <f>19</f>
        <v>19.0</v>
      </c>
    </row>
    <row r="407">
      <c r="A407" s="27" t="s">
        <v>42</v>
      </c>
      <c r="B407" s="27" t="s">
        <v>1271</v>
      </c>
      <c r="C407" s="27" t="s">
        <v>1272</v>
      </c>
      <c r="D407" s="27" t="s">
        <v>1273</v>
      </c>
      <c r="E407" s="28" t="s">
        <v>46</v>
      </c>
      <c r="F407" s="29" t="s">
        <v>46</v>
      </c>
      <c r="G407" s="30" t="s">
        <v>46</v>
      </c>
      <c r="H407" s="31"/>
      <c r="I407" s="31" t="s">
        <v>47</v>
      </c>
      <c r="J407" s="32" t="n">
        <v>1.0</v>
      </c>
      <c r="K407" s="33" t="n">
        <f>254000</f>
        <v>254000.0</v>
      </c>
      <c r="L407" s="34" t="s">
        <v>48</v>
      </c>
      <c r="M407" s="33" t="n">
        <f>268200</f>
        <v>268200.0</v>
      </c>
      <c r="N407" s="34" t="s">
        <v>77</v>
      </c>
      <c r="O407" s="33" t="n">
        <f>251100</f>
        <v>251100.0</v>
      </c>
      <c r="P407" s="34" t="s">
        <v>48</v>
      </c>
      <c r="Q407" s="33" t="n">
        <f>260700</f>
        <v>260700.0</v>
      </c>
      <c r="R407" s="34" t="s">
        <v>50</v>
      </c>
      <c r="S407" s="35" t="n">
        <f>258584.21</f>
        <v>258584.21</v>
      </c>
      <c r="T407" s="32" t="n">
        <f>205878</f>
        <v>205878.0</v>
      </c>
      <c r="U407" s="32" t="n">
        <f>41880</f>
        <v>41880.0</v>
      </c>
      <c r="V407" s="32" t="n">
        <f>53261094852</f>
        <v>5.3261094852E10</v>
      </c>
      <c r="W407" s="32" t="n">
        <f>10837063752</f>
        <v>1.0837063752E10</v>
      </c>
      <c r="X407" s="36" t="n">
        <f>19</f>
        <v>19.0</v>
      </c>
    </row>
    <row r="408">
      <c r="A408" s="27" t="s">
        <v>42</v>
      </c>
      <c r="B408" s="27" t="s">
        <v>1274</v>
      </c>
      <c r="C408" s="27" t="s">
        <v>1275</v>
      </c>
      <c r="D408" s="27" t="s">
        <v>1276</v>
      </c>
      <c r="E408" s="28" t="s">
        <v>46</v>
      </c>
      <c r="F408" s="29" t="s">
        <v>46</v>
      </c>
      <c r="G408" s="30" t="s">
        <v>46</v>
      </c>
      <c r="H408" s="31"/>
      <c r="I408" s="31" t="s">
        <v>47</v>
      </c>
      <c r="J408" s="32" t="n">
        <v>1.0</v>
      </c>
      <c r="K408" s="33" t="n">
        <f>69500</f>
        <v>69500.0</v>
      </c>
      <c r="L408" s="34" t="s">
        <v>48</v>
      </c>
      <c r="M408" s="33" t="n">
        <f>78000</f>
        <v>78000.0</v>
      </c>
      <c r="N408" s="34" t="s">
        <v>87</v>
      </c>
      <c r="O408" s="33" t="n">
        <f>67900</f>
        <v>67900.0</v>
      </c>
      <c r="P408" s="34" t="s">
        <v>48</v>
      </c>
      <c r="Q408" s="33" t="n">
        <f>75900</f>
        <v>75900.0</v>
      </c>
      <c r="R408" s="34" t="s">
        <v>50</v>
      </c>
      <c r="S408" s="35" t="n">
        <f>72536.84</f>
        <v>72536.84</v>
      </c>
      <c r="T408" s="32" t="n">
        <f>488319</f>
        <v>488319.0</v>
      </c>
      <c r="U408" s="32" t="n">
        <f>123031</f>
        <v>123031.0</v>
      </c>
      <c r="V408" s="32" t="n">
        <f>35567886944</f>
        <v>3.5567886944E10</v>
      </c>
      <c r="W408" s="32" t="n">
        <f>8908079744</f>
        <v>8.908079744E9</v>
      </c>
      <c r="X408" s="36" t="n">
        <f>19</f>
        <v>19.0</v>
      </c>
    </row>
    <row r="409">
      <c r="A409" s="27" t="s">
        <v>42</v>
      </c>
      <c r="B409" s="27" t="s">
        <v>1277</v>
      </c>
      <c r="C409" s="27" t="s">
        <v>1278</v>
      </c>
      <c r="D409" s="27" t="s">
        <v>1279</v>
      </c>
      <c r="E409" s="28" t="s">
        <v>46</v>
      </c>
      <c r="F409" s="29" t="s">
        <v>46</v>
      </c>
      <c r="G409" s="30" t="s">
        <v>46</v>
      </c>
      <c r="H409" s="31"/>
      <c r="I409" s="31" t="s">
        <v>47</v>
      </c>
      <c r="J409" s="32" t="n">
        <v>1.0</v>
      </c>
      <c r="K409" s="33" t="n">
        <f>104900</f>
        <v>104900.0</v>
      </c>
      <c r="L409" s="34" t="s">
        <v>48</v>
      </c>
      <c r="M409" s="33" t="n">
        <f>107300</f>
        <v>107300.0</v>
      </c>
      <c r="N409" s="34" t="s">
        <v>49</v>
      </c>
      <c r="O409" s="33" t="n">
        <f>103200</f>
        <v>103200.0</v>
      </c>
      <c r="P409" s="34" t="s">
        <v>48</v>
      </c>
      <c r="Q409" s="33" t="n">
        <f>106100</f>
        <v>106100.0</v>
      </c>
      <c r="R409" s="34" t="s">
        <v>50</v>
      </c>
      <c r="S409" s="35" t="n">
        <f>105463.16</f>
        <v>105463.16</v>
      </c>
      <c r="T409" s="32" t="n">
        <f>86770</f>
        <v>86770.0</v>
      </c>
      <c r="U409" s="32" t="n">
        <f>21497</f>
        <v>21497.0</v>
      </c>
      <c r="V409" s="32" t="n">
        <f>9149169005</f>
        <v>9.149169005E9</v>
      </c>
      <c r="W409" s="32" t="n">
        <f>2264663905</f>
        <v>2.264663905E9</v>
      </c>
      <c r="X409" s="36" t="n">
        <f>19</f>
        <v>19.0</v>
      </c>
    </row>
    <row r="410">
      <c r="A410" s="27" t="s">
        <v>42</v>
      </c>
      <c r="B410" s="27" t="s">
        <v>1280</v>
      </c>
      <c r="C410" s="27" t="s">
        <v>1281</v>
      </c>
      <c r="D410" s="27" t="s">
        <v>1282</v>
      </c>
      <c r="E410" s="28" t="s">
        <v>46</v>
      </c>
      <c r="F410" s="29" t="s">
        <v>46</v>
      </c>
      <c r="G410" s="30" t="s">
        <v>46</v>
      </c>
      <c r="H410" s="31"/>
      <c r="I410" s="31" t="s">
        <v>47</v>
      </c>
      <c r="J410" s="32" t="n">
        <v>1.0</v>
      </c>
      <c r="K410" s="33" t="n">
        <f>125400</f>
        <v>125400.0</v>
      </c>
      <c r="L410" s="34" t="s">
        <v>48</v>
      </c>
      <c r="M410" s="33" t="n">
        <f>125900</f>
        <v>125900.0</v>
      </c>
      <c r="N410" s="34" t="s">
        <v>274</v>
      </c>
      <c r="O410" s="33" t="n">
        <f>120500</f>
        <v>120500.0</v>
      </c>
      <c r="P410" s="34" t="s">
        <v>364</v>
      </c>
      <c r="Q410" s="33" t="n">
        <f>122000</f>
        <v>122000.0</v>
      </c>
      <c r="R410" s="34" t="s">
        <v>50</v>
      </c>
      <c r="S410" s="35" t="n">
        <f>123536.84</f>
        <v>123536.84</v>
      </c>
      <c r="T410" s="32" t="n">
        <f>83101</f>
        <v>83101.0</v>
      </c>
      <c r="U410" s="32" t="n">
        <f>24213</f>
        <v>24213.0</v>
      </c>
      <c r="V410" s="32" t="n">
        <f>10260899824</f>
        <v>1.0260899824E10</v>
      </c>
      <c r="W410" s="32" t="n">
        <f>2990626324</f>
        <v>2.990626324E9</v>
      </c>
      <c r="X410" s="36" t="n">
        <f>19</f>
        <v>19.0</v>
      </c>
    </row>
    <row r="411">
      <c r="A411" s="27" t="s">
        <v>42</v>
      </c>
      <c r="B411" s="27" t="s">
        <v>1283</v>
      </c>
      <c r="C411" s="27" t="s">
        <v>1284</v>
      </c>
      <c r="D411" s="27" t="s">
        <v>1285</v>
      </c>
      <c r="E411" s="28" t="s">
        <v>46</v>
      </c>
      <c r="F411" s="29" t="s">
        <v>46</v>
      </c>
      <c r="G411" s="30" t="s">
        <v>46</v>
      </c>
      <c r="H411" s="31"/>
      <c r="I411" s="31" t="s">
        <v>586</v>
      </c>
      <c r="J411" s="32" t="n">
        <v>1.0</v>
      </c>
      <c r="K411" s="33" t="n">
        <f>71000</f>
        <v>71000.0</v>
      </c>
      <c r="L411" s="34" t="s">
        <v>48</v>
      </c>
      <c r="M411" s="33" t="n">
        <f>72900</f>
        <v>72900.0</v>
      </c>
      <c r="N411" s="34" t="s">
        <v>49</v>
      </c>
      <c r="O411" s="33" t="n">
        <f>70900</f>
        <v>70900.0</v>
      </c>
      <c r="P411" s="34" t="s">
        <v>48</v>
      </c>
      <c r="Q411" s="33" t="n">
        <f>72800</f>
        <v>72800.0</v>
      </c>
      <c r="R411" s="34" t="s">
        <v>50</v>
      </c>
      <c r="S411" s="35" t="n">
        <f>72336.84</f>
        <v>72336.84</v>
      </c>
      <c r="T411" s="32" t="n">
        <f>2083</f>
        <v>2083.0</v>
      </c>
      <c r="U411" s="32" t="n">
        <f>8</f>
        <v>8.0</v>
      </c>
      <c r="V411" s="32" t="n">
        <f>150399600</f>
        <v>1.503996E8</v>
      </c>
      <c r="W411" s="32" t="n">
        <f>576400</f>
        <v>576400.0</v>
      </c>
      <c r="X411" s="36" t="n">
        <f>19</f>
        <v>19.0</v>
      </c>
    </row>
    <row r="412">
      <c r="A412" s="27" t="s">
        <v>42</v>
      </c>
      <c r="B412" s="27" t="s">
        <v>1286</v>
      </c>
      <c r="C412" s="27" t="s">
        <v>1287</v>
      </c>
      <c r="D412" s="27" t="s">
        <v>1288</v>
      </c>
      <c r="E412" s="28" t="s">
        <v>46</v>
      </c>
      <c r="F412" s="29" t="s">
        <v>46</v>
      </c>
      <c r="G412" s="30" t="s">
        <v>46</v>
      </c>
      <c r="H412" s="31"/>
      <c r="I412" s="31" t="s">
        <v>586</v>
      </c>
      <c r="J412" s="32" t="n">
        <v>1.0</v>
      </c>
      <c r="K412" s="33" t="n">
        <f>112000</f>
        <v>112000.0</v>
      </c>
      <c r="L412" s="34" t="s">
        <v>48</v>
      </c>
      <c r="M412" s="33" t="n">
        <f>115500</f>
        <v>115500.0</v>
      </c>
      <c r="N412" s="34" t="s">
        <v>158</v>
      </c>
      <c r="O412" s="33" t="n">
        <f>111100</f>
        <v>111100.0</v>
      </c>
      <c r="P412" s="34" t="s">
        <v>48</v>
      </c>
      <c r="Q412" s="33" t="n">
        <f>113500</f>
        <v>113500.0</v>
      </c>
      <c r="R412" s="34" t="s">
        <v>50</v>
      </c>
      <c r="S412" s="35" t="n">
        <f>113657.89</f>
        <v>113657.89</v>
      </c>
      <c r="T412" s="32" t="n">
        <f>17598</f>
        <v>17598.0</v>
      </c>
      <c r="U412" s="32" t="n">
        <f>546</f>
        <v>546.0</v>
      </c>
      <c r="V412" s="32" t="n">
        <f>1997093709</f>
        <v>1.997093709E9</v>
      </c>
      <c r="W412" s="32" t="n">
        <f>62212409</f>
        <v>6.2212409E7</v>
      </c>
      <c r="X412" s="36" t="n">
        <f>19</f>
        <v>19.0</v>
      </c>
    </row>
    <row r="413">
      <c r="A413" s="27" t="s">
        <v>42</v>
      </c>
      <c r="B413" s="27" t="s">
        <v>1289</v>
      </c>
      <c r="C413" s="27" t="s">
        <v>1290</v>
      </c>
      <c r="D413" s="27" t="s">
        <v>1291</v>
      </c>
      <c r="E413" s="28" t="s">
        <v>46</v>
      </c>
      <c r="F413" s="29" t="s">
        <v>46</v>
      </c>
      <c r="G413" s="30" t="s">
        <v>46</v>
      </c>
      <c r="H413" s="31"/>
      <c r="I413" s="31" t="s">
        <v>586</v>
      </c>
      <c r="J413" s="32" t="n">
        <v>1.0</v>
      </c>
      <c r="K413" s="33" t="n">
        <f>86300</f>
        <v>86300.0</v>
      </c>
      <c r="L413" s="34" t="s">
        <v>48</v>
      </c>
      <c r="M413" s="33" t="n">
        <f>88300</f>
        <v>88300.0</v>
      </c>
      <c r="N413" s="34" t="s">
        <v>218</v>
      </c>
      <c r="O413" s="33" t="n">
        <f>86100</f>
        <v>86100.0</v>
      </c>
      <c r="P413" s="34" t="s">
        <v>48</v>
      </c>
      <c r="Q413" s="33" t="n">
        <f>87200</f>
        <v>87200.0</v>
      </c>
      <c r="R413" s="34" t="s">
        <v>50</v>
      </c>
      <c r="S413" s="35" t="n">
        <f>87100</f>
        <v>87100.0</v>
      </c>
      <c r="T413" s="32" t="n">
        <f>8145</f>
        <v>8145.0</v>
      </c>
      <c r="U413" s="32" t="n">
        <f>8</f>
        <v>8.0</v>
      </c>
      <c r="V413" s="32" t="n">
        <f>708514600</f>
        <v>7.085146E8</v>
      </c>
      <c r="W413" s="32" t="n">
        <f>696600</f>
        <v>696600.0</v>
      </c>
      <c r="X413" s="36" t="n">
        <f>19</f>
        <v>19.0</v>
      </c>
    </row>
    <row r="414">
      <c r="A414" s="27" t="s">
        <v>42</v>
      </c>
      <c r="B414" s="27" t="s">
        <v>1292</v>
      </c>
      <c r="C414" s="27" t="s">
        <v>1293</v>
      </c>
      <c r="D414" s="27" t="s">
        <v>1294</v>
      </c>
      <c r="E414" s="28" t="s">
        <v>46</v>
      </c>
      <c r="F414" s="29" t="s">
        <v>46</v>
      </c>
      <c r="G414" s="30" t="s">
        <v>46</v>
      </c>
      <c r="H414" s="31"/>
      <c r="I414" s="31" t="s">
        <v>47</v>
      </c>
      <c r="J414" s="32" t="n">
        <v>1.0</v>
      </c>
      <c r="K414" s="33" t="n">
        <f>85000</f>
        <v>85000.0</v>
      </c>
      <c r="L414" s="34" t="s">
        <v>48</v>
      </c>
      <c r="M414" s="33" t="n">
        <f>87400</f>
        <v>87400.0</v>
      </c>
      <c r="N414" s="34" t="s">
        <v>287</v>
      </c>
      <c r="O414" s="33" t="n">
        <f>84700</f>
        <v>84700.0</v>
      </c>
      <c r="P414" s="34" t="s">
        <v>48</v>
      </c>
      <c r="Q414" s="33" t="n">
        <f>86100</f>
        <v>86100.0</v>
      </c>
      <c r="R414" s="34" t="s">
        <v>50</v>
      </c>
      <c r="S414" s="35" t="n">
        <f>86121.05</f>
        <v>86121.05</v>
      </c>
      <c r="T414" s="32" t="n">
        <f>26330</f>
        <v>26330.0</v>
      </c>
      <c r="U414" s="32" t="n">
        <f>2144</f>
        <v>2144.0</v>
      </c>
      <c r="V414" s="32" t="n">
        <f>2264539072</f>
        <v>2.264539072E9</v>
      </c>
      <c r="W414" s="32" t="n">
        <f>183456172</f>
        <v>1.83456172E8</v>
      </c>
      <c r="X414" s="36" t="n">
        <f>19</f>
        <v>19.0</v>
      </c>
    </row>
    <row r="415">
      <c r="A415" s="27" t="s">
        <v>42</v>
      </c>
      <c r="B415" s="27" t="s">
        <v>1295</v>
      </c>
      <c r="C415" s="27" t="s">
        <v>1296</v>
      </c>
      <c r="D415" s="27" t="s">
        <v>1297</v>
      </c>
      <c r="E415" s="28" t="s">
        <v>46</v>
      </c>
      <c r="F415" s="29" t="s">
        <v>46</v>
      </c>
      <c r="G415" s="30" t="s">
        <v>46</v>
      </c>
      <c r="H415" s="31"/>
      <c r="I415" s="31" t="s">
        <v>586</v>
      </c>
      <c r="J415" s="32" t="n">
        <v>1.0</v>
      </c>
      <c r="K415" s="33" t="n">
        <f>85000</f>
        <v>85000.0</v>
      </c>
      <c r="L415" s="34" t="s">
        <v>48</v>
      </c>
      <c r="M415" s="33" t="n">
        <f>86600</f>
        <v>86600.0</v>
      </c>
      <c r="N415" s="34" t="s">
        <v>287</v>
      </c>
      <c r="O415" s="33" t="n">
        <f>84800</f>
        <v>84800.0</v>
      </c>
      <c r="P415" s="34" t="s">
        <v>48</v>
      </c>
      <c r="Q415" s="33" t="n">
        <f>86000</f>
        <v>86000.0</v>
      </c>
      <c r="R415" s="34" t="s">
        <v>50</v>
      </c>
      <c r="S415" s="35" t="n">
        <f>85742.11</f>
        <v>85742.11</v>
      </c>
      <c r="T415" s="32" t="n">
        <f>20462</f>
        <v>20462.0</v>
      </c>
      <c r="U415" s="32" t="n">
        <f>591</f>
        <v>591.0</v>
      </c>
      <c r="V415" s="32" t="n">
        <f>1754342125</f>
        <v>1.754342125E9</v>
      </c>
      <c r="W415" s="32" t="n">
        <f>50727525</f>
        <v>5.0727525E7</v>
      </c>
      <c r="X415" s="36" t="n">
        <f>19</f>
        <v>19.0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2020-05-11T08:48:14Z</dcterms:modified>
</cp:coreProperties>
</file>