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<sst xmlns="http://schemas.openxmlformats.org/spreadsheetml/2006/main" count="2805" uniqueCount="107">
  <si>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</si>
  <si>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</si>
  <si>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</si>
  <si>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</si>
  <si>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</si>
  <si>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</si>
  <si>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</si>
  <si>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</si>
  <si>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</si>
  <si>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</si>
  <si>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</si>
  <si>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</si>
  <si>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</si>
  <si>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</si>
  <si>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</si>
  <si>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</si>
  <si>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11.1</t>
  </si>
  <si>
    <t>金標準先物</t>
  </si>
  <si>
    <t>Gold Standard Futures</t>
  </si>
  <si>
    <t>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</si>
  <si>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</si>
  <si>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</si>
  <si>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</si>
  <si>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</si>
  <si>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</si>
  <si>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</si>
  <si>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</si>
  <si>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</si>
  <si>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</si>
  <si>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</si>
  <si>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</si>
  <si>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</si>
  <si>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</si>
  <si>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</si>
  <si>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</si>
  <si>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</si>
  <si>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</si>
  <si>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◎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</si>
  <si>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</si>
  <si>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</si>
  <si>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</si>
  <si>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</si>
  <si>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</si>
  <si>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</si>
  <si>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</si>
  <si>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</si>
  <si>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</si>
  <si>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</si>
  <si>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</si>
  <si>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</si>
  <si>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金ミニ先物</t>
  </si>
  <si>
    <t>Gold Mini Futures</t>
  </si>
  <si>
    <t>◎●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</si>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</sst>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875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43407</f>
        <v>43407.0</v>
      </c>
      <c r="F6" s="10"/>
      <c r="G6" s="11" t="n">
        <f>588031674000</f>
        <v>5.88031674E11</v>
      </c>
      <c r="H6" s="10" t="s">
        <v>19</v>
      </c>
      <c r="I6" s="11" t="str">
        <f>"－"</f>
        <v>－</v>
      </c>
      <c r="J6" s="10"/>
      <c r="K6" s="11" t="n">
        <f>40614</f>
        <v>40614.0</v>
      </c>
    </row>
    <row r="7">
      <c r="A7" s="8" t="s">
        <v>20</v>
      </c>
      <c r="B7" s="9" t="s">
        <v>17</v>
      </c>
      <c r="C7" s="9" t="s">
        <v>18</v>
      </c>
      <c r="D7" s="10"/>
      <c r="E7" s="11"/>
      <c r="F7" s="10"/>
      <c r="G7" s="11"/>
      <c r="H7" s="10"/>
      <c r="I7" s="11"/>
      <c r="J7" s="10"/>
      <c r="K7" s="11"/>
    </row>
    <row r="8">
      <c r="A8" s="8" t="s">
        <v>21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22</v>
      </c>
      <c r="B9" s="9" t="s">
        <v>17</v>
      </c>
      <c r="C9" s="9" t="s">
        <v>18</v>
      </c>
      <c r="D9" s="10"/>
      <c r="E9" s="11"/>
      <c r="F9" s="10"/>
      <c r="G9" s="11"/>
      <c r="H9" s="10"/>
      <c r="I9" s="11"/>
      <c r="J9" s="10"/>
      <c r="K9" s="11"/>
    </row>
    <row r="10">
      <c r="A10" s="8" t="s">
        <v>23</v>
      </c>
      <c r="B10" s="9" t="s">
        <v>17</v>
      </c>
      <c r="C10" s="9" t="s">
        <v>18</v>
      </c>
      <c r="D10" s="10"/>
      <c r="E10" s="11" t="n">
        <f>28200</f>
        <v>28200.0</v>
      </c>
      <c r="F10" s="10"/>
      <c r="G10" s="11" t="n">
        <f>380754618000</f>
        <v>3.80754618E11</v>
      </c>
      <c r="H10" s="10"/>
      <c r="I10" s="11" t="str">
        <f>"－"</f>
        <v>－</v>
      </c>
      <c r="J10" s="10" t="s">
        <v>19</v>
      </c>
      <c r="K10" s="11" t="n">
        <f>40182</f>
        <v>40182.0</v>
      </c>
    </row>
    <row r="11">
      <c r="A11" s="8" t="s">
        <v>24</v>
      </c>
      <c r="B11" s="9" t="s">
        <v>17</v>
      </c>
      <c r="C11" s="9" t="s">
        <v>18</v>
      </c>
      <c r="D11" s="10"/>
      <c r="E11" s="11" t="n">
        <f>37632</f>
        <v>37632.0</v>
      </c>
      <c r="F11" s="10"/>
      <c r="G11" s="11" t="n">
        <f>509050610000</f>
        <v>5.0905061E11</v>
      </c>
      <c r="H11" s="10"/>
      <c r="I11" s="11" t="str">
        <f>"－"</f>
        <v>－</v>
      </c>
      <c r="J11" s="10"/>
      <c r="K11" s="11" t="n">
        <f>40762</f>
        <v>40762.0</v>
      </c>
    </row>
    <row r="12">
      <c r="A12" s="8" t="s">
        <v>25</v>
      </c>
      <c r="B12" s="9" t="s">
        <v>17</v>
      </c>
      <c r="C12" s="9" t="s">
        <v>18</v>
      </c>
      <c r="D12" s="10"/>
      <c r="E12" s="11" t="n">
        <f>45152</f>
        <v>45152.0</v>
      </c>
      <c r="F12" s="10"/>
      <c r="G12" s="11" t="n">
        <f>602618503000</f>
        <v>6.02618503E11</v>
      </c>
      <c r="H12" s="10"/>
      <c r="I12" s="11" t="str">
        <f>"－"</f>
        <v>－</v>
      </c>
      <c r="J12" s="10"/>
      <c r="K12" s="11" t="n">
        <f>41974</f>
        <v>41974.0</v>
      </c>
    </row>
    <row r="13">
      <c r="A13" s="8" t="s">
        <v>26</v>
      </c>
      <c r="B13" s="9" t="s">
        <v>17</v>
      </c>
      <c r="C13" s="9" t="s">
        <v>18</v>
      </c>
      <c r="D13" s="10"/>
      <c r="E13" s="11" t="n">
        <f>23349</f>
        <v>23349.0</v>
      </c>
      <c r="F13" s="10"/>
      <c r="G13" s="11" t="n">
        <f>310927649000</f>
        <v>3.10927649E11</v>
      </c>
      <c r="H13" s="10"/>
      <c r="I13" s="11" t="str">
        <f>"－"</f>
        <v>－</v>
      </c>
      <c r="J13" s="10"/>
      <c r="K13" s="11" t="n">
        <f>42415</f>
        <v>42415.0</v>
      </c>
    </row>
    <row r="14">
      <c r="A14" s="8" t="s">
        <v>27</v>
      </c>
      <c r="B14" s="9" t="s">
        <v>17</v>
      </c>
      <c r="C14" s="9" t="s">
        <v>18</v>
      </c>
      <c r="D14" s="10"/>
      <c r="E14" s="11"/>
      <c r="F14" s="10"/>
      <c r="G14" s="11"/>
      <c r="H14" s="10"/>
      <c r="I14" s="11"/>
      <c r="J14" s="10"/>
      <c r="K14" s="11"/>
    </row>
    <row r="15">
      <c r="A15" s="8" t="s">
        <v>28</v>
      </c>
      <c r="B15" s="9" t="s">
        <v>17</v>
      </c>
      <c r="C15" s="9" t="s">
        <v>18</v>
      </c>
      <c r="D15" s="10"/>
      <c r="E15" s="11"/>
      <c r="F15" s="10"/>
      <c r="G15" s="11"/>
      <c r="H15" s="10"/>
      <c r="I15" s="11"/>
      <c r="J15" s="10"/>
      <c r="K15" s="11"/>
    </row>
    <row r="16">
      <c r="A16" s="8" t="s">
        <v>29</v>
      </c>
      <c r="B16" s="9" t="s">
        <v>17</v>
      </c>
      <c r="C16" s="9" t="s">
        <v>18</v>
      </c>
      <c r="D16" s="10"/>
      <c r="E16" s="11" t="n">
        <f>22929</f>
        <v>22929.0</v>
      </c>
      <c r="F16" s="10"/>
      <c r="G16" s="11" t="n">
        <f>303939454000</f>
        <v>3.03939454E11</v>
      </c>
      <c r="H16" s="10"/>
      <c r="I16" s="11" t="str">
        <f>"－"</f>
        <v>－</v>
      </c>
      <c r="J16" s="10"/>
      <c r="K16" s="11" t="n">
        <f>43243</f>
        <v>43243.0</v>
      </c>
    </row>
    <row r="17">
      <c r="A17" s="8" t="s">
        <v>30</v>
      </c>
      <c r="B17" s="9" t="s">
        <v>17</v>
      </c>
      <c r="C17" s="9" t="s">
        <v>18</v>
      </c>
      <c r="D17" s="10"/>
      <c r="E17" s="11" t="n">
        <f>30916</f>
        <v>30916.0</v>
      </c>
      <c r="F17" s="10"/>
      <c r="G17" s="11" t="n">
        <f>403571448000</f>
        <v>4.03571448E11</v>
      </c>
      <c r="H17" s="10"/>
      <c r="I17" s="11" t="str">
        <f>"－"</f>
        <v>－</v>
      </c>
      <c r="J17" s="10"/>
      <c r="K17" s="11" t="n">
        <f>43561</f>
        <v>43561.0</v>
      </c>
    </row>
    <row r="18">
      <c r="A18" s="8" t="s">
        <v>31</v>
      </c>
      <c r="B18" s="9" t="s">
        <v>17</v>
      </c>
      <c r="C18" s="9" t="s">
        <v>18</v>
      </c>
      <c r="D18" s="10"/>
      <c r="E18" s="11" t="n">
        <f>24758</f>
        <v>24758.0</v>
      </c>
      <c r="F18" s="10"/>
      <c r="G18" s="11" t="n">
        <f>321595749000</f>
        <v>3.21595749E11</v>
      </c>
      <c r="H18" s="10"/>
      <c r="I18" s="11" t="str">
        <f>"－"</f>
        <v>－</v>
      </c>
      <c r="J18" s="10"/>
      <c r="K18" s="11" t="n">
        <f>43534</f>
        <v>43534.0</v>
      </c>
    </row>
    <row r="19">
      <c r="A19" s="8" t="s">
        <v>32</v>
      </c>
      <c r="B19" s="9" t="s">
        <v>17</v>
      </c>
      <c r="C19" s="9" t="s">
        <v>18</v>
      </c>
      <c r="D19" s="10"/>
      <c r="E19" s="11" t="n">
        <f>23578</f>
        <v>23578.0</v>
      </c>
      <c r="F19" s="10"/>
      <c r="G19" s="11" t="n">
        <f>305748918000</f>
        <v>3.05748918E11</v>
      </c>
      <c r="H19" s="10"/>
      <c r="I19" s="11" t="str">
        <f>"－"</f>
        <v>－</v>
      </c>
      <c r="J19" s="10"/>
      <c r="K19" s="11" t="n">
        <f>43986</f>
        <v>43986.0</v>
      </c>
    </row>
    <row r="20">
      <c r="A20" s="8" t="s">
        <v>33</v>
      </c>
      <c r="B20" s="9" t="s">
        <v>17</v>
      </c>
      <c r="C20" s="9" t="s">
        <v>18</v>
      </c>
      <c r="D20" s="10"/>
      <c r="E20" s="11" t="n">
        <f>27995</f>
        <v>27995.0</v>
      </c>
      <c r="F20" s="10"/>
      <c r="G20" s="11" t="n">
        <f>361514579000</f>
        <v>3.61514579E11</v>
      </c>
      <c r="H20" s="10"/>
      <c r="I20" s="11" t="str">
        <f>"－"</f>
        <v>－</v>
      </c>
      <c r="J20" s="10"/>
      <c r="K20" s="11" t="n">
        <f>44709</f>
        <v>44709.0</v>
      </c>
    </row>
    <row r="21">
      <c r="A21" s="8" t="s">
        <v>34</v>
      </c>
      <c r="B21" s="9" t="s">
        <v>17</v>
      </c>
      <c r="C21" s="9" t="s">
        <v>18</v>
      </c>
      <c r="D21" s="10"/>
      <c r="E21" s="11"/>
      <c r="F21" s="10"/>
      <c r="G21" s="11"/>
      <c r="H21" s="10"/>
      <c r="I21" s="11"/>
      <c r="J21" s="10"/>
      <c r="K21" s="11"/>
    </row>
    <row r="22">
      <c r="A22" s="8" t="s">
        <v>35</v>
      </c>
      <c r="B22" s="9" t="s">
        <v>17</v>
      </c>
      <c r="C22" s="9" t="s">
        <v>18</v>
      </c>
      <c r="D22" s="10"/>
      <c r="E22" s="11"/>
      <c r="F22" s="10"/>
      <c r="G22" s="11"/>
      <c r="H22" s="10"/>
      <c r="I22" s="11"/>
      <c r="J22" s="10"/>
      <c r="K22" s="11"/>
    </row>
    <row r="23">
      <c r="A23" s="8" t="s">
        <v>36</v>
      </c>
      <c r="B23" s="9" t="s">
        <v>17</v>
      </c>
      <c r="C23" s="9" t="s">
        <v>18</v>
      </c>
      <c r="D23" s="10"/>
      <c r="E23" s="11" t="n">
        <f>30382</f>
        <v>30382.0</v>
      </c>
      <c r="F23" s="10"/>
      <c r="G23" s="11" t="n">
        <f>391651032000</f>
        <v>3.91651032E11</v>
      </c>
      <c r="H23" s="10"/>
      <c r="I23" s="11" t="str">
        <f>"－"</f>
        <v>－</v>
      </c>
      <c r="J23" s="10" t="s">
        <v>37</v>
      </c>
      <c r="K23" s="11" t="n">
        <f>54860</f>
        <v>54860.0</v>
      </c>
    </row>
    <row r="24">
      <c r="A24" s="8" t="s">
        <v>38</v>
      </c>
      <c r="B24" s="9" t="s">
        <v>17</v>
      </c>
      <c r="C24" s="9" t="s">
        <v>18</v>
      </c>
      <c r="D24" s="10" t="s">
        <v>19</v>
      </c>
      <c r="E24" s="11" t="n">
        <f>21398</f>
        <v>21398.0</v>
      </c>
      <c r="F24" s="10" t="s">
        <v>19</v>
      </c>
      <c r="G24" s="11" t="n">
        <f>278798007000</f>
        <v>2.78798007E11</v>
      </c>
      <c r="H24" s="10" t="s">
        <v>37</v>
      </c>
      <c r="I24" s="11" t="n">
        <f>1</f>
        <v>1.0</v>
      </c>
      <c r="J24" s="10"/>
      <c r="K24" s="11" t="n">
        <f>45031</f>
        <v>45031.0</v>
      </c>
    </row>
    <row r="25">
      <c r="A25" s="8" t="s">
        <v>39</v>
      </c>
      <c r="B25" s="9" t="s">
        <v>17</v>
      </c>
      <c r="C25" s="9" t="s">
        <v>18</v>
      </c>
      <c r="D25" s="10"/>
      <c r="E25" s="11" t="n">
        <f>22631</f>
        <v>22631.0</v>
      </c>
      <c r="F25" s="10"/>
      <c r="G25" s="11" t="n">
        <f>297199390000</f>
        <v>2.9719939E11</v>
      </c>
      <c r="H25" s="10"/>
      <c r="I25" s="11" t="str">
        <f>"－"</f>
        <v>－</v>
      </c>
      <c r="J25" s="10"/>
      <c r="K25" s="11" t="n">
        <f>45082</f>
        <v>45082.0</v>
      </c>
    </row>
    <row r="26">
      <c r="A26" s="8" t="s">
        <v>40</v>
      </c>
      <c r="B26" s="9" t="s">
        <v>17</v>
      </c>
      <c r="C26" s="9" t="s">
        <v>18</v>
      </c>
      <c r="D26" s="10"/>
      <c r="E26" s="11" t="n">
        <f>21479</f>
        <v>21479.0</v>
      </c>
      <c r="F26" s="10"/>
      <c r="G26" s="11" t="n">
        <f>285184616000</f>
        <v>2.85184616E11</v>
      </c>
      <c r="H26" s="10"/>
      <c r="I26" s="11" t="str">
        <f>"－"</f>
        <v>－</v>
      </c>
      <c r="J26" s="10"/>
      <c r="K26" s="11" t="n">
        <f>45920</f>
        <v>45920.0</v>
      </c>
    </row>
    <row r="27">
      <c r="A27" s="8" t="s">
        <v>41</v>
      </c>
      <c r="B27" s="9" t="s">
        <v>17</v>
      </c>
      <c r="C27" s="9" t="s">
        <v>18</v>
      </c>
      <c r="D27" s="10"/>
      <c r="E27" s="11" t="n">
        <f>27295</f>
        <v>27295.0</v>
      </c>
      <c r="F27" s="10"/>
      <c r="G27" s="11" t="n">
        <f>364187234000</f>
        <v>3.64187234E11</v>
      </c>
      <c r="H27" s="10"/>
      <c r="I27" s="11" t="str">
        <f>"－"</f>
        <v>－</v>
      </c>
      <c r="J27" s="10"/>
      <c r="K27" s="11" t="n">
        <f>45829</f>
        <v>45829.0</v>
      </c>
    </row>
    <row r="28">
      <c r="A28" s="8" t="s">
        <v>42</v>
      </c>
      <c r="B28" s="9" t="s">
        <v>17</v>
      </c>
      <c r="C28" s="9" t="s">
        <v>18</v>
      </c>
      <c r="D28" s="10"/>
      <c r="E28" s="11"/>
      <c r="F28" s="10"/>
      <c r="G28" s="11"/>
      <c r="H28" s="10"/>
      <c r="I28" s="11"/>
      <c r="J28" s="10"/>
      <c r="K28" s="11"/>
    </row>
    <row r="29">
      <c r="A29" s="8" t="s">
        <v>43</v>
      </c>
      <c r="B29" s="9" t="s">
        <v>17</v>
      </c>
      <c r="C29" s="9" t="s">
        <v>18</v>
      </c>
      <c r="D29" s="10"/>
      <c r="E29" s="11"/>
      <c r="F29" s="10"/>
      <c r="G29" s="11"/>
      <c r="H29" s="10"/>
      <c r="I29" s="11"/>
      <c r="J29" s="10"/>
      <c r="K29" s="11"/>
    </row>
    <row r="30">
      <c r="A30" s="8" t="s">
        <v>44</v>
      </c>
      <c r="B30" s="9" t="s">
        <v>17</v>
      </c>
      <c r="C30" s="9" t="s">
        <v>18</v>
      </c>
      <c r="D30" s="10" t="s">
        <v>37</v>
      </c>
      <c r="E30" s="11" t="n">
        <f>46040</f>
        <v>46040.0</v>
      </c>
      <c r="F30" s="10" t="s">
        <v>37</v>
      </c>
      <c r="G30" s="11" t="n">
        <f>617299129000</f>
        <v>6.17299129E11</v>
      </c>
      <c r="H30" s="10"/>
      <c r="I30" s="11" t="str">
        <f>"－"</f>
        <v>－</v>
      </c>
      <c r="J30" s="10"/>
      <c r="K30" s="11" t="n">
        <f>46976</f>
        <v>46976.0</v>
      </c>
    </row>
    <row r="31">
      <c r="A31" s="8" t="s">
        <v>45</v>
      </c>
      <c r="B31" s="9" t="s">
        <v>17</v>
      </c>
      <c r="C31" s="9" t="s">
        <v>18</v>
      </c>
      <c r="D31" s="10"/>
      <c r="E31" s="11" t="n">
        <f>44361</f>
        <v>44361.0</v>
      </c>
      <c r="F31" s="10"/>
      <c r="G31" s="11" t="n">
        <f>582526014000</f>
        <v>5.82526014E11</v>
      </c>
      <c r="H31" s="10"/>
      <c r="I31" s="11" t="str">
        <f>"－"</f>
        <v>－</v>
      </c>
      <c r="J31" s="10"/>
      <c r="K31" s="11" t="n">
        <f>45061</f>
        <v>45061.0</v>
      </c>
    </row>
    <row r="32">
      <c r="A32" s="8" t="s">
        <v>46</v>
      </c>
      <c r="B32" s="9" t="s">
        <v>17</v>
      </c>
      <c r="C32" s="9" t="s">
        <v>18</v>
      </c>
      <c r="D32" s="10"/>
      <c r="E32" s="11" t="n">
        <f>26429</f>
        <v>26429.0</v>
      </c>
      <c r="F32" s="10"/>
      <c r="G32" s="11" t="n">
        <f>343965133000</f>
        <v>3.43965133E11</v>
      </c>
      <c r="H32" s="10"/>
      <c r="I32" s="11" t="str">
        <f>"－"</f>
        <v>－</v>
      </c>
      <c r="J32" s="10"/>
      <c r="K32" s="11" t="n">
        <f>45439</f>
        <v>45439.0</v>
      </c>
    </row>
    <row r="33">
      <c r="A33" s="8" t="s">
        <v>47</v>
      </c>
      <c r="B33" s="9" t="s">
        <v>17</v>
      </c>
      <c r="C33" s="9" t="s">
        <v>18</v>
      </c>
      <c r="D33" s="10"/>
      <c r="E33" s="11" t="n">
        <f>24618</f>
        <v>24618.0</v>
      </c>
      <c r="F33" s="10"/>
      <c r="G33" s="11" t="n">
        <f>317883226000</f>
        <v>3.17883226E11</v>
      </c>
      <c r="H33" s="10"/>
      <c r="I33" s="11" t="str">
        <f>"－"</f>
        <v>－</v>
      </c>
      <c r="J33" s="10"/>
      <c r="K33" s="11" t="n">
        <f>45477</f>
        <v>45477.0</v>
      </c>
    </row>
    <row r="34">
      <c r="A34" s="8" t="s">
        <v>48</v>
      </c>
      <c r="B34" s="9" t="s">
        <v>17</v>
      </c>
      <c r="C34" s="9" t="s">
        <v>18</v>
      </c>
      <c r="D34" s="10"/>
      <c r="E34" s="11" t="n">
        <f>22551</f>
        <v>22551.0</v>
      </c>
      <c r="F34" s="10"/>
      <c r="G34" s="11" t="n">
        <f>290737395000</f>
        <v>2.90737395E11</v>
      </c>
      <c r="H34" s="10"/>
      <c r="I34" s="11" t="str">
        <f>"－"</f>
        <v>－</v>
      </c>
      <c r="J34" s="10"/>
      <c r="K34" s="11" t="n">
        <f>44708</f>
        <v>44708.0</v>
      </c>
    </row>
    <row r="35">
      <c r="A35" s="8" t="s">
        <v>49</v>
      </c>
      <c r="B35" s="9" t="s">
        <v>17</v>
      </c>
      <c r="C35" s="9" t="s">
        <v>18</v>
      </c>
      <c r="D35" s="10"/>
      <c r="E35" s="11"/>
      <c r="F35" s="10"/>
      <c r="G35" s="11"/>
      <c r="H35" s="10"/>
      <c r="I35" s="11"/>
      <c r="J35" s="10"/>
      <c r="K35" s="11"/>
    </row>
    <row r="36">
      <c r="A36" s="8" t="s">
        <v>16</v>
      </c>
      <c r="B36" s="9" t="s">
        <v>50</v>
      </c>
      <c r="C36" s="9" t="s">
        <v>51</v>
      </c>
      <c r="D36" s="10"/>
      <c r="E36" s="11" t="n">
        <f>11788</f>
        <v>11788.0</v>
      </c>
      <c r="F36" s="10"/>
      <c r="G36" s="11" t="n">
        <f>15985258750</f>
        <v>1.598525875E10</v>
      </c>
      <c r="H36" s="10" t="s">
        <v>52</v>
      </c>
      <c r="I36" s="11" t="str">
        <f>"－"</f>
        <v>－</v>
      </c>
      <c r="J36" s="10" t="s">
        <v>19</v>
      </c>
      <c r="K36" s="11" t="n">
        <f>5491</f>
        <v>5491.0</v>
      </c>
    </row>
    <row r="37">
      <c r="A37" s="8" t="s">
        <v>20</v>
      </c>
      <c r="B37" s="9" t="s">
        <v>50</v>
      </c>
      <c r="C37" s="9" t="s">
        <v>51</v>
      </c>
      <c r="D37" s="10"/>
      <c r="E37" s="11"/>
      <c r="F37" s="10"/>
      <c r="G37" s="11"/>
      <c r="H37" s="10"/>
      <c r="I37" s="11"/>
      <c r="J37" s="10"/>
      <c r="K37" s="11"/>
    </row>
    <row r="38">
      <c r="A38" s="8" t="s">
        <v>21</v>
      </c>
      <c r="B38" s="9" t="s">
        <v>50</v>
      </c>
      <c r="C38" s="9" t="s">
        <v>51</v>
      </c>
      <c r="D38" s="10"/>
      <c r="E38" s="11"/>
      <c r="F38" s="10"/>
      <c r="G38" s="11"/>
      <c r="H38" s="10"/>
      <c r="I38" s="11"/>
      <c r="J38" s="10"/>
      <c r="K38" s="11"/>
    </row>
    <row r="39">
      <c r="A39" s="8" t="s">
        <v>22</v>
      </c>
      <c r="B39" s="9" t="s">
        <v>50</v>
      </c>
      <c r="C39" s="9" t="s">
        <v>51</v>
      </c>
      <c r="D39" s="10"/>
      <c r="E39" s="11"/>
      <c r="F39" s="10"/>
      <c r="G39" s="11"/>
      <c r="H39" s="10"/>
      <c r="I39" s="11"/>
      <c r="J39" s="10"/>
      <c r="K39" s="11"/>
    </row>
    <row r="40">
      <c r="A40" s="8" t="s">
        <v>23</v>
      </c>
      <c r="B40" s="9" t="s">
        <v>50</v>
      </c>
      <c r="C40" s="9" t="s">
        <v>51</v>
      </c>
      <c r="D40" s="10"/>
      <c r="E40" s="11" t="n">
        <f>8407</f>
        <v>8407.0</v>
      </c>
      <c r="F40" s="10"/>
      <c r="G40" s="11" t="n">
        <f>11350542250</f>
        <v>1.135054225E10</v>
      </c>
      <c r="H40" s="10"/>
      <c r="I40" s="11" t="str">
        <f>"－"</f>
        <v>－</v>
      </c>
      <c r="J40" s="10"/>
      <c r="K40" s="11" t="n">
        <f>5543</f>
        <v>5543.0</v>
      </c>
    </row>
    <row r="41">
      <c r="A41" s="8" t="s">
        <v>24</v>
      </c>
      <c r="B41" s="9" t="s">
        <v>50</v>
      </c>
      <c r="C41" s="9" t="s">
        <v>51</v>
      </c>
      <c r="D41" s="10"/>
      <c r="E41" s="11" t="n">
        <f>10138</f>
        <v>10138.0</v>
      </c>
      <c r="F41" s="10"/>
      <c r="G41" s="11" t="n">
        <f>13707977050</f>
        <v>1.370797705E10</v>
      </c>
      <c r="H41" s="10"/>
      <c r="I41" s="11" t="str">
        <f>"－"</f>
        <v>－</v>
      </c>
      <c r="J41" s="10"/>
      <c r="K41" s="11" t="n">
        <f>5660</f>
        <v>5660.0</v>
      </c>
    </row>
    <row r="42">
      <c r="A42" s="8" t="s">
        <v>25</v>
      </c>
      <c r="B42" s="9" t="s">
        <v>50</v>
      </c>
      <c r="C42" s="9" t="s">
        <v>51</v>
      </c>
      <c r="D42" s="10"/>
      <c r="E42" s="11" t="n">
        <f>15285</f>
        <v>15285.0</v>
      </c>
      <c r="F42" s="10"/>
      <c r="G42" s="11" t="n">
        <f>20387481950</f>
        <v>2.038748195E10</v>
      </c>
      <c r="H42" s="10"/>
      <c r="I42" s="11" t="str">
        <f>"－"</f>
        <v>－</v>
      </c>
      <c r="J42" s="10"/>
      <c r="K42" s="11" t="n">
        <f>5884</f>
        <v>5884.0</v>
      </c>
    </row>
    <row r="43">
      <c r="A43" s="8" t="s">
        <v>26</v>
      </c>
      <c r="B43" s="9" t="s">
        <v>50</v>
      </c>
      <c r="C43" s="9" t="s">
        <v>51</v>
      </c>
      <c r="D43" s="10"/>
      <c r="E43" s="11" t="n">
        <f>8787</f>
        <v>8787.0</v>
      </c>
      <c r="F43" s="10"/>
      <c r="G43" s="11" t="n">
        <f>11698927250</f>
        <v>1.169892725E10</v>
      </c>
      <c r="H43" s="10"/>
      <c r="I43" s="11" t="str">
        <f>"－"</f>
        <v>－</v>
      </c>
      <c r="J43" s="10"/>
      <c r="K43" s="11" t="n">
        <f>6080</f>
        <v>6080.0</v>
      </c>
    </row>
    <row r="44">
      <c r="A44" s="8" t="s">
        <v>27</v>
      </c>
      <c r="B44" s="9" t="s">
        <v>50</v>
      </c>
      <c r="C44" s="9" t="s">
        <v>51</v>
      </c>
      <c r="D44" s="10"/>
      <c r="E44" s="11"/>
      <c r="F44" s="10"/>
      <c r="G44" s="11"/>
      <c r="H44" s="10"/>
      <c r="I44" s="11"/>
      <c r="J44" s="10"/>
      <c r="K44" s="11"/>
    </row>
    <row r="45">
      <c r="A45" s="8" t="s">
        <v>28</v>
      </c>
      <c r="B45" s="9" t="s">
        <v>50</v>
      </c>
      <c r="C45" s="9" t="s">
        <v>51</v>
      </c>
      <c r="D45" s="10"/>
      <c r="E45" s="11"/>
      <c r="F45" s="10"/>
      <c r="G45" s="11"/>
      <c r="H45" s="10"/>
      <c r="I45" s="11"/>
      <c r="J45" s="10"/>
      <c r="K45" s="11"/>
    </row>
    <row r="46">
      <c r="A46" s="8" t="s">
        <v>29</v>
      </c>
      <c r="B46" s="9" t="s">
        <v>50</v>
      </c>
      <c r="C46" s="9" t="s">
        <v>51</v>
      </c>
      <c r="D46" s="10" t="s">
        <v>19</v>
      </c>
      <c r="E46" s="11" t="n">
        <f>8024</f>
        <v>8024.0</v>
      </c>
      <c r="F46" s="10" t="s">
        <v>19</v>
      </c>
      <c r="G46" s="11" t="n">
        <f>10631500650</f>
        <v>1.063150065E10</v>
      </c>
      <c r="H46" s="10"/>
      <c r="I46" s="11" t="str">
        <f>"－"</f>
        <v>－</v>
      </c>
      <c r="J46" s="10"/>
      <c r="K46" s="11" t="n">
        <f>6196</f>
        <v>6196.0</v>
      </c>
    </row>
    <row r="47">
      <c r="A47" s="8" t="s">
        <v>30</v>
      </c>
      <c r="B47" s="9" t="s">
        <v>50</v>
      </c>
      <c r="C47" s="9" t="s">
        <v>51</v>
      </c>
      <c r="D47" s="10"/>
      <c r="E47" s="11" t="n">
        <f>11881</f>
        <v>11881.0</v>
      </c>
      <c r="F47" s="10"/>
      <c r="G47" s="11" t="n">
        <f>15523561750</f>
        <v>1.552356175E10</v>
      </c>
      <c r="H47" s="10"/>
      <c r="I47" s="11" t="str">
        <f>"－"</f>
        <v>－</v>
      </c>
      <c r="J47" s="10"/>
      <c r="K47" s="11" t="n">
        <f>6424</f>
        <v>6424.0</v>
      </c>
    </row>
    <row r="48">
      <c r="A48" s="8" t="s">
        <v>31</v>
      </c>
      <c r="B48" s="9" t="s">
        <v>50</v>
      </c>
      <c r="C48" s="9" t="s">
        <v>51</v>
      </c>
      <c r="D48" s="10"/>
      <c r="E48" s="11" t="n">
        <f>10688</f>
        <v>10688.0</v>
      </c>
      <c r="F48" s="10"/>
      <c r="G48" s="11" t="n">
        <f>13872625300</f>
        <v>1.38726253E10</v>
      </c>
      <c r="H48" s="10"/>
      <c r="I48" s="11" t="str">
        <f>"－"</f>
        <v>－</v>
      </c>
      <c r="J48" s="10"/>
      <c r="K48" s="11" t="n">
        <f>6598</f>
        <v>6598.0</v>
      </c>
    </row>
    <row r="49">
      <c r="A49" s="8" t="s">
        <v>32</v>
      </c>
      <c r="B49" s="9" t="s">
        <v>50</v>
      </c>
      <c r="C49" s="9" t="s">
        <v>51</v>
      </c>
      <c r="D49" s="10"/>
      <c r="E49" s="11" t="n">
        <f>9787</f>
        <v>9787.0</v>
      </c>
      <c r="F49" s="10"/>
      <c r="G49" s="11" t="n">
        <f>12703132800</f>
        <v>1.27031328E10</v>
      </c>
      <c r="H49" s="10"/>
      <c r="I49" s="11" t="str">
        <f>"－"</f>
        <v>－</v>
      </c>
      <c r="J49" s="10"/>
      <c r="K49" s="11" t="n">
        <f>6744</f>
        <v>6744.0</v>
      </c>
    </row>
    <row r="50">
      <c r="A50" s="8" t="s">
        <v>33</v>
      </c>
      <c r="B50" s="9" t="s">
        <v>50</v>
      </c>
      <c r="C50" s="9" t="s">
        <v>51</v>
      </c>
      <c r="D50" s="10"/>
      <c r="E50" s="11" t="n">
        <f>9923</f>
        <v>9923.0</v>
      </c>
      <c r="F50" s="10"/>
      <c r="G50" s="11" t="n">
        <f>12800672300</f>
        <v>1.28006723E10</v>
      </c>
      <c r="H50" s="10"/>
      <c r="I50" s="11" t="str">
        <f>"－"</f>
        <v>－</v>
      </c>
      <c r="J50" s="10"/>
      <c r="K50" s="11" t="n">
        <f>6790</f>
        <v>6790.0</v>
      </c>
    </row>
    <row r="51">
      <c r="A51" s="8" t="s">
        <v>34</v>
      </c>
      <c r="B51" s="9" t="s">
        <v>50</v>
      </c>
      <c r="C51" s="9" t="s">
        <v>51</v>
      </c>
      <c r="D51" s="10"/>
      <c r="E51" s="11"/>
      <c r="F51" s="10"/>
      <c r="G51" s="11"/>
      <c r="H51" s="10"/>
      <c r="I51" s="11"/>
      <c r="J51" s="10"/>
      <c r="K51" s="11"/>
    </row>
    <row r="52">
      <c r="A52" s="8" t="s">
        <v>35</v>
      </c>
      <c r="B52" s="9" t="s">
        <v>50</v>
      </c>
      <c r="C52" s="9" t="s">
        <v>51</v>
      </c>
      <c r="D52" s="10"/>
      <c r="E52" s="11"/>
      <c r="F52" s="10"/>
      <c r="G52" s="11"/>
      <c r="H52" s="10"/>
      <c r="I52" s="11"/>
      <c r="J52" s="10"/>
      <c r="K52" s="11"/>
    </row>
    <row r="53">
      <c r="A53" s="8" t="s">
        <v>36</v>
      </c>
      <c r="B53" s="9" t="s">
        <v>50</v>
      </c>
      <c r="C53" s="9" t="s">
        <v>51</v>
      </c>
      <c r="D53" s="10"/>
      <c r="E53" s="11" t="n">
        <f>11642</f>
        <v>11642.0</v>
      </c>
      <c r="F53" s="10"/>
      <c r="G53" s="11" t="n">
        <f>14986096250</f>
        <v>1.498609625E10</v>
      </c>
      <c r="H53" s="10"/>
      <c r="I53" s="11" t="str">
        <f>"－"</f>
        <v>－</v>
      </c>
      <c r="J53" s="10" t="s">
        <v>37</v>
      </c>
      <c r="K53" s="11" t="n">
        <f>11291</f>
        <v>11291.0</v>
      </c>
    </row>
    <row r="54">
      <c r="A54" s="8" t="s">
        <v>38</v>
      </c>
      <c r="B54" s="9" t="s">
        <v>50</v>
      </c>
      <c r="C54" s="9" t="s">
        <v>51</v>
      </c>
      <c r="D54" s="10"/>
      <c r="E54" s="11" t="n">
        <f>11222</f>
        <v>11222.0</v>
      </c>
      <c r="F54" s="10"/>
      <c r="G54" s="11" t="n">
        <f>14606868400</f>
        <v>1.46068684E10</v>
      </c>
      <c r="H54" s="10"/>
      <c r="I54" s="11" t="str">
        <f>"－"</f>
        <v>－</v>
      </c>
      <c r="J54" s="10"/>
      <c r="K54" s="11" t="n">
        <f>7011</f>
        <v>7011.0</v>
      </c>
    </row>
    <row r="55">
      <c r="A55" s="8" t="s">
        <v>39</v>
      </c>
      <c r="B55" s="9" t="s">
        <v>50</v>
      </c>
      <c r="C55" s="9" t="s">
        <v>51</v>
      </c>
      <c r="D55" s="10"/>
      <c r="E55" s="11" t="n">
        <f>16690</f>
        <v>16690.0</v>
      </c>
      <c r="F55" s="10"/>
      <c r="G55" s="11" t="n">
        <f>21858639650</f>
        <v>2.185863965E10</v>
      </c>
      <c r="H55" s="10"/>
      <c r="I55" s="11" t="str">
        <f>"－"</f>
        <v>－</v>
      </c>
      <c r="J55" s="10"/>
      <c r="K55" s="11" t="n">
        <f>7238</f>
        <v>7238.0</v>
      </c>
    </row>
    <row r="56">
      <c r="A56" s="8" t="s">
        <v>40</v>
      </c>
      <c r="B56" s="9" t="s">
        <v>50</v>
      </c>
      <c r="C56" s="9" t="s">
        <v>51</v>
      </c>
      <c r="D56" s="10"/>
      <c r="E56" s="11" t="n">
        <f>9494</f>
        <v>9494.0</v>
      </c>
      <c r="F56" s="10"/>
      <c r="G56" s="11" t="n">
        <f>12587817700</f>
        <v>1.25878177E10</v>
      </c>
      <c r="H56" s="10"/>
      <c r="I56" s="11" t="str">
        <f>"－"</f>
        <v>－</v>
      </c>
      <c r="J56" s="10"/>
      <c r="K56" s="11" t="n">
        <f>7275</f>
        <v>7275.0</v>
      </c>
    </row>
    <row r="57">
      <c r="A57" s="8" t="s">
        <v>41</v>
      </c>
      <c r="B57" s="9" t="s">
        <v>50</v>
      </c>
      <c r="C57" s="9" t="s">
        <v>51</v>
      </c>
      <c r="D57" s="10"/>
      <c r="E57" s="11" t="n">
        <f>11027</f>
        <v>11027.0</v>
      </c>
      <c r="F57" s="10"/>
      <c r="G57" s="11" t="n">
        <f>14706799150</f>
        <v>1.470679915E10</v>
      </c>
      <c r="H57" s="10"/>
      <c r="I57" s="11" t="str">
        <f>"－"</f>
        <v>－</v>
      </c>
      <c r="J57" s="10"/>
      <c r="K57" s="11" t="n">
        <f>7321</f>
        <v>7321.0</v>
      </c>
    </row>
    <row r="58">
      <c r="A58" s="8" t="s">
        <v>42</v>
      </c>
      <c r="B58" s="9" t="s">
        <v>50</v>
      </c>
      <c r="C58" s="9" t="s">
        <v>51</v>
      </c>
      <c r="D58" s="10"/>
      <c r="E58" s="11"/>
      <c r="F58" s="10"/>
      <c r="G58" s="11"/>
      <c r="H58" s="10"/>
      <c r="I58" s="11"/>
      <c r="J58" s="10"/>
      <c r="K58" s="11"/>
    </row>
    <row r="59">
      <c r="A59" s="8" t="s">
        <v>43</v>
      </c>
      <c r="B59" s="9" t="s">
        <v>50</v>
      </c>
      <c r="C59" s="9" t="s">
        <v>51</v>
      </c>
      <c r="D59" s="10"/>
      <c r="E59" s="11"/>
      <c r="F59" s="10"/>
      <c r="G59" s="11"/>
      <c r="H59" s="10"/>
      <c r="I59" s="11"/>
      <c r="J59" s="10"/>
      <c r="K59" s="11"/>
    </row>
    <row r="60">
      <c r="A60" s="8" t="s">
        <v>44</v>
      </c>
      <c r="B60" s="9" t="s">
        <v>50</v>
      </c>
      <c r="C60" s="9" t="s">
        <v>51</v>
      </c>
      <c r="D60" s="10"/>
      <c r="E60" s="11" t="n">
        <f>14992</f>
        <v>14992.0</v>
      </c>
      <c r="F60" s="10"/>
      <c r="G60" s="11" t="n">
        <f>20124494450</f>
        <v>2.012449445E10</v>
      </c>
      <c r="H60" s="10"/>
      <c r="I60" s="11" t="str">
        <f>"－"</f>
        <v>－</v>
      </c>
      <c r="J60" s="10"/>
      <c r="K60" s="11" t="n">
        <f>7592</f>
        <v>7592.0</v>
      </c>
    </row>
    <row r="61">
      <c r="A61" s="8" t="s">
        <v>45</v>
      </c>
      <c r="B61" s="9" t="s">
        <v>50</v>
      </c>
      <c r="C61" s="9" t="s">
        <v>51</v>
      </c>
      <c r="D61" s="10" t="s">
        <v>37</v>
      </c>
      <c r="E61" s="11" t="n">
        <f>18156</f>
        <v>18156.0</v>
      </c>
      <c r="F61" s="10" t="s">
        <v>37</v>
      </c>
      <c r="G61" s="11" t="n">
        <f>23847018750</f>
        <v>2.384701875E10</v>
      </c>
      <c r="H61" s="10"/>
      <c r="I61" s="11" t="str">
        <f>"－"</f>
        <v>－</v>
      </c>
      <c r="J61" s="10"/>
      <c r="K61" s="11" t="n">
        <f>7559</f>
        <v>7559.0</v>
      </c>
    </row>
    <row r="62">
      <c r="A62" s="8" t="s">
        <v>46</v>
      </c>
      <c r="B62" s="9" t="s">
        <v>50</v>
      </c>
      <c r="C62" s="9" t="s">
        <v>51</v>
      </c>
      <c r="D62" s="10"/>
      <c r="E62" s="11" t="n">
        <f>13304</f>
        <v>13304.0</v>
      </c>
      <c r="F62" s="10"/>
      <c r="G62" s="11" t="n">
        <f>17313288450</f>
        <v>1.731328845E10</v>
      </c>
      <c r="H62" s="10"/>
      <c r="I62" s="11" t="str">
        <f>"－"</f>
        <v>－</v>
      </c>
      <c r="J62" s="10"/>
      <c r="K62" s="11" t="n">
        <f>7673</f>
        <v>7673.0</v>
      </c>
    </row>
    <row r="63">
      <c r="A63" s="8" t="s">
        <v>47</v>
      </c>
      <c r="B63" s="9" t="s">
        <v>50</v>
      </c>
      <c r="C63" s="9" t="s">
        <v>51</v>
      </c>
      <c r="D63" s="10"/>
      <c r="E63" s="11" t="n">
        <f>16040</f>
        <v>16040.0</v>
      </c>
      <c r="F63" s="10"/>
      <c r="G63" s="11" t="n">
        <f>20720222100</f>
        <v>2.07202221E10</v>
      </c>
      <c r="H63" s="10"/>
      <c r="I63" s="11" t="str">
        <f>"－"</f>
        <v>－</v>
      </c>
      <c r="J63" s="10"/>
      <c r="K63" s="11" t="n">
        <f>7723</f>
        <v>7723.0</v>
      </c>
    </row>
    <row r="64">
      <c r="A64" s="8" t="s">
        <v>48</v>
      </c>
      <c r="B64" s="9" t="s">
        <v>50</v>
      </c>
      <c r="C64" s="9" t="s">
        <v>51</v>
      </c>
      <c r="D64" s="10"/>
      <c r="E64" s="11" t="n">
        <f>10184</f>
        <v>10184.0</v>
      </c>
      <c r="F64" s="10"/>
      <c r="G64" s="11" t="n">
        <f>13140338600</f>
        <v>1.31403386E10</v>
      </c>
      <c r="H64" s="10"/>
      <c r="I64" s="11" t="str">
        <f>"－"</f>
        <v>－</v>
      </c>
      <c r="J64" s="10"/>
      <c r="K64" s="11" t="n">
        <f>7834</f>
        <v>7834.0</v>
      </c>
    </row>
    <row r="65">
      <c r="A65" s="8" t="s">
        <v>49</v>
      </c>
      <c r="B65" s="9" t="s">
        <v>50</v>
      </c>
      <c r="C65" s="9" t="s">
        <v>51</v>
      </c>
      <c r="D65" s="10"/>
      <c r="E65" s="11"/>
      <c r="F65" s="10"/>
      <c r="G65" s="11"/>
      <c r="H65" s="10"/>
      <c r="I65" s="11"/>
      <c r="J65" s="10"/>
      <c r="K65" s="11"/>
    </row>
    <row r="66">
      <c r="A66" s="8" t="s">
        <v>16</v>
      </c>
      <c r="B66" s="9" t="s">
        <v>53</v>
      </c>
      <c r="C66" s="9" t="s">
        <v>54</v>
      </c>
      <c r="D66" s="10" t="s">
        <v>37</v>
      </c>
      <c r="E66" s="11" t="n">
        <f>11361</f>
        <v>11361.0</v>
      </c>
      <c r="F66" s="10" t="s">
        <v>37</v>
      </c>
      <c r="G66" s="11" t="n">
        <f>15535011200</f>
        <v>1.55350112E10</v>
      </c>
      <c r="H66" s="10" t="s">
        <v>52</v>
      </c>
      <c r="I66" s="11" t="str">
        <f>"－"</f>
        <v>－</v>
      </c>
      <c r="J66" s="10"/>
      <c r="K66" s="11" t="n">
        <f>60883</f>
        <v>60883.0</v>
      </c>
    </row>
    <row r="67">
      <c r="A67" s="8" t="s">
        <v>20</v>
      </c>
      <c r="B67" s="9" t="s">
        <v>53</v>
      </c>
      <c r="C67" s="9" t="s">
        <v>54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21</v>
      </c>
      <c r="B68" s="9" t="s">
        <v>53</v>
      </c>
      <c r="C68" s="9" t="s">
        <v>54</v>
      </c>
      <c r="D68" s="10"/>
      <c r="E68" s="11"/>
      <c r="F68" s="10"/>
      <c r="G68" s="11"/>
      <c r="H68" s="10"/>
      <c r="I68" s="11"/>
      <c r="J68" s="10"/>
      <c r="K68" s="11"/>
    </row>
    <row r="69">
      <c r="A69" s="8" t="s">
        <v>22</v>
      </c>
      <c r="B69" s="9" t="s">
        <v>53</v>
      </c>
      <c r="C69" s="9" t="s">
        <v>54</v>
      </c>
      <c r="D69" s="10"/>
      <c r="E69" s="11"/>
      <c r="F69" s="10"/>
      <c r="G69" s="11"/>
      <c r="H69" s="10"/>
      <c r="I69" s="11"/>
      <c r="J69" s="10"/>
      <c r="K69" s="11"/>
    </row>
    <row r="70">
      <c r="A70" s="8" t="s">
        <v>23</v>
      </c>
      <c r="B70" s="9" t="s">
        <v>53</v>
      </c>
      <c r="C70" s="9" t="s">
        <v>54</v>
      </c>
      <c r="D70" s="10"/>
      <c r="E70" s="11" t="n">
        <f>5048</f>
        <v>5048.0</v>
      </c>
      <c r="F70" s="10"/>
      <c r="G70" s="11" t="n">
        <f>6862333200</f>
        <v>6.8623332E9</v>
      </c>
      <c r="H70" s="10"/>
      <c r="I70" s="11" t="str">
        <f>"－"</f>
        <v>－</v>
      </c>
      <c r="J70" s="10" t="s">
        <v>19</v>
      </c>
      <c r="K70" s="11" t="n">
        <f>60047</f>
        <v>60047.0</v>
      </c>
    </row>
    <row r="71">
      <c r="A71" s="8" t="s">
        <v>24</v>
      </c>
      <c r="B71" s="9" t="s">
        <v>53</v>
      </c>
      <c r="C71" s="9" t="s">
        <v>54</v>
      </c>
      <c r="D71" s="10"/>
      <c r="E71" s="11" t="n">
        <f>6245</f>
        <v>6245.0</v>
      </c>
      <c r="F71" s="10"/>
      <c r="G71" s="11" t="n">
        <f>8530653900</f>
        <v>8.5306539E9</v>
      </c>
      <c r="H71" s="10"/>
      <c r="I71" s="11" t="str">
        <f>"－"</f>
        <v>－</v>
      </c>
      <c r="J71" s="10"/>
      <c r="K71" s="11" t="n">
        <f>60255</f>
        <v>60255.0</v>
      </c>
    </row>
    <row r="72">
      <c r="A72" s="8" t="s">
        <v>25</v>
      </c>
      <c r="B72" s="9" t="s">
        <v>53</v>
      </c>
      <c r="C72" s="9" t="s">
        <v>54</v>
      </c>
      <c r="D72" s="10"/>
      <c r="E72" s="11" t="n">
        <f>7582</f>
        <v>7582.0</v>
      </c>
      <c r="F72" s="10"/>
      <c r="G72" s="11" t="n">
        <f>10190602800</f>
        <v>1.01906028E10</v>
      </c>
      <c r="H72" s="10"/>
      <c r="I72" s="11" t="str">
        <f>"－"</f>
        <v>－</v>
      </c>
      <c r="J72" s="10"/>
      <c r="K72" s="11" t="n">
        <f>60778</f>
        <v>60778.0</v>
      </c>
    </row>
    <row r="73">
      <c r="A73" s="8" t="s">
        <v>26</v>
      </c>
      <c r="B73" s="9" t="s">
        <v>53</v>
      </c>
      <c r="C73" s="9" t="s">
        <v>54</v>
      </c>
      <c r="D73" s="10"/>
      <c r="E73" s="11" t="n">
        <f>4781</f>
        <v>4781.0</v>
      </c>
      <c r="F73" s="10"/>
      <c r="G73" s="11" t="n">
        <f>6441959000</f>
        <v>6.441959E9</v>
      </c>
      <c r="H73" s="10"/>
      <c r="I73" s="11" t="str">
        <f>"－"</f>
        <v>－</v>
      </c>
      <c r="J73" s="10"/>
      <c r="K73" s="11" t="n">
        <f>61991</f>
        <v>61991.0</v>
      </c>
    </row>
    <row r="74">
      <c r="A74" s="8" t="s">
        <v>27</v>
      </c>
      <c r="B74" s="9" t="s">
        <v>53</v>
      </c>
      <c r="C74" s="9" t="s">
        <v>54</v>
      </c>
      <c r="D74" s="10"/>
      <c r="E74" s="11"/>
      <c r="F74" s="10"/>
      <c r="G74" s="11"/>
      <c r="H74" s="10"/>
      <c r="I74" s="11"/>
      <c r="J74" s="10"/>
      <c r="K74" s="11"/>
    </row>
    <row r="75">
      <c r="A75" s="8" t="s">
        <v>28</v>
      </c>
      <c r="B75" s="9" t="s">
        <v>53</v>
      </c>
      <c r="C75" s="9" t="s">
        <v>54</v>
      </c>
      <c r="D75" s="10"/>
      <c r="E75" s="11"/>
      <c r="F75" s="10"/>
      <c r="G75" s="11"/>
      <c r="H75" s="10"/>
      <c r="I75" s="11"/>
      <c r="J75" s="10"/>
      <c r="K75" s="11"/>
    </row>
    <row r="76">
      <c r="A76" s="8" t="s">
        <v>29</v>
      </c>
      <c r="B76" s="9" t="s">
        <v>53</v>
      </c>
      <c r="C76" s="9" t="s">
        <v>54</v>
      </c>
      <c r="D76" s="10"/>
      <c r="E76" s="11" t="n">
        <f>3994</f>
        <v>3994.0</v>
      </c>
      <c r="F76" s="10"/>
      <c r="G76" s="11" t="n">
        <f>5350780400</f>
        <v>5.3507804E9</v>
      </c>
      <c r="H76" s="10"/>
      <c r="I76" s="11" t="str">
        <f>"－"</f>
        <v>－</v>
      </c>
      <c r="J76" s="10"/>
      <c r="K76" s="11" t="n">
        <f>62308</f>
        <v>62308.0</v>
      </c>
    </row>
    <row r="77">
      <c r="A77" s="8" t="s">
        <v>30</v>
      </c>
      <c r="B77" s="9" t="s">
        <v>53</v>
      </c>
      <c r="C77" s="9" t="s">
        <v>54</v>
      </c>
      <c r="D77" s="10"/>
      <c r="E77" s="11" t="n">
        <f>7696</f>
        <v>7696.0</v>
      </c>
      <c r="F77" s="10"/>
      <c r="G77" s="11" t="n">
        <f>10150976600</f>
        <v>1.01509766E10</v>
      </c>
      <c r="H77" s="10"/>
      <c r="I77" s="11" t="str">
        <f>"－"</f>
        <v>－</v>
      </c>
      <c r="J77" s="10"/>
      <c r="K77" s="11" t="n">
        <f>62912</f>
        <v>62912.0</v>
      </c>
    </row>
    <row r="78">
      <c r="A78" s="8" t="s">
        <v>31</v>
      </c>
      <c r="B78" s="9" t="s">
        <v>53</v>
      </c>
      <c r="C78" s="9" t="s">
        <v>54</v>
      </c>
      <c r="D78" s="10"/>
      <c r="E78" s="11" t="n">
        <f>5802</f>
        <v>5802.0</v>
      </c>
      <c r="F78" s="10"/>
      <c r="G78" s="11" t="n">
        <f>7623574900</f>
        <v>7.6235749E9</v>
      </c>
      <c r="H78" s="10"/>
      <c r="I78" s="11" t="str">
        <f>"－"</f>
        <v>－</v>
      </c>
      <c r="J78" s="10"/>
      <c r="K78" s="11" t="n">
        <f>62947</f>
        <v>62947.0</v>
      </c>
    </row>
    <row r="79">
      <c r="A79" s="8" t="s">
        <v>32</v>
      </c>
      <c r="B79" s="9" t="s">
        <v>53</v>
      </c>
      <c r="C79" s="9" t="s">
        <v>54</v>
      </c>
      <c r="D79" s="10"/>
      <c r="E79" s="11" t="n">
        <f>4596</f>
        <v>4596.0</v>
      </c>
      <c r="F79" s="10"/>
      <c r="G79" s="11" t="n">
        <f>6015084500</f>
        <v>6.0150845E9</v>
      </c>
      <c r="H79" s="10"/>
      <c r="I79" s="11" t="str">
        <f>"－"</f>
        <v>－</v>
      </c>
      <c r="J79" s="10"/>
      <c r="K79" s="11" t="n">
        <f>63559</f>
        <v>63559.0</v>
      </c>
    </row>
    <row r="80">
      <c r="A80" s="8" t="s">
        <v>33</v>
      </c>
      <c r="B80" s="9" t="s">
        <v>53</v>
      </c>
      <c r="C80" s="9" t="s">
        <v>54</v>
      </c>
      <c r="D80" s="10"/>
      <c r="E80" s="11" t="n">
        <f>5229</f>
        <v>5229.0</v>
      </c>
      <c r="F80" s="10"/>
      <c r="G80" s="11" t="n">
        <f>6836636800</f>
        <v>6.8366368E9</v>
      </c>
      <c r="H80" s="10"/>
      <c r="I80" s="11" t="str">
        <f>"－"</f>
        <v>－</v>
      </c>
      <c r="J80" s="10"/>
      <c r="K80" s="11" t="n">
        <f>63137</f>
        <v>63137.0</v>
      </c>
    </row>
    <row r="81">
      <c r="A81" s="8" t="s">
        <v>34</v>
      </c>
      <c r="B81" s="9" t="s">
        <v>53</v>
      </c>
      <c r="C81" s="9" t="s">
        <v>54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35</v>
      </c>
      <c r="B82" s="9" t="s">
        <v>53</v>
      </c>
      <c r="C82" s="9" t="s">
        <v>54</v>
      </c>
      <c r="D82" s="10"/>
      <c r="E82" s="11"/>
      <c r="F82" s="10"/>
      <c r="G82" s="11"/>
      <c r="H82" s="10"/>
      <c r="I82" s="11"/>
      <c r="J82" s="10"/>
      <c r="K82" s="11"/>
    </row>
    <row r="83">
      <c r="A83" s="8" t="s">
        <v>36</v>
      </c>
      <c r="B83" s="9" t="s">
        <v>53</v>
      </c>
      <c r="C83" s="9" t="s">
        <v>54</v>
      </c>
      <c r="D83" s="10"/>
      <c r="E83" s="11" t="n">
        <f>6891</f>
        <v>6891.0</v>
      </c>
      <c r="F83" s="10"/>
      <c r="G83" s="11" t="n">
        <f>8988805000</f>
        <v>8.988805E9</v>
      </c>
      <c r="H83" s="10"/>
      <c r="I83" s="11" t="str">
        <f>"－"</f>
        <v>－</v>
      </c>
      <c r="J83" s="10"/>
      <c r="K83" s="11" t="n">
        <f>65787</f>
        <v>65787.0</v>
      </c>
    </row>
    <row r="84">
      <c r="A84" s="8" t="s">
        <v>38</v>
      </c>
      <c r="B84" s="9" t="s">
        <v>53</v>
      </c>
      <c r="C84" s="9" t="s">
        <v>54</v>
      </c>
      <c r="D84" s="10"/>
      <c r="E84" s="11" t="n">
        <f>6138</f>
        <v>6138.0</v>
      </c>
      <c r="F84" s="10"/>
      <c r="G84" s="11" t="n">
        <f>8081518200</f>
        <v>8.0815182E9</v>
      </c>
      <c r="H84" s="10"/>
      <c r="I84" s="11" t="str">
        <f>"－"</f>
        <v>－</v>
      </c>
      <c r="J84" s="10"/>
      <c r="K84" s="11" t="n">
        <f>64582</f>
        <v>64582.0</v>
      </c>
    </row>
    <row r="85">
      <c r="A85" s="8" t="s">
        <v>39</v>
      </c>
      <c r="B85" s="9" t="s">
        <v>53</v>
      </c>
      <c r="C85" s="9" t="s">
        <v>54</v>
      </c>
      <c r="D85" s="10"/>
      <c r="E85" s="11" t="n">
        <f>7923</f>
        <v>7923.0</v>
      </c>
      <c r="F85" s="10"/>
      <c r="G85" s="11" t="n">
        <f>10545859700</f>
        <v>1.05458597E10</v>
      </c>
      <c r="H85" s="10"/>
      <c r="I85" s="11" t="str">
        <f>"－"</f>
        <v>－</v>
      </c>
      <c r="J85" s="10"/>
      <c r="K85" s="11" t="n">
        <f>67517</f>
        <v>67517.0</v>
      </c>
    </row>
    <row r="86">
      <c r="A86" s="8" t="s">
        <v>40</v>
      </c>
      <c r="B86" s="9" t="s">
        <v>53</v>
      </c>
      <c r="C86" s="9" t="s">
        <v>54</v>
      </c>
      <c r="D86" s="10"/>
      <c r="E86" s="11" t="n">
        <f>6126</f>
        <v>6126.0</v>
      </c>
      <c r="F86" s="10"/>
      <c r="G86" s="11" t="n">
        <f>8242609500</f>
        <v>8.2426095E9</v>
      </c>
      <c r="H86" s="10"/>
      <c r="I86" s="11" t="str">
        <f>"－"</f>
        <v>－</v>
      </c>
      <c r="J86" s="10"/>
      <c r="K86" s="11" t="n">
        <f>67569</f>
        <v>67569.0</v>
      </c>
    </row>
    <row r="87">
      <c r="A87" s="8" t="s">
        <v>41</v>
      </c>
      <c r="B87" s="9" t="s">
        <v>53</v>
      </c>
      <c r="C87" s="9" t="s">
        <v>54</v>
      </c>
      <c r="D87" s="10"/>
      <c r="E87" s="11" t="n">
        <f>4921</f>
        <v>4921.0</v>
      </c>
      <c r="F87" s="10"/>
      <c r="G87" s="11" t="n">
        <f>6656542600</f>
        <v>6.6565426E9</v>
      </c>
      <c r="H87" s="10"/>
      <c r="I87" s="11" t="str">
        <f>"－"</f>
        <v>－</v>
      </c>
      <c r="J87" s="10"/>
      <c r="K87" s="11" t="n">
        <f>68067</f>
        <v>68067.0</v>
      </c>
    </row>
    <row r="88">
      <c r="A88" s="8" t="s">
        <v>42</v>
      </c>
      <c r="B88" s="9" t="s">
        <v>53</v>
      </c>
      <c r="C88" s="9" t="s">
        <v>54</v>
      </c>
      <c r="D88" s="10"/>
      <c r="E88" s="11"/>
      <c r="F88" s="10"/>
      <c r="G88" s="11"/>
      <c r="H88" s="10"/>
      <c r="I88" s="11"/>
      <c r="J88" s="10"/>
      <c r="K88" s="11"/>
    </row>
    <row r="89">
      <c r="A89" s="8" t="s">
        <v>43</v>
      </c>
      <c r="B89" s="9" t="s">
        <v>53</v>
      </c>
      <c r="C89" s="9" t="s">
        <v>54</v>
      </c>
      <c r="D89" s="10"/>
      <c r="E89" s="11"/>
      <c r="F89" s="10"/>
      <c r="G89" s="11"/>
      <c r="H89" s="10"/>
      <c r="I89" s="11"/>
      <c r="J89" s="10"/>
      <c r="K89" s="11"/>
    </row>
    <row r="90">
      <c r="A90" s="8" t="s">
        <v>44</v>
      </c>
      <c r="B90" s="9" t="s">
        <v>53</v>
      </c>
      <c r="C90" s="9" t="s">
        <v>54</v>
      </c>
      <c r="D90" s="10"/>
      <c r="E90" s="11" t="n">
        <f>8483</f>
        <v>8483.0</v>
      </c>
      <c r="F90" s="10"/>
      <c r="G90" s="11" t="n">
        <f>11529301800</f>
        <v>1.15293018E10</v>
      </c>
      <c r="H90" s="10"/>
      <c r="I90" s="11" t="str">
        <f>"－"</f>
        <v>－</v>
      </c>
      <c r="J90" s="10" t="s">
        <v>37</v>
      </c>
      <c r="K90" s="11" t="n">
        <f>69121</f>
        <v>69121.0</v>
      </c>
    </row>
    <row r="91">
      <c r="A91" s="8" t="s">
        <v>45</v>
      </c>
      <c r="B91" s="9" t="s">
        <v>53</v>
      </c>
      <c r="C91" s="9" t="s">
        <v>54</v>
      </c>
      <c r="D91" s="10"/>
      <c r="E91" s="11" t="n">
        <f>9169</f>
        <v>9169.0</v>
      </c>
      <c r="F91" s="10"/>
      <c r="G91" s="11" t="n">
        <f>12225210900</f>
        <v>1.22252109E10</v>
      </c>
      <c r="H91" s="10"/>
      <c r="I91" s="11" t="str">
        <f>"－"</f>
        <v>－</v>
      </c>
      <c r="J91" s="10"/>
      <c r="K91" s="11" t="n">
        <f>68045</f>
        <v>68045.0</v>
      </c>
    </row>
    <row r="92">
      <c r="A92" s="8" t="s">
        <v>46</v>
      </c>
      <c r="B92" s="9" t="s">
        <v>53</v>
      </c>
      <c r="C92" s="9" t="s">
        <v>54</v>
      </c>
      <c r="D92" s="10"/>
      <c r="E92" s="11" t="n">
        <f>4115</f>
        <v>4115.0</v>
      </c>
      <c r="F92" s="10"/>
      <c r="G92" s="11" t="n">
        <f>5433016800</f>
        <v>5.4330168E9</v>
      </c>
      <c r="H92" s="10"/>
      <c r="I92" s="11" t="str">
        <f>"－"</f>
        <v>－</v>
      </c>
      <c r="J92" s="10"/>
      <c r="K92" s="11" t="n">
        <f>68141</f>
        <v>68141.0</v>
      </c>
    </row>
    <row r="93">
      <c r="A93" s="8" t="s">
        <v>47</v>
      </c>
      <c r="B93" s="9" t="s">
        <v>53</v>
      </c>
      <c r="C93" s="9" t="s">
        <v>54</v>
      </c>
      <c r="D93" s="10"/>
      <c r="E93" s="11" t="n">
        <f>5113</f>
        <v>5113.0</v>
      </c>
      <c r="F93" s="10"/>
      <c r="G93" s="11" t="n">
        <f>6703120900</f>
        <v>6.7031209E9</v>
      </c>
      <c r="H93" s="10"/>
      <c r="I93" s="11" t="str">
        <f>"－"</f>
        <v>－</v>
      </c>
      <c r="J93" s="10"/>
      <c r="K93" s="11" t="n">
        <f>68712</f>
        <v>68712.0</v>
      </c>
    </row>
    <row r="94">
      <c r="A94" s="8" t="s">
        <v>48</v>
      </c>
      <c r="B94" s="9" t="s">
        <v>53</v>
      </c>
      <c r="C94" s="9" t="s">
        <v>54</v>
      </c>
      <c r="D94" s="10" t="s">
        <v>19</v>
      </c>
      <c r="E94" s="11" t="n">
        <f>3707</f>
        <v>3707.0</v>
      </c>
      <c r="F94" s="10" t="s">
        <v>19</v>
      </c>
      <c r="G94" s="11" t="n">
        <f>4866251400</f>
        <v>4.8662514E9</v>
      </c>
      <c r="H94" s="10"/>
      <c r="I94" s="11" t="str">
        <f>"－"</f>
        <v>－</v>
      </c>
      <c r="J94" s="10"/>
      <c r="K94" s="11" t="n">
        <f>68558</f>
        <v>68558.0</v>
      </c>
    </row>
    <row r="95">
      <c r="A95" s="8" t="s">
        <v>49</v>
      </c>
      <c r="B95" s="9" t="s">
        <v>53</v>
      </c>
      <c r="C95" s="9" t="s">
        <v>54</v>
      </c>
      <c r="D95" s="10"/>
      <c r="E95" s="11"/>
      <c r="F95" s="10"/>
      <c r="G95" s="11"/>
      <c r="H95" s="10"/>
      <c r="I95" s="11"/>
      <c r="J95" s="10"/>
      <c r="K95" s="11"/>
    </row>
    <row r="96">
      <c r="A96" s="8" t="s">
        <v>16</v>
      </c>
      <c r="B96" s="9" t="s">
        <v>55</v>
      </c>
      <c r="C96" s="9" t="s">
        <v>56</v>
      </c>
      <c r="D96" s="10"/>
      <c r="E96" s="11" t="n">
        <f>19</f>
        <v>19.0</v>
      </c>
      <c r="F96" s="10"/>
      <c r="G96" s="11" t="n">
        <f>92505000</f>
        <v>9.2505E7</v>
      </c>
      <c r="H96" s="10" t="s">
        <v>52</v>
      </c>
      <c r="I96" s="11" t="str">
        <f>"－"</f>
        <v>－</v>
      </c>
      <c r="J96" s="10" t="s">
        <v>19</v>
      </c>
      <c r="K96" s="11" t="n">
        <f>155</f>
        <v>155.0</v>
      </c>
    </row>
    <row r="97">
      <c r="A97" s="8" t="s">
        <v>20</v>
      </c>
      <c r="B97" s="9" t="s">
        <v>55</v>
      </c>
      <c r="C97" s="9" t="s">
        <v>56</v>
      </c>
      <c r="D97" s="10"/>
      <c r="E97" s="11"/>
      <c r="F97" s="10"/>
      <c r="G97" s="11"/>
      <c r="H97" s="10"/>
      <c r="I97" s="11"/>
      <c r="J97" s="10"/>
      <c r="K97" s="11"/>
    </row>
    <row r="98">
      <c r="A98" s="8" t="s">
        <v>21</v>
      </c>
      <c r="B98" s="9" t="s">
        <v>55</v>
      </c>
      <c r="C98" s="9" t="s">
        <v>56</v>
      </c>
      <c r="D98" s="10"/>
      <c r="E98" s="11"/>
      <c r="F98" s="10"/>
      <c r="G98" s="11"/>
      <c r="H98" s="10"/>
      <c r="I98" s="11"/>
      <c r="J98" s="10"/>
      <c r="K98" s="11"/>
    </row>
    <row r="99">
      <c r="A99" s="8" t="s">
        <v>22</v>
      </c>
      <c r="B99" s="9" t="s">
        <v>55</v>
      </c>
      <c r="C99" s="9" t="s">
        <v>56</v>
      </c>
      <c r="D99" s="10"/>
      <c r="E99" s="11"/>
      <c r="F99" s="10"/>
      <c r="G99" s="11"/>
      <c r="H99" s="10"/>
      <c r="I99" s="11"/>
      <c r="J99" s="10"/>
      <c r="K99" s="11"/>
    </row>
    <row r="100">
      <c r="A100" s="8" t="s">
        <v>23</v>
      </c>
      <c r="B100" s="9" t="s">
        <v>55</v>
      </c>
      <c r="C100" s="9" t="s">
        <v>56</v>
      </c>
      <c r="D100" s="10"/>
      <c r="E100" s="11" t="n">
        <f>7</f>
        <v>7.0</v>
      </c>
      <c r="F100" s="10"/>
      <c r="G100" s="11" t="n">
        <f>33666000</f>
        <v>3.3666E7</v>
      </c>
      <c r="H100" s="10"/>
      <c r="I100" s="11" t="str">
        <f>"－"</f>
        <v>－</v>
      </c>
      <c r="J100" s="10"/>
      <c r="K100" s="11" t="n">
        <f>156</f>
        <v>156.0</v>
      </c>
    </row>
    <row r="101">
      <c r="A101" s="8" t="s">
        <v>24</v>
      </c>
      <c r="B101" s="9" t="s">
        <v>55</v>
      </c>
      <c r="C101" s="9" t="s">
        <v>56</v>
      </c>
      <c r="D101" s="10"/>
      <c r="E101" s="11" t="n">
        <f>2</f>
        <v>2.0</v>
      </c>
      <c r="F101" s="10"/>
      <c r="G101" s="11" t="n">
        <f>9621000</f>
        <v>9621000.0</v>
      </c>
      <c r="H101" s="10"/>
      <c r="I101" s="11" t="str">
        <f>"－"</f>
        <v>－</v>
      </c>
      <c r="J101" s="10"/>
      <c r="K101" s="11" t="n">
        <f>156</f>
        <v>156.0</v>
      </c>
    </row>
    <row r="102">
      <c r="A102" s="8" t="s">
        <v>25</v>
      </c>
      <c r="B102" s="9" t="s">
        <v>55</v>
      </c>
      <c r="C102" s="9" t="s">
        <v>56</v>
      </c>
      <c r="D102" s="10"/>
      <c r="E102" s="11" t="n">
        <f>5</f>
        <v>5.0</v>
      </c>
      <c r="F102" s="10"/>
      <c r="G102" s="11" t="n">
        <f>23277000</f>
        <v>2.3277E7</v>
      </c>
      <c r="H102" s="10"/>
      <c r="I102" s="11" t="str">
        <f>"－"</f>
        <v>－</v>
      </c>
      <c r="J102" s="10"/>
      <c r="K102" s="11" t="n">
        <f>159</f>
        <v>159.0</v>
      </c>
    </row>
    <row r="103">
      <c r="A103" s="8" t="s">
        <v>26</v>
      </c>
      <c r="B103" s="9" t="s">
        <v>55</v>
      </c>
      <c r="C103" s="9" t="s">
        <v>56</v>
      </c>
      <c r="D103" s="10"/>
      <c r="E103" s="11" t="n">
        <f>3</f>
        <v>3.0</v>
      </c>
      <c r="F103" s="10"/>
      <c r="G103" s="11" t="n">
        <f>14079000</f>
        <v>1.4079E7</v>
      </c>
      <c r="H103" s="10"/>
      <c r="I103" s="11" t="str">
        <f>"－"</f>
        <v>－</v>
      </c>
      <c r="J103" s="10"/>
      <c r="K103" s="11" t="n">
        <f>158</f>
        <v>158.0</v>
      </c>
    </row>
    <row r="104">
      <c r="A104" s="8" t="s">
        <v>27</v>
      </c>
      <c r="B104" s="9" t="s">
        <v>55</v>
      </c>
      <c r="C104" s="9" t="s">
        <v>56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28</v>
      </c>
      <c r="B105" s="9" t="s">
        <v>55</v>
      </c>
      <c r="C105" s="9" t="s">
        <v>56</v>
      </c>
      <c r="D105" s="10"/>
      <c r="E105" s="11"/>
      <c r="F105" s="10"/>
      <c r="G105" s="11"/>
      <c r="H105" s="10"/>
      <c r="I105" s="11"/>
      <c r="J105" s="10"/>
      <c r="K105" s="11"/>
    </row>
    <row r="106">
      <c r="A106" s="8" t="s">
        <v>29</v>
      </c>
      <c r="B106" s="9" t="s">
        <v>55</v>
      </c>
      <c r="C106" s="9" t="s">
        <v>56</v>
      </c>
      <c r="D106" s="10"/>
      <c r="E106" s="11" t="n">
        <f>2</f>
        <v>2.0</v>
      </c>
      <c r="F106" s="10"/>
      <c r="G106" s="11" t="n">
        <f>9180000</f>
        <v>9180000.0</v>
      </c>
      <c r="H106" s="10"/>
      <c r="I106" s="11" t="str">
        <f>"－"</f>
        <v>－</v>
      </c>
      <c r="J106" s="10"/>
      <c r="K106" s="11" t="n">
        <f>156</f>
        <v>156.0</v>
      </c>
    </row>
    <row r="107">
      <c r="A107" s="8" t="s">
        <v>30</v>
      </c>
      <c r="B107" s="9" t="s">
        <v>55</v>
      </c>
      <c r="C107" s="9" t="s">
        <v>56</v>
      </c>
      <c r="D107" s="10"/>
      <c r="E107" s="11" t="n">
        <f>2</f>
        <v>2.0</v>
      </c>
      <c r="F107" s="10"/>
      <c r="G107" s="11" t="n">
        <f>9312000</f>
        <v>9312000.0</v>
      </c>
      <c r="H107" s="10"/>
      <c r="I107" s="11" t="str">
        <f>"－"</f>
        <v>－</v>
      </c>
      <c r="J107" s="10"/>
      <c r="K107" s="11" t="n">
        <f>157</f>
        <v>157.0</v>
      </c>
    </row>
    <row r="108">
      <c r="A108" s="8" t="s">
        <v>31</v>
      </c>
      <c r="B108" s="9" t="s">
        <v>55</v>
      </c>
      <c r="C108" s="9" t="s">
        <v>56</v>
      </c>
      <c r="D108" s="10" t="s">
        <v>19</v>
      </c>
      <c r="E108" s="11" t="str">
        <f>"－"</f>
        <v>－</v>
      </c>
      <c r="F108" s="10" t="s">
        <v>19</v>
      </c>
      <c r="G108" s="11" t="str">
        <f>"－"</f>
        <v>－</v>
      </c>
      <c r="H108" s="10"/>
      <c r="I108" s="11" t="str">
        <f>"－"</f>
        <v>－</v>
      </c>
      <c r="J108" s="10"/>
      <c r="K108" s="11" t="n">
        <f>157</f>
        <v>157.0</v>
      </c>
    </row>
    <row r="109">
      <c r="A109" s="8" t="s">
        <v>32</v>
      </c>
      <c r="B109" s="9" t="s">
        <v>55</v>
      </c>
      <c r="C109" s="9" t="s">
        <v>56</v>
      </c>
      <c r="D109" s="10"/>
      <c r="E109" s="11" t="str">
        <f>"－"</f>
        <v>－</v>
      </c>
      <c r="F109" s="10"/>
      <c r="G109" s="11" t="str">
        <f>"－"</f>
        <v>－</v>
      </c>
      <c r="H109" s="10"/>
      <c r="I109" s="11" t="str">
        <f>"－"</f>
        <v>－</v>
      </c>
      <c r="J109" s="10"/>
      <c r="K109" s="11" t="n">
        <f>157</f>
        <v>157.0</v>
      </c>
    </row>
    <row r="110">
      <c r="A110" s="8" t="s">
        <v>33</v>
      </c>
      <c r="B110" s="9" t="s">
        <v>55</v>
      </c>
      <c r="C110" s="9" t="s">
        <v>56</v>
      </c>
      <c r="D110" s="10"/>
      <c r="E110" s="11" t="str">
        <f>"－"</f>
        <v>－</v>
      </c>
      <c r="F110" s="10"/>
      <c r="G110" s="11" t="str">
        <f>"－"</f>
        <v>－</v>
      </c>
      <c r="H110" s="10"/>
      <c r="I110" s="11" t="str">
        <f>"－"</f>
        <v>－</v>
      </c>
      <c r="J110" s="10"/>
      <c r="K110" s="11" t="n">
        <f>157</f>
        <v>157.0</v>
      </c>
    </row>
    <row r="111">
      <c r="A111" s="8" t="s">
        <v>34</v>
      </c>
      <c r="B111" s="9" t="s">
        <v>55</v>
      </c>
      <c r="C111" s="9" t="s">
        <v>56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35</v>
      </c>
      <c r="B112" s="9" t="s">
        <v>55</v>
      </c>
      <c r="C112" s="9" t="s">
        <v>56</v>
      </c>
      <c r="D112" s="10"/>
      <c r="E112" s="11"/>
      <c r="F112" s="10"/>
      <c r="G112" s="11"/>
      <c r="H112" s="10"/>
      <c r="I112" s="11"/>
      <c r="J112" s="10"/>
      <c r="K112" s="11"/>
    </row>
    <row r="113">
      <c r="A113" s="8" t="s">
        <v>36</v>
      </c>
      <c r="B113" s="9" t="s">
        <v>55</v>
      </c>
      <c r="C113" s="9" t="s">
        <v>56</v>
      </c>
      <c r="D113" s="10"/>
      <c r="E113" s="11" t="n">
        <f>1</f>
        <v>1.0</v>
      </c>
      <c r="F113" s="10"/>
      <c r="G113" s="11" t="n">
        <f>4611000</f>
        <v>4611000.0</v>
      </c>
      <c r="H113" s="10"/>
      <c r="I113" s="11" t="str">
        <f>"－"</f>
        <v>－</v>
      </c>
      <c r="J113" s="10"/>
      <c r="K113" s="11" t="n">
        <f>158</f>
        <v>158.0</v>
      </c>
    </row>
    <row r="114">
      <c r="A114" s="8" t="s">
        <v>38</v>
      </c>
      <c r="B114" s="9" t="s">
        <v>55</v>
      </c>
      <c r="C114" s="9" t="s">
        <v>56</v>
      </c>
      <c r="D114" s="10"/>
      <c r="E114" s="11" t="n">
        <f>1</f>
        <v>1.0</v>
      </c>
      <c r="F114" s="10"/>
      <c r="G114" s="11" t="n">
        <f>4653000</f>
        <v>4653000.0</v>
      </c>
      <c r="H114" s="10"/>
      <c r="I114" s="11" t="str">
        <f>"－"</f>
        <v>－</v>
      </c>
      <c r="J114" s="10"/>
      <c r="K114" s="11" t="n">
        <f>158</f>
        <v>158.0</v>
      </c>
    </row>
    <row r="115">
      <c r="A115" s="8" t="s">
        <v>39</v>
      </c>
      <c r="B115" s="9" t="s">
        <v>55</v>
      </c>
      <c r="C115" s="9" t="s">
        <v>56</v>
      </c>
      <c r="D115" s="10"/>
      <c r="E115" s="11" t="str">
        <f>"－"</f>
        <v>－</v>
      </c>
      <c r="F115" s="10"/>
      <c r="G115" s="11" t="str">
        <f>"－"</f>
        <v>－</v>
      </c>
      <c r="H115" s="10"/>
      <c r="I115" s="11" t="str">
        <f>"－"</f>
        <v>－</v>
      </c>
      <c r="J115" s="10"/>
      <c r="K115" s="11" t="n">
        <f>158</f>
        <v>158.0</v>
      </c>
    </row>
    <row r="116">
      <c r="A116" s="8" t="s">
        <v>40</v>
      </c>
      <c r="B116" s="9" t="s">
        <v>55</v>
      </c>
      <c r="C116" s="9" t="s">
        <v>56</v>
      </c>
      <c r="D116" s="10"/>
      <c r="E116" s="11" t="n">
        <f>7</f>
        <v>7.0</v>
      </c>
      <c r="F116" s="10"/>
      <c r="G116" s="11" t="n">
        <f>33189000</f>
        <v>3.3189E7</v>
      </c>
      <c r="H116" s="10"/>
      <c r="I116" s="11" t="str">
        <f>"－"</f>
        <v>－</v>
      </c>
      <c r="J116" s="10"/>
      <c r="K116" s="11" t="n">
        <f>159</f>
        <v>159.0</v>
      </c>
    </row>
    <row r="117">
      <c r="A117" s="8" t="s">
        <v>41</v>
      </c>
      <c r="B117" s="9" t="s">
        <v>55</v>
      </c>
      <c r="C117" s="9" t="s">
        <v>56</v>
      </c>
      <c r="D117" s="10"/>
      <c r="E117" s="11" t="n">
        <f>9</f>
        <v>9.0</v>
      </c>
      <c r="F117" s="10"/>
      <c r="G117" s="11" t="n">
        <f>42147000</f>
        <v>4.2147E7</v>
      </c>
      <c r="H117" s="10"/>
      <c r="I117" s="11" t="str">
        <f>"－"</f>
        <v>－</v>
      </c>
      <c r="J117" s="10"/>
      <c r="K117" s="11" t="n">
        <f>162</f>
        <v>162.0</v>
      </c>
    </row>
    <row r="118">
      <c r="A118" s="8" t="s">
        <v>42</v>
      </c>
      <c r="B118" s="9" t="s">
        <v>55</v>
      </c>
      <c r="C118" s="9" t="s">
        <v>56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43</v>
      </c>
      <c r="B119" s="9" t="s">
        <v>55</v>
      </c>
      <c r="C119" s="9" t="s">
        <v>56</v>
      </c>
      <c r="D119" s="10"/>
      <c r="E119" s="11"/>
      <c r="F119" s="10"/>
      <c r="G119" s="11"/>
      <c r="H119" s="10"/>
      <c r="I119" s="11"/>
      <c r="J119" s="10"/>
      <c r="K119" s="11"/>
    </row>
    <row r="120">
      <c r="A120" s="8" t="s">
        <v>44</v>
      </c>
      <c r="B120" s="9" t="s">
        <v>55</v>
      </c>
      <c r="C120" s="9" t="s">
        <v>56</v>
      </c>
      <c r="D120" s="10" t="s">
        <v>37</v>
      </c>
      <c r="E120" s="11" t="n">
        <f>20</f>
        <v>20.0</v>
      </c>
      <c r="F120" s="10" t="s">
        <v>37</v>
      </c>
      <c r="G120" s="11" t="n">
        <f>95529000</f>
        <v>9.5529E7</v>
      </c>
      <c r="H120" s="10"/>
      <c r="I120" s="11" t="str">
        <f>"－"</f>
        <v>－</v>
      </c>
      <c r="J120" s="10"/>
      <c r="K120" s="11" t="n">
        <f>173</f>
        <v>173.0</v>
      </c>
    </row>
    <row r="121">
      <c r="A121" s="8" t="s">
        <v>45</v>
      </c>
      <c r="B121" s="9" t="s">
        <v>55</v>
      </c>
      <c r="C121" s="9" t="s">
        <v>56</v>
      </c>
      <c r="D121" s="10"/>
      <c r="E121" s="11" t="n">
        <f>8</f>
        <v>8.0</v>
      </c>
      <c r="F121" s="10"/>
      <c r="G121" s="11" t="n">
        <f>36171000</f>
        <v>3.6171E7</v>
      </c>
      <c r="H121" s="10"/>
      <c r="I121" s="11" t="str">
        <f>"－"</f>
        <v>－</v>
      </c>
      <c r="J121" s="10"/>
      <c r="K121" s="11" t="n">
        <f>174</f>
        <v>174.0</v>
      </c>
    </row>
    <row r="122">
      <c r="A122" s="8" t="s">
        <v>46</v>
      </c>
      <c r="B122" s="9" t="s">
        <v>55</v>
      </c>
      <c r="C122" s="9" t="s">
        <v>56</v>
      </c>
      <c r="D122" s="10"/>
      <c r="E122" s="11" t="n">
        <f>7</f>
        <v>7.0</v>
      </c>
      <c r="F122" s="10"/>
      <c r="G122" s="11" t="n">
        <f>31002000</f>
        <v>3.1002E7</v>
      </c>
      <c r="H122" s="10"/>
      <c r="I122" s="11" t="str">
        <f>"－"</f>
        <v>－</v>
      </c>
      <c r="J122" s="10"/>
      <c r="K122" s="11" t="n">
        <f>172</f>
        <v>172.0</v>
      </c>
    </row>
    <row r="123">
      <c r="A123" s="8" t="s">
        <v>47</v>
      </c>
      <c r="B123" s="9" t="s">
        <v>55</v>
      </c>
      <c r="C123" s="9" t="s">
        <v>56</v>
      </c>
      <c r="D123" s="10"/>
      <c r="E123" s="11" t="n">
        <f>5</f>
        <v>5.0</v>
      </c>
      <c r="F123" s="10"/>
      <c r="G123" s="11" t="n">
        <f>22245000</f>
        <v>2.2245E7</v>
      </c>
      <c r="H123" s="10"/>
      <c r="I123" s="11" t="str">
        <f>"－"</f>
        <v>－</v>
      </c>
      <c r="J123" s="10" t="s">
        <v>37</v>
      </c>
      <c r="K123" s="11" t="n">
        <f>177</f>
        <v>177.0</v>
      </c>
    </row>
    <row r="124">
      <c r="A124" s="8" t="s">
        <v>48</v>
      </c>
      <c r="B124" s="9" t="s">
        <v>55</v>
      </c>
      <c r="C124" s="9" t="s">
        <v>56</v>
      </c>
      <c r="D124" s="10"/>
      <c r="E124" s="11" t="str">
        <f>"－"</f>
        <v>－</v>
      </c>
      <c r="F124" s="10"/>
      <c r="G124" s="11" t="str">
        <f>"－"</f>
        <v>－</v>
      </c>
      <c r="H124" s="10"/>
      <c r="I124" s="11" t="str">
        <f>"－"</f>
        <v>－</v>
      </c>
      <c r="J124" s="10"/>
      <c r="K124" s="11" t="n">
        <f>177</f>
        <v>177.0</v>
      </c>
    </row>
    <row r="125">
      <c r="A125" s="8" t="s">
        <v>49</v>
      </c>
      <c r="B125" s="9" t="s">
        <v>55</v>
      </c>
      <c r="C125" s="9" t="s">
        <v>56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16</v>
      </c>
      <c r="B126" s="9" t="s">
        <v>57</v>
      </c>
      <c r="C126" s="9" t="s">
        <v>58</v>
      </c>
      <c r="D126" s="10" t="s">
        <v>37</v>
      </c>
      <c r="E126" s="11" t="n">
        <f>14012</f>
        <v>14012.0</v>
      </c>
      <c r="F126" s="10" t="s">
        <v>37</v>
      </c>
      <c r="G126" s="11" t="n">
        <f>34126226500</f>
        <v>3.41262265E10</v>
      </c>
      <c r="H126" s="10" t="s">
        <v>19</v>
      </c>
      <c r="I126" s="11" t="str">
        <f>"－"</f>
        <v>－</v>
      </c>
      <c r="J126" s="10"/>
      <c r="K126" s="11" t="n">
        <f>26960</f>
        <v>26960.0</v>
      </c>
    </row>
    <row r="127">
      <c r="A127" s="8" t="s">
        <v>20</v>
      </c>
      <c r="B127" s="9" t="s">
        <v>57</v>
      </c>
      <c r="C127" s="9" t="s">
        <v>58</v>
      </c>
      <c r="D127" s="10"/>
      <c r="E127" s="11"/>
      <c r="F127" s="10"/>
      <c r="G127" s="11"/>
      <c r="H127" s="10"/>
      <c r="I127" s="11"/>
      <c r="J127" s="10"/>
      <c r="K127" s="11"/>
    </row>
    <row r="128">
      <c r="A128" s="8" t="s">
        <v>21</v>
      </c>
      <c r="B128" s="9" t="s">
        <v>57</v>
      </c>
      <c r="C128" s="9" t="s">
        <v>58</v>
      </c>
      <c r="D128" s="10"/>
      <c r="E128" s="11"/>
      <c r="F128" s="10"/>
      <c r="G128" s="11"/>
      <c r="H128" s="10"/>
      <c r="I128" s="11"/>
      <c r="J128" s="10"/>
      <c r="K128" s="11"/>
    </row>
    <row r="129">
      <c r="A129" s="8" t="s">
        <v>22</v>
      </c>
      <c r="B129" s="9" t="s">
        <v>57</v>
      </c>
      <c r="C129" s="9" t="s">
        <v>58</v>
      </c>
      <c r="D129" s="10"/>
      <c r="E129" s="11"/>
      <c r="F129" s="10"/>
      <c r="G129" s="11"/>
      <c r="H129" s="10"/>
      <c r="I129" s="11"/>
      <c r="J129" s="10"/>
      <c r="K129" s="11"/>
    </row>
    <row r="130">
      <c r="A130" s="8" t="s">
        <v>23</v>
      </c>
      <c r="B130" s="9" t="s">
        <v>57</v>
      </c>
      <c r="C130" s="9" t="s">
        <v>58</v>
      </c>
      <c r="D130" s="10"/>
      <c r="E130" s="11" t="n">
        <f>7349</f>
        <v>7349.0</v>
      </c>
      <c r="F130" s="10"/>
      <c r="G130" s="11" t="n">
        <f>17772492000</f>
        <v>1.7772492E10</v>
      </c>
      <c r="H130" s="10"/>
      <c r="I130" s="11" t="str">
        <f>"－"</f>
        <v>－</v>
      </c>
      <c r="J130" s="10"/>
      <c r="K130" s="11" t="n">
        <f>26839</f>
        <v>26839.0</v>
      </c>
    </row>
    <row r="131">
      <c r="A131" s="8" t="s">
        <v>24</v>
      </c>
      <c r="B131" s="9" t="s">
        <v>57</v>
      </c>
      <c r="C131" s="9" t="s">
        <v>58</v>
      </c>
      <c r="D131" s="10"/>
      <c r="E131" s="11" t="n">
        <f>8002</f>
        <v>8002.0</v>
      </c>
      <c r="F131" s="10"/>
      <c r="G131" s="11" t="n">
        <f>19480296000</f>
        <v>1.9480296E10</v>
      </c>
      <c r="H131" s="10"/>
      <c r="I131" s="11" t="str">
        <f>"－"</f>
        <v>－</v>
      </c>
      <c r="J131" s="10"/>
      <c r="K131" s="11" t="n">
        <f>27025</f>
        <v>27025.0</v>
      </c>
    </row>
    <row r="132">
      <c r="A132" s="8" t="s">
        <v>25</v>
      </c>
      <c r="B132" s="9" t="s">
        <v>57</v>
      </c>
      <c r="C132" s="9" t="s">
        <v>58</v>
      </c>
      <c r="D132" s="10"/>
      <c r="E132" s="11" t="n">
        <f>11823</f>
        <v>11823.0</v>
      </c>
      <c r="F132" s="10"/>
      <c r="G132" s="11" t="n">
        <f>28729305500</f>
        <v>2.87293055E10</v>
      </c>
      <c r="H132" s="10"/>
      <c r="I132" s="11" t="str">
        <f>"－"</f>
        <v>－</v>
      </c>
      <c r="J132" s="10" t="s">
        <v>19</v>
      </c>
      <c r="K132" s="11" t="n">
        <f>26627</f>
        <v>26627.0</v>
      </c>
    </row>
    <row r="133">
      <c r="A133" s="8" t="s">
        <v>26</v>
      </c>
      <c r="B133" s="9" t="s">
        <v>57</v>
      </c>
      <c r="C133" s="9" t="s">
        <v>58</v>
      </c>
      <c r="D133" s="10"/>
      <c r="E133" s="11" t="n">
        <f>5942</f>
        <v>5942.0</v>
      </c>
      <c r="F133" s="10"/>
      <c r="G133" s="11" t="n">
        <f>14483115500</f>
        <v>1.44831155E10</v>
      </c>
      <c r="H133" s="10"/>
      <c r="I133" s="11" t="str">
        <f>"－"</f>
        <v>－</v>
      </c>
      <c r="J133" s="10"/>
      <c r="K133" s="11" t="n">
        <f>26816</f>
        <v>26816.0</v>
      </c>
    </row>
    <row r="134">
      <c r="A134" s="8" t="s">
        <v>27</v>
      </c>
      <c r="B134" s="9" t="s">
        <v>57</v>
      </c>
      <c r="C134" s="9" t="s">
        <v>58</v>
      </c>
      <c r="D134" s="10"/>
      <c r="E134" s="11"/>
      <c r="F134" s="10"/>
      <c r="G134" s="11"/>
      <c r="H134" s="10"/>
      <c r="I134" s="11"/>
      <c r="J134" s="10"/>
      <c r="K134" s="11"/>
    </row>
    <row r="135">
      <c r="A135" s="8" t="s">
        <v>28</v>
      </c>
      <c r="B135" s="9" t="s">
        <v>57</v>
      </c>
      <c r="C135" s="9" t="s">
        <v>58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29</v>
      </c>
      <c r="B136" s="9" t="s">
        <v>57</v>
      </c>
      <c r="C136" s="9" t="s">
        <v>58</v>
      </c>
      <c r="D136" s="10"/>
      <c r="E136" s="11" t="n">
        <f>10452</f>
        <v>10452.0</v>
      </c>
      <c r="F136" s="10"/>
      <c r="G136" s="11" t="n">
        <f>25100587000</f>
        <v>2.5100587E10</v>
      </c>
      <c r="H136" s="10"/>
      <c r="I136" s="11" t="str">
        <f>"－"</f>
        <v>－</v>
      </c>
      <c r="J136" s="10"/>
      <c r="K136" s="11" t="n">
        <f>27168</f>
        <v>27168.0</v>
      </c>
    </row>
    <row r="137">
      <c r="A137" s="8" t="s">
        <v>30</v>
      </c>
      <c r="B137" s="9" t="s">
        <v>57</v>
      </c>
      <c r="C137" s="9" t="s">
        <v>58</v>
      </c>
      <c r="D137" s="10"/>
      <c r="E137" s="11" t="n">
        <f>9622</f>
        <v>9622.0</v>
      </c>
      <c r="F137" s="10"/>
      <c r="G137" s="11" t="n">
        <f>22950753500</f>
        <v>2.29507535E10</v>
      </c>
      <c r="H137" s="10"/>
      <c r="I137" s="11" t="str">
        <f>"－"</f>
        <v>－</v>
      </c>
      <c r="J137" s="10"/>
      <c r="K137" s="11" t="n">
        <f>27141</f>
        <v>27141.0</v>
      </c>
    </row>
    <row r="138">
      <c r="A138" s="8" t="s">
        <v>31</v>
      </c>
      <c r="B138" s="9" t="s">
        <v>57</v>
      </c>
      <c r="C138" s="9" t="s">
        <v>58</v>
      </c>
      <c r="D138" s="10"/>
      <c r="E138" s="11" t="n">
        <f>7228</f>
        <v>7228.0</v>
      </c>
      <c r="F138" s="10"/>
      <c r="G138" s="11" t="n">
        <f>17046457000</f>
        <v>1.7046457E10</v>
      </c>
      <c r="H138" s="10"/>
      <c r="I138" s="11" t="str">
        <f>"－"</f>
        <v>－</v>
      </c>
      <c r="J138" s="10"/>
      <c r="K138" s="11" t="n">
        <f>27594</f>
        <v>27594.0</v>
      </c>
    </row>
    <row r="139">
      <c r="A139" s="8" t="s">
        <v>32</v>
      </c>
      <c r="B139" s="9" t="s">
        <v>57</v>
      </c>
      <c r="C139" s="9" t="s">
        <v>58</v>
      </c>
      <c r="D139" s="10"/>
      <c r="E139" s="11" t="n">
        <f>5873</f>
        <v>5873.0</v>
      </c>
      <c r="F139" s="10"/>
      <c r="G139" s="11" t="n">
        <f>13762442000</f>
        <v>1.3762442E10</v>
      </c>
      <c r="H139" s="10"/>
      <c r="I139" s="11" t="str">
        <f>"－"</f>
        <v>－</v>
      </c>
      <c r="J139" s="10"/>
      <c r="K139" s="11" t="n">
        <f>27977</f>
        <v>27977.0</v>
      </c>
    </row>
    <row r="140">
      <c r="A140" s="8" t="s">
        <v>33</v>
      </c>
      <c r="B140" s="9" t="s">
        <v>57</v>
      </c>
      <c r="C140" s="9" t="s">
        <v>58</v>
      </c>
      <c r="D140" s="10"/>
      <c r="E140" s="11" t="n">
        <f>5840</f>
        <v>5840.0</v>
      </c>
      <c r="F140" s="10"/>
      <c r="G140" s="11" t="n">
        <f>13728096500</f>
        <v>1.37280965E10</v>
      </c>
      <c r="H140" s="10"/>
      <c r="I140" s="11" t="str">
        <f>"－"</f>
        <v>－</v>
      </c>
      <c r="J140" s="10"/>
      <c r="K140" s="11" t="n">
        <f>28380</f>
        <v>28380.0</v>
      </c>
    </row>
    <row r="141">
      <c r="A141" s="8" t="s">
        <v>34</v>
      </c>
      <c r="B141" s="9" t="s">
        <v>57</v>
      </c>
      <c r="C141" s="9" t="s">
        <v>58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35</v>
      </c>
      <c r="B142" s="9" t="s">
        <v>57</v>
      </c>
      <c r="C142" s="9" t="s">
        <v>58</v>
      </c>
      <c r="D142" s="10"/>
      <c r="E142" s="11"/>
      <c r="F142" s="10"/>
      <c r="G142" s="11"/>
      <c r="H142" s="10"/>
      <c r="I142" s="11"/>
      <c r="J142" s="10"/>
      <c r="K142" s="11"/>
    </row>
    <row r="143">
      <c r="A143" s="8" t="s">
        <v>36</v>
      </c>
      <c r="B143" s="9" t="s">
        <v>57</v>
      </c>
      <c r="C143" s="9" t="s">
        <v>58</v>
      </c>
      <c r="D143" s="10"/>
      <c r="E143" s="11" t="n">
        <f>7124</f>
        <v>7124.0</v>
      </c>
      <c r="F143" s="10"/>
      <c r="G143" s="11" t="n">
        <f>16792130500</f>
        <v>1.67921305E10</v>
      </c>
      <c r="H143" s="10"/>
      <c r="I143" s="11" t="str">
        <f>"－"</f>
        <v>－</v>
      </c>
      <c r="J143" s="10"/>
      <c r="K143" s="11" t="n">
        <f>30871</f>
        <v>30871.0</v>
      </c>
    </row>
    <row r="144">
      <c r="A144" s="8" t="s">
        <v>38</v>
      </c>
      <c r="B144" s="9" t="s">
        <v>57</v>
      </c>
      <c r="C144" s="9" t="s">
        <v>58</v>
      </c>
      <c r="D144" s="10"/>
      <c r="E144" s="11" t="n">
        <f>10491</f>
        <v>10491.0</v>
      </c>
      <c r="F144" s="10"/>
      <c r="G144" s="11" t="n">
        <f>25099905000</f>
        <v>2.5099905E10</v>
      </c>
      <c r="H144" s="10" t="s">
        <v>37</v>
      </c>
      <c r="I144" s="11" t="n">
        <f>1</f>
        <v>1.0</v>
      </c>
      <c r="J144" s="10"/>
      <c r="K144" s="11" t="n">
        <f>29075</f>
        <v>29075.0</v>
      </c>
    </row>
    <row r="145">
      <c r="A145" s="8" t="s">
        <v>39</v>
      </c>
      <c r="B145" s="9" t="s">
        <v>57</v>
      </c>
      <c r="C145" s="9" t="s">
        <v>58</v>
      </c>
      <c r="D145" s="10"/>
      <c r="E145" s="11" t="n">
        <f>7409</f>
        <v>7409.0</v>
      </c>
      <c r="F145" s="10"/>
      <c r="G145" s="11" t="n">
        <f>17869450500</f>
        <v>1.78694505E10</v>
      </c>
      <c r="H145" s="10"/>
      <c r="I145" s="11" t="str">
        <f>"－"</f>
        <v>－</v>
      </c>
      <c r="J145" s="10"/>
      <c r="K145" s="11" t="n">
        <f>29773</f>
        <v>29773.0</v>
      </c>
    </row>
    <row r="146">
      <c r="A146" s="8" t="s">
        <v>40</v>
      </c>
      <c r="B146" s="9" t="s">
        <v>57</v>
      </c>
      <c r="C146" s="9" t="s">
        <v>58</v>
      </c>
      <c r="D146" s="10"/>
      <c r="E146" s="11" t="n">
        <f>7116</f>
        <v>7116.0</v>
      </c>
      <c r="F146" s="10"/>
      <c r="G146" s="11" t="n">
        <f>17131928500</f>
        <v>1.71319285E10</v>
      </c>
      <c r="H146" s="10"/>
      <c r="I146" s="11" t="str">
        <f>"－"</f>
        <v>－</v>
      </c>
      <c r="J146" s="10"/>
      <c r="K146" s="11" t="n">
        <f>30129</f>
        <v>30129.0</v>
      </c>
    </row>
    <row r="147">
      <c r="A147" s="8" t="s">
        <v>41</v>
      </c>
      <c r="B147" s="9" t="s">
        <v>57</v>
      </c>
      <c r="C147" s="9" t="s">
        <v>58</v>
      </c>
      <c r="D147" s="10"/>
      <c r="E147" s="11" t="n">
        <f>8482</f>
        <v>8482.0</v>
      </c>
      <c r="F147" s="10"/>
      <c r="G147" s="11" t="n">
        <f>20267456000</f>
        <v>2.0267456E10</v>
      </c>
      <c r="H147" s="10"/>
      <c r="I147" s="11" t="str">
        <f>"－"</f>
        <v>－</v>
      </c>
      <c r="J147" s="10"/>
      <c r="K147" s="11" t="n">
        <f>30123</f>
        <v>30123.0</v>
      </c>
    </row>
    <row r="148">
      <c r="A148" s="8" t="s">
        <v>42</v>
      </c>
      <c r="B148" s="9" t="s">
        <v>57</v>
      </c>
      <c r="C148" s="9" t="s">
        <v>58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43</v>
      </c>
      <c r="B149" s="9" t="s">
        <v>57</v>
      </c>
      <c r="C149" s="9" t="s">
        <v>58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44</v>
      </c>
      <c r="B150" s="9" t="s">
        <v>57</v>
      </c>
      <c r="C150" s="9" t="s">
        <v>58</v>
      </c>
      <c r="D150" s="10"/>
      <c r="E150" s="11" t="n">
        <f>8015</f>
        <v>8015.0</v>
      </c>
      <c r="F150" s="10"/>
      <c r="G150" s="11" t="n">
        <f>19146655000</f>
        <v>1.9146655E10</v>
      </c>
      <c r="H150" s="10"/>
      <c r="I150" s="11" t="str">
        <f>"－"</f>
        <v>－</v>
      </c>
      <c r="J150" s="10" t="s">
        <v>37</v>
      </c>
      <c r="K150" s="11" t="n">
        <f>31197</f>
        <v>31197.0</v>
      </c>
    </row>
    <row r="151">
      <c r="A151" s="8" t="s">
        <v>45</v>
      </c>
      <c r="B151" s="9" t="s">
        <v>57</v>
      </c>
      <c r="C151" s="9" t="s">
        <v>58</v>
      </c>
      <c r="D151" s="10"/>
      <c r="E151" s="11" t="n">
        <f>8975</f>
        <v>8975.0</v>
      </c>
      <c r="F151" s="10"/>
      <c r="G151" s="11" t="n">
        <f>20977309000</f>
        <v>2.0977309E10</v>
      </c>
      <c r="H151" s="10"/>
      <c r="I151" s="11" t="str">
        <f>"－"</f>
        <v>－</v>
      </c>
      <c r="J151" s="10"/>
      <c r="K151" s="11" t="n">
        <f>30640</f>
        <v>30640.0</v>
      </c>
    </row>
    <row r="152">
      <c r="A152" s="8" t="s">
        <v>46</v>
      </c>
      <c r="B152" s="9" t="s">
        <v>57</v>
      </c>
      <c r="C152" s="9" t="s">
        <v>58</v>
      </c>
      <c r="D152" s="10"/>
      <c r="E152" s="11" t="n">
        <f>8437</f>
        <v>8437.0</v>
      </c>
      <c r="F152" s="10"/>
      <c r="G152" s="11" t="n">
        <f>19300307000</f>
        <v>1.9300307E10</v>
      </c>
      <c r="H152" s="10"/>
      <c r="I152" s="11" t="str">
        <f>"－"</f>
        <v>－</v>
      </c>
      <c r="J152" s="10"/>
      <c r="K152" s="11" t="n">
        <f>30621</f>
        <v>30621.0</v>
      </c>
    </row>
    <row r="153">
      <c r="A153" s="8" t="s">
        <v>47</v>
      </c>
      <c r="B153" s="9" t="s">
        <v>57</v>
      </c>
      <c r="C153" s="9" t="s">
        <v>58</v>
      </c>
      <c r="D153" s="10"/>
      <c r="E153" s="11" t="n">
        <f>7227</f>
        <v>7227.0</v>
      </c>
      <c r="F153" s="10"/>
      <c r="G153" s="11" t="n">
        <f>16400007000</f>
        <v>1.6400007E10</v>
      </c>
      <c r="H153" s="10"/>
      <c r="I153" s="11" t="str">
        <f>"－"</f>
        <v>－</v>
      </c>
      <c r="J153" s="10"/>
      <c r="K153" s="11" t="n">
        <f>31050</f>
        <v>31050.0</v>
      </c>
    </row>
    <row r="154">
      <c r="A154" s="8" t="s">
        <v>48</v>
      </c>
      <c r="B154" s="9" t="s">
        <v>57</v>
      </c>
      <c r="C154" s="9" t="s">
        <v>58</v>
      </c>
      <c r="D154" s="10" t="s">
        <v>19</v>
      </c>
      <c r="E154" s="11" t="n">
        <f>4456</f>
        <v>4456.0</v>
      </c>
      <c r="F154" s="10" t="s">
        <v>19</v>
      </c>
      <c r="G154" s="11" t="n">
        <f>10131239500</f>
        <v>1.01312395E10</v>
      </c>
      <c r="H154" s="10"/>
      <c r="I154" s="11" t="str">
        <f>"－"</f>
        <v>－</v>
      </c>
      <c r="J154" s="10"/>
      <c r="K154" s="11" t="n">
        <f>31130</f>
        <v>31130.0</v>
      </c>
    </row>
    <row r="155">
      <c r="A155" s="8" t="s">
        <v>49</v>
      </c>
      <c r="B155" s="9" t="s">
        <v>57</v>
      </c>
      <c r="C155" s="9" t="s">
        <v>58</v>
      </c>
      <c r="D155" s="10"/>
      <c r="E155" s="11"/>
      <c r="F155" s="10"/>
      <c r="G155" s="11"/>
      <c r="H155" s="10"/>
      <c r="I155" s="11"/>
      <c r="J155" s="10"/>
      <c r="K155" s="11"/>
    </row>
    <row r="156">
      <c r="A156" s="8" t="s">
        <v>16</v>
      </c>
      <c r="B156" s="9" t="s">
        <v>59</v>
      </c>
      <c r="C156" s="9" t="s">
        <v>60</v>
      </c>
      <c r="D156" s="10" t="s">
        <v>37</v>
      </c>
      <c r="E156" s="11" t="n">
        <f>1175</f>
        <v>1175.0</v>
      </c>
      <c r="F156" s="10" t="s">
        <v>37</v>
      </c>
      <c r="G156" s="11" t="n">
        <f>572258900</f>
        <v>5.722589E8</v>
      </c>
      <c r="H156" s="10" t="s">
        <v>52</v>
      </c>
      <c r="I156" s="11" t="str">
        <f>"－"</f>
        <v>－</v>
      </c>
      <c r="J156" s="10" t="s">
        <v>19</v>
      </c>
      <c r="K156" s="11" t="n">
        <f>2165</f>
        <v>2165.0</v>
      </c>
    </row>
    <row r="157">
      <c r="A157" s="8" t="s">
        <v>20</v>
      </c>
      <c r="B157" s="9" t="s">
        <v>59</v>
      </c>
      <c r="C157" s="9" t="s">
        <v>60</v>
      </c>
      <c r="D157" s="10"/>
      <c r="E157" s="11"/>
      <c r="F157" s="10"/>
      <c r="G157" s="11"/>
      <c r="H157" s="10"/>
      <c r="I157" s="11"/>
      <c r="J157" s="10"/>
      <c r="K157" s="11"/>
    </row>
    <row r="158">
      <c r="A158" s="8" t="s">
        <v>21</v>
      </c>
      <c r="B158" s="9" t="s">
        <v>59</v>
      </c>
      <c r="C158" s="9" t="s">
        <v>60</v>
      </c>
      <c r="D158" s="10"/>
      <c r="E158" s="11"/>
      <c r="F158" s="10"/>
      <c r="G158" s="11"/>
      <c r="H158" s="10"/>
      <c r="I158" s="11"/>
      <c r="J158" s="10"/>
      <c r="K158" s="11"/>
    </row>
    <row r="159">
      <c r="A159" s="8" t="s">
        <v>22</v>
      </c>
      <c r="B159" s="9" t="s">
        <v>59</v>
      </c>
      <c r="C159" s="9" t="s">
        <v>60</v>
      </c>
      <c r="D159" s="10"/>
      <c r="E159" s="11"/>
      <c r="F159" s="10"/>
      <c r="G159" s="11"/>
      <c r="H159" s="10"/>
      <c r="I159" s="11"/>
      <c r="J159" s="10"/>
      <c r="K159" s="11"/>
    </row>
    <row r="160">
      <c r="A160" s="8" t="s">
        <v>23</v>
      </c>
      <c r="B160" s="9" t="s">
        <v>59</v>
      </c>
      <c r="C160" s="9" t="s">
        <v>60</v>
      </c>
      <c r="D160" s="10"/>
      <c r="E160" s="11" t="n">
        <f>981</f>
        <v>981.0</v>
      </c>
      <c r="F160" s="10"/>
      <c r="G160" s="11" t="n">
        <f>475130450</f>
        <v>4.7513045E8</v>
      </c>
      <c r="H160" s="10"/>
      <c r="I160" s="11" t="str">
        <f>"－"</f>
        <v>－</v>
      </c>
      <c r="J160" s="10"/>
      <c r="K160" s="11" t="n">
        <f>2198</f>
        <v>2198.0</v>
      </c>
    </row>
    <row r="161">
      <c r="A161" s="8" t="s">
        <v>24</v>
      </c>
      <c r="B161" s="9" t="s">
        <v>59</v>
      </c>
      <c r="C161" s="9" t="s">
        <v>60</v>
      </c>
      <c r="D161" s="10"/>
      <c r="E161" s="11" t="n">
        <f>542</f>
        <v>542.0</v>
      </c>
      <c r="F161" s="10"/>
      <c r="G161" s="11" t="n">
        <f>263560950</f>
        <v>2.6356095E8</v>
      </c>
      <c r="H161" s="10"/>
      <c r="I161" s="11" t="str">
        <f>"－"</f>
        <v>－</v>
      </c>
      <c r="J161" s="10"/>
      <c r="K161" s="11" t="n">
        <f>2238</f>
        <v>2238.0</v>
      </c>
    </row>
    <row r="162">
      <c r="A162" s="8" t="s">
        <v>25</v>
      </c>
      <c r="B162" s="9" t="s">
        <v>59</v>
      </c>
      <c r="C162" s="9" t="s">
        <v>60</v>
      </c>
      <c r="D162" s="10"/>
      <c r="E162" s="11" t="n">
        <f>913</f>
        <v>913.0</v>
      </c>
      <c r="F162" s="10"/>
      <c r="G162" s="11" t="n">
        <f>443414500</f>
        <v>4.434145E8</v>
      </c>
      <c r="H162" s="10"/>
      <c r="I162" s="11" t="str">
        <f>"－"</f>
        <v>－</v>
      </c>
      <c r="J162" s="10"/>
      <c r="K162" s="11" t="n">
        <f>2227</f>
        <v>2227.0</v>
      </c>
    </row>
    <row r="163">
      <c r="A163" s="8" t="s">
        <v>26</v>
      </c>
      <c r="B163" s="9" t="s">
        <v>59</v>
      </c>
      <c r="C163" s="9" t="s">
        <v>60</v>
      </c>
      <c r="D163" s="10"/>
      <c r="E163" s="11" t="n">
        <f>697</f>
        <v>697.0</v>
      </c>
      <c r="F163" s="10"/>
      <c r="G163" s="11" t="n">
        <f>339638600</f>
        <v>3.396386E8</v>
      </c>
      <c r="H163" s="10"/>
      <c r="I163" s="11" t="str">
        <f>"－"</f>
        <v>－</v>
      </c>
      <c r="J163" s="10"/>
      <c r="K163" s="11" t="n">
        <f>2241</f>
        <v>2241.0</v>
      </c>
    </row>
    <row r="164">
      <c r="A164" s="8" t="s">
        <v>27</v>
      </c>
      <c r="B164" s="9" t="s">
        <v>59</v>
      </c>
      <c r="C164" s="9" t="s">
        <v>60</v>
      </c>
      <c r="D164" s="10"/>
      <c r="E164" s="11"/>
      <c r="F164" s="10"/>
      <c r="G164" s="11"/>
      <c r="H164" s="10"/>
      <c r="I164" s="11"/>
      <c r="J164" s="10"/>
      <c r="K164" s="11"/>
    </row>
    <row r="165">
      <c r="A165" s="8" t="s">
        <v>28</v>
      </c>
      <c r="B165" s="9" t="s">
        <v>59</v>
      </c>
      <c r="C165" s="9" t="s">
        <v>60</v>
      </c>
      <c r="D165" s="10"/>
      <c r="E165" s="11"/>
      <c r="F165" s="10"/>
      <c r="G165" s="11"/>
      <c r="H165" s="10"/>
      <c r="I165" s="11"/>
      <c r="J165" s="10"/>
      <c r="K165" s="11"/>
    </row>
    <row r="166">
      <c r="A166" s="8" t="s">
        <v>29</v>
      </c>
      <c r="B166" s="9" t="s">
        <v>59</v>
      </c>
      <c r="C166" s="9" t="s">
        <v>60</v>
      </c>
      <c r="D166" s="10"/>
      <c r="E166" s="11" t="n">
        <f>607</f>
        <v>607.0</v>
      </c>
      <c r="F166" s="10"/>
      <c r="G166" s="11" t="n">
        <f>291511900</f>
        <v>2.915119E8</v>
      </c>
      <c r="H166" s="10"/>
      <c r="I166" s="11" t="str">
        <f>"－"</f>
        <v>－</v>
      </c>
      <c r="J166" s="10"/>
      <c r="K166" s="11" t="n">
        <f>2264</f>
        <v>2264.0</v>
      </c>
    </row>
    <row r="167">
      <c r="A167" s="8" t="s">
        <v>30</v>
      </c>
      <c r="B167" s="9" t="s">
        <v>59</v>
      </c>
      <c r="C167" s="9" t="s">
        <v>60</v>
      </c>
      <c r="D167" s="10"/>
      <c r="E167" s="11" t="n">
        <f>1015</f>
        <v>1015.0</v>
      </c>
      <c r="F167" s="10"/>
      <c r="G167" s="11" t="n">
        <f>484922550</f>
        <v>4.8492255E8</v>
      </c>
      <c r="H167" s="10"/>
      <c r="I167" s="11" t="str">
        <f>"－"</f>
        <v>－</v>
      </c>
      <c r="J167" s="10"/>
      <c r="K167" s="11" t="n">
        <f>2283</f>
        <v>2283.0</v>
      </c>
    </row>
    <row r="168">
      <c r="A168" s="8" t="s">
        <v>31</v>
      </c>
      <c r="B168" s="9" t="s">
        <v>59</v>
      </c>
      <c r="C168" s="9" t="s">
        <v>60</v>
      </c>
      <c r="D168" s="10"/>
      <c r="E168" s="11" t="n">
        <f>793</f>
        <v>793.0</v>
      </c>
      <c r="F168" s="10"/>
      <c r="G168" s="11" t="n">
        <f>373495650</f>
        <v>3.7349565E8</v>
      </c>
      <c r="H168" s="10"/>
      <c r="I168" s="11" t="str">
        <f>"－"</f>
        <v>－</v>
      </c>
      <c r="J168" s="10"/>
      <c r="K168" s="11" t="n">
        <f>2307</f>
        <v>2307.0</v>
      </c>
    </row>
    <row r="169">
      <c r="A169" s="8" t="s">
        <v>32</v>
      </c>
      <c r="B169" s="9" t="s">
        <v>59</v>
      </c>
      <c r="C169" s="9" t="s">
        <v>60</v>
      </c>
      <c r="D169" s="10"/>
      <c r="E169" s="11" t="n">
        <f>541</f>
        <v>541.0</v>
      </c>
      <c r="F169" s="10"/>
      <c r="G169" s="11" t="n">
        <f>253497300</f>
        <v>2.534973E8</v>
      </c>
      <c r="H169" s="10"/>
      <c r="I169" s="11" t="str">
        <f>"－"</f>
        <v>－</v>
      </c>
      <c r="J169" s="10"/>
      <c r="K169" s="11" t="n">
        <f>2333</f>
        <v>2333.0</v>
      </c>
    </row>
    <row r="170">
      <c r="A170" s="8" t="s">
        <v>33</v>
      </c>
      <c r="B170" s="9" t="s">
        <v>59</v>
      </c>
      <c r="C170" s="9" t="s">
        <v>60</v>
      </c>
      <c r="D170" s="10" t="s">
        <v>19</v>
      </c>
      <c r="E170" s="11" t="n">
        <f>492</f>
        <v>492.0</v>
      </c>
      <c r="F170" s="10" t="s">
        <v>19</v>
      </c>
      <c r="G170" s="11" t="n">
        <f>231103750</f>
        <v>2.3110375E8</v>
      </c>
      <c r="H170" s="10"/>
      <c r="I170" s="11" t="str">
        <f>"－"</f>
        <v>－</v>
      </c>
      <c r="J170" s="10"/>
      <c r="K170" s="11" t="n">
        <f>2340</f>
        <v>2340.0</v>
      </c>
    </row>
    <row r="171">
      <c r="A171" s="8" t="s">
        <v>34</v>
      </c>
      <c r="B171" s="9" t="s">
        <v>59</v>
      </c>
      <c r="C171" s="9" t="s">
        <v>60</v>
      </c>
      <c r="D171" s="10"/>
      <c r="E171" s="11"/>
      <c r="F171" s="10"/>
      <c r="G171" s="11"/>
      <c r="H171" s="10"/>
      <c r="I171" s="11"/>
      <c r="J171" s="10"/>
      <c r="K171" s="11"/>
    </row>
    <row r="172">
      <c r="A172" s="8" t="s">
        <v>35</v>
      </c>
      <c r="B172" s="9" t="s">
        <v>59</v>
      </c>
      <c r="C172" s="9" t="s">
        <v>60</v>
      </c>
      <c r="D172" s="10"/>
      <c r="E172" s="11"/>
      <c r="F172" s="10"/>
      <c r="G172" s="11"/>
      <c r="H172" s="10"/>
      <c r="I172" s="11"/>
      <c r="J172" s="10"/>
      <c r="K172" s="11"/>
    </row>
    <row r="173">
      <c r="A173" s="8" t="s">
        <v>36</v>
      </c>
      <c r="B173" s="9" t="s">
        <v>59</v>
      </c>
      <c r="C173" s="9" t="s">
        <v>60</v>
      </c>
      <c r="D173" s="10"/>
      <c r="E173" s="11" t="n">
        <f>773</f>
        <v>773.0</v>
      </c>
      <c r="F173" s="10"/>
      <c r="G173" s="11" t="n">
        <f>364366650</f>
        <v>3.6436665E8</v>
      </c>
      <c r="H173" s="10"/>
      <c r="I173" s="11" t="str">
        <f>"－"</f>
        <v>－</v>
      </c>
      <c r="J173" s="10" t="s">
        <v>37</v>
      </c>
      <c r="K173" s="11" t="n">
        <f>2772</f>
        <v>2772.0</v>
      </c>
    </row>
    <row r="174">
      <c r="A174" s="8" t="s">
        <v>38</v>
      </c>
      <c r="B174" s="9" t="s">
        <v>59</v>
      </c>
      <c r="C174" s="9" t="s">
        <v>60</v>
      </c>
      <c r="D174" s="10"/>
      <c r="E174" s="11" t="n">
        <f>670</f>
        <v>670.0</v>
      </c>
      <c r="F174" s="10"/>
      <c r="G174" s="11" t="n">
        <f>320849600</f>
        <v>3.208496E8</v>
      </c>
      <c r="H174" s="10"/>
      <c r="I174" s="11" t="str">
        <f>"－"</f>
        <v>－</v>
      </c>
      <c r="J174" s="10"/>
      <c r="K174" s="11" t="n">
        <f>2327</f>
        <v>2327.0</v>
      </c>
    </row>
    <row r="175">
      <c r="A175" s="8" t="s">
        <v>39</v>
      </c>
      <c r="B175" s="9" t="s">
        <v>59</v>
      </c>
      <c r="C175" s="9" t="s">
        <v>60</v>
      </c>
      <c r="D175" s="10"/>
      <c r="E175" s="11" t="n">
        <f>781</f>
        <v>781.0</v>
      </c>
      <c r="F175" s="10"/>
      <c r="G175" s="11" t="n">
        <f>376284600</f>
        <v>3.762846E8</v>
      </c>
      <c r="H175" s="10"/>
      <c r="I175" s="11" t="str">
        <f>"－"</f>
        <v>－</v>
      </c>
      <c r="J175" s="10"/>
      <c r="K175" s="11" t="n">
        <f>2320</f>
        <v>2320.0</v>
      </c>
    </row>
    <row r="176">
      <c r="A176" s="8" t="s">
        <v>40</v>
      </c>
      <c r="B176" s="9" t="s">
        <v>59</v>
      </c>
      <c r="C176" s="9" t="s">
        <v>60</v>
      </c>
      <c r="D176" s="10"/>
      <c r="E176" s="11" t="n">
        <f>852</f>
        <v>852.0</v>
      </c>
      <c r="F176" s="10"/>
      <c r="G176" s="11" t="n">
        <f>410554300</f>
        <v>4.105543E8</v>
      </c>
      <c r="H176" s="10"/>
      <c r="I176" s="11" t="str">
        <f>"－"</f>
        <v>－</v>
      </c>
      <c r="J176" s="10"/>
      <c r="K176" s="11" t="n">
        <f>2380</f>
        <v>2380.0</v>
      </c>
    </row>
    <row r="177">
      <c r="A177" s="8" t="s">
        <v>41</v>
      </c>
      <c r="B177" s="9" t="s">
        <v>59</v>
      </c>
      <c r="C177" s="9" t="s">
        <v>60</v>
      </c>
      <c r="D177" s="10"/>
      <c r="E177" s="11" t="n">
        <f>852</f>
        <v>852.0</v>
      </c>
      <c r="F177" s="10"/>
      <c r="G177" s="11" t="n">
        <f>406767100</f>
        <v>4.067671E8</v>
      </c>
      <c r="H177" s="10"/>
      <c r="I177" s="11" t="str">
        <f>"－"</f>
        <v>－</v>
      </c>
      <c r="J177" s="10"/>
      <c r="K177" s="11" t="n">
        <f>2401</f>
        <v>2401.0</v>
      </c>
    </row>
    <row r="178">
      <c r="A178" s="8" t="s">
        <v>42</v>
      </c>
      <c r="B178" s="9" t="s">
        <v>59</v>
      </c>
      <c r="C178" s="9" t="s">
        <v>60</v>
      </c>
      <c r="D178" s="10"/>
      <c r="E178" s="11"/>
      <c r="F178" s="10"/>
      <c r="G178" s="11"/>
      <c r="H178" s="10"/>
      <c r="I178" s="11"/>
      <c r="J178" s="10"/>
      <c r="K178" s="11"/>
    </row>
    <row r="179">
      <c r="A179" s="8" t="s">
        <v>43</v>
      </c>
      <c r="B179" s="9" t="s">
        <v>59</v>
      </c>
      <c r="C179" s="9" t="s">
        <v>60</v>
      </c>
      <c r="D179" s="10"/>
      <c r="E179" s="11"/>
      <c r="F179" s="10"/>
      <c r="G179" s="11"/>
      <c r="H179" s="10"/>
      <c r="I179" s="11"/>
      <c r="J179" s="10"/>
      <c r="K179" s="11"/>
    </row>
    <row r="180">
      <c r="A180" s="8" t="s">
        <v>44</v>
      </c>
      <c r="B180" s="9" t="s">
        <v>59</v>
      </c>
      <c r="C180" s="9" t="s">
        <v>60</v>
      </c>
      <c r="D180" s="10"/>
      <c r="E180" s="11" t="n">
        <f>771</f>
        <v>771.0</v>
      </c>
      <c r="F180" s="10"/>
      <c r="G180" s="11" t="n">
        <f>368753550</f>
        <v>3.6875355E8</v>
      </c>
      <c r="H180" s="10"/>
      <c r="I180" s="11" t="str">
        <f>"－"</f>
        <v>－</v>
      </c>
      <c r="J180" s="10"/>
      <c r="K180" s="11" t="n">
        <f>2466</f>
        <v>2466.0</v>
      </c>
    </row>
    <row r="181">
      <c r="A181" s="8" t="s">
        <v>45</v>
      </c>
      <c r="B181" s="9" t="s">
        <v>59</v>
      </c>
      <c r="C181" s="9" t="s">
        <v>60</v>
      </c>
      <c r="D181" s="10"/>
      <c r="E181" s="11" t="n">
        <f>933</f>
        <v>933.0</v>
      </c>
      <c r="F181" s="10"/>
      <c r="G181" s="11" t="n">
        <f>436337850</f>
        <v>4.3633785E8</v>
      </c>
      <c r="H181" s="10"/>
      <c r="I181" s="11" t="str">
        <f>"－"</f>
        <v>－</v>
      </c>
      <c r="J181" s="10"/>
      <c r="K181" s="11" t="n">
        <f>2496</f>
        <v>2496.0</v>
      </c>
    </row>
    <row r="182">
      <c r="A182" s="8" t="s">
        <v>46</v>
      </c>
      <c r="B182" s="9" t="s">
        <v>59</v>
      </c>
      <c r="C182" s="9" t="s">
        <v>60</v>
      </c>
      <c r="D182" s="10"/>
      <c r="E182" s="11" t="n">
        <f>785</f>
        <v>785.0</v>
      </c>
      <c r="F182" s="10"/>
      <c r="G182" s="11" t="n">
        <f>359807350</f>
        <v>3.5980735E8</v>
      </c>
      <c r="H182" s="10"/>
      <c r="I182" s="11" t="str">
        <f>"－"</f>
        <v>－</v>
      </c>
      <c r="J182" s="10"/>
      <c r="K182" s="11" t="n">
        <f>2532</f>
        <v>2532.0</v>
      </c>
    </row>
    <row r="183">
      <c r="A183" s="8" t="s">
        <v>47</v>
      </c>
      <c r="B183" s="9" t="s">
        <v>59</v>
      </c>
      <c r="C183" s="9" t="s">
        <v>60</v>
      </c>
      <c r="D183" s="10"/>
      <c r="E183" s="11" t="n">
        <f>645</f>
        <v>645.0</v>
      </c>
      <c r="F183" s="10"/>
      <c r="G183" s="11" t="n">
        <f>292566950</f>
        <v>2.9256695E8</v>
      </c>
      <c r="H183" s="10"/>
      <c r="I183" s="11" t="str">
        <f>"－"</f>
        <v>－</v>
      </c>
      <c r="J183" s="10"/>
      <c r="K183" s="11" t="n">
        <f>2561</f>
        <v>2561.0</v>
      </c>
    </row>
    <row r="184">
      <c r="A184" s="8" t="s">
        <v>48</v>
      </c>
      <c r="B184" s="9" t="s">
        <v>59</v>
      </c>
      <c r="C184" s="9" t="s">
        <v>60</v>
      </c>
      <c r="D184" s="10"/>
      <c r="E184" s="11" t="n">
        <f>512</f>
        <v>512.0</v>
      </c>
      <c r="F184" s="10"/>
      <c r="G184" s="11" t="n">
        <f>232926300</f>
        <v>2.329263E8</v>
      </c>
      <c r="H184" s="10"/>
      <c r="I184" s="11" t="str">
        <f>"－"</f>
        <v>－</v>
      </c>
      <c r="J184" s="10"/>
      <c r="K184" s="11" t="n">
        <f>2566</f>
        <v>2566.0</v>
      </c>
    </row>
    <row r="185">
      <c r="A185" s="8" t="s">
        <v>49</v>
      </c>
      <c r="B185" s="9" t="s">
        <v>59</v>
      </c>
      <c r="C185" s="9" t="s">
        <v>60</v>
      </c>
      <c r="D185" s="10"/>
      <c r="E185" s="11"/>
      <c r="F185" s="10"/>
      <c r="G185" s="11"/>
      <c r="H185" s="10"/>
      <c r="I185" s="11"/>
      <c r="J185" s="10"/>
      <c r="K185" s="11"/>
    </row>
    <row r="186">
      <c r="A186" s="8" t="s">
        <v>16</v>
      </c>
      <c r="B186" s="9" t="s">
        <v>61</v>
      </c>
      <c r="C186" s="9" t="s">
        <v>62</v>
      </c>
      <c r="D186" s="10" t="s">
        <v>37</v>
      </c>
      <c r="E186" s="11" t="n">
        <f>5908</f>
        <v>5908.0</v>
      </c>
      <c r="F186" s="10" t="s">
        <v>37</v>
      </c>
      <c r="G186" s="11" t="n">
        <f>2919232500</f>
        <v>2.9192325E9</v>
      </c>
      <c r="H186" s="10" t="s">
        <v>52</v>
      </c>
      <c r="I186" s="11" t="str">
        <f>"－"</f>
        <v>－</v>
      </c>
      <c r="J186" s="10"/>
      <c r="K186" s="11" t="n">
        <f>40147</f>
        <v>40147.0</v>
      </c>
    </row>
    <row r="187">
      <c r="A187" s="8" t="s">
        <v>20</v>
      </c>
      <c r="B187" s="9" t="s">
        <v>61</v>
      </c>
      <c r="C187" s="9" t="s">
        <v>62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21</v>
      </c>
      <c r="B188" s="9" t="s">
        <v>61</v>
      </c>
      <c r="C188" s="9" t="s">
        <v>62</v>
      </c>
      <c r="D188" s="10"/>
      <c r="E188" s="11"/>
      <c r="F188" s="10"/>
      <c r="G188" s="11"/>
      <c r="H188" s="10"/>
      <c r="I188" s="11"/>
      <c r="J188" s="10"/>
      <c r="K188" s="11"/>
    </row>
    <row r="189">
      <c r="A189" s="8" t="s">
        <v>22</v>
      </c>
      <c r="B189" s="9" t="s">
        <v>61</v>
      </c>
      <c r="C189" s="9" t="s">
        <v>62</v>
      </c>
      <c r="D189" s="10"/>
      <c r="E189" s="11"/>
      <c r="F189" s="10"/>
      <c r="G189" s="11"/>
      <c r="H189" s="10"/>
      <c r="I189" s="11"/>
      <c r="J189" s="10"/>
      <c r="K189" s="11"/>
    </row>
    <row r="190">
      <c r="A190" s="8" t="s">
        <v>23</v>
      </c>
      <c r="B190" s="9" t="s">
        <v>61</v>
      </c>
      <c r="C190" s="9" t="s">
        <v>62</v>
      </c>
      <c r="D190" s="10"/>
      <c r="E190" s="11" t="n">
        <f>2959</f>
        <v>2959.0</v>
      </c>
      <c r="F190" s="10"/>
      <c r="G190" s="11" t="n">
        <f>1450685800</f>
        <v>1.4506858E9</v>
      </c>
      <c r="H190" s="10"/>
      <c r="I190" s="11" t="str">
        <f>"－"</f>
        <v>－</v>
      </c>
      <c r="J190" s="10"/>
      <c r="K190" s="11" t="n">
        <f>38781</f>
        <v>38781.0</v>
      </c>
    </row>
    <row r="191">
      <c r="A191" s="8" t="s">
        <v>24</v>
      </c>
      <c r="B191" s="9" t="s">
        <v>61</v>
      </c>
      <c r="C191" s="9" t="s">
        <v>62</v>
      </c>
      <c r="D191" s="10"/>
      <c r="E191" s="11" t="n">
        <f>3231</f>
        <v>3231.0</v>
      </c>
      <c r="F191" s="10"/>
      <c r="G191" s="11" t="n">
        <f>1601333800</f>
        <v>1.6013338E9</v>
      </c>
      <c r="H191" s="10"/>
      <c r="I191" s="11" t="str">
        <f>"－"</f>
        <v>－</v>
      </c>
      <c r="J191" s="10"/>
      <c r="K191" s="11" t="n">
        <f>37595</f>
        <v>37595.0</v>
      </c>
    </row>
    <row r="192">
      <c r="A192" s="8" t="s">
        <v>25</v>
      </c>
      <c r="B192" s="9" t="s">
        <v>61</v>
      </c>
      <c r="C192" s="9" t="s">
        <v>62</v>
      </c>
      <c r="D192" s="10"/>
      <c r="E192" s="11" t="n">
        <f>2384</f>
        <v>2384.0</v>
      </c>
      <c r="F192" s="10"/>
      <c r="G192" s="11" t="n">
        <f>1176607800</f>
        <v>1.1766078E9</v>
      </c>
      <c r="H192" s="10"/>
      <c r="I192" s="11" t="str">
        <f>"－"</f>
        <v>－</v>
      </c>
      <c r="J192" s="10"/>
      <c r="K192" s="11" t="n">
        <f>37183</f>
        <v>37183.0</v>
      </c>
    </row>
    <row r="193">
      <c r="A193" s="8" t="s">
        <v>26</v>
      </c>
      <c r="B193" s="9" t="s">
        <v>61</v>
      </c>
      <c r="C193" s="9" t="s">
        <v>62</v>
      </c>
      <c r="D193" s="10"/>
      <c r="E193" s="11" t="n">
        <f>2497</f>
        <v>2497.0</v>
      </c>
      <c r="F193" s="10"/>
      <c r="G193" s="11" t="n">
        <f>1237836100</f>
        <v>1.2378361E9</v>
      </c>
      <c r="H193" s="10"/>
      <c r="I193" s="11" t="str">
        <f>"－"</f>
        <v>－</v>
      </c>
      <c r="J193" s="10" t="s">
        <v>19</v>
      </c>
      <c r="K193" s="11" t="n">
        <f>36379</f>
        <v>36379.0</v>
      </c>
    </row>
    <row r="194">
      <c r="A194" s="8" t="s">
        <v>27</v>
      </c>
      <c r="B194" s="9" t="s">
        <v>61</v>
      </c>
      <c r="C194" s="9" t="s">
        <v>62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28</v>
      </c>
      <c r="B195" s="9" t="s">
        <v>61</v>
      </c>
      <c r="C195" s="9" t="s">
        <v>62</v>
      </c>
      <c r="D195" s="10"/>
      <c r="E195" s="11"/>
      <c r="F195" s="10"/>
      <c r="G195" s="11"/>
      <c r="H195" s="10"/>
      <c r="I195" s="11"/>
      <c r="J195" s="10"/>
      <c r="K195" s="11"/>
    </row>
    <row r="196">
      <c r="A196" s="8" t="s">
        <v>29</v>
      </c>
      <c r="B196" s="9" t="s">
        <v>61</v>
      </c>
      <c r="C196" s="9" t="s">
        <v>62</v>
      </c>
      <c r="D196" s="10"/>
      <c r="E196" s="11" t="n">
        <f>4020</f>
        <v>4020.0</v>
      </c>
      <c r="F196" s="10"/>
      <c r="G196" s="11" t="n">
        <f>1971765600</f>
        <v>1.9717656E9</v>
      </c>
      <c r="H196" s="10"/>
      <c r="I196" s="11" t="str">
        <f>"－"</f>
        <v>－</v>
      </c>
      <c r="J196" s="10"/>
      <c r="K196" s="11" t="n">
        <f>36505</f>
        <v>36505.0</v>
      </c>
    </row>
    <row r="197">
      <c r="A197" s="8" t="s">
        <v>30</v>
      </c>
      <c r="B197" s="9" t="s">
        <v>61</v>
      </c>
      <c r="C197" s="9" t="s">
        <v>62</v>
      </c>
      <c r="D197" s="10"/>
      <c r="E197" s="11" t="n">
        <f>4779</f>
        <v>4779.0</v>
      </c>
      <c r="F197" s="10"/>
      <c r="G197" s="11" t="n">
        <f>2316859100</f>
        <v>2.3168591E9</v>
      </c>
      <c r="H197" s="10"/>
      <c r="I197" s="11" t="str">
        <f>"－"</f>
        <v>－</v>
      </c>
      <c r="J197" s="10"/>
      <c r="K197" s="11" t="n">
        <f>38416</f>
        <v>38416.0</v>
      </c>
    </row>
    <row r="198">
      <c r="A198" s="8" t="s">
        <v>31</v>
      </c>
      <c r="B198" s="9" t="s">
        <v>61</v>
      </c>
      <c r="C198" s="9" t="s">
        <v>62</v>
      </c>
      <c r="D198" s="10"/>
      <c r="E198" s="11" t="n">
        <f>4328</f>
        <v>4328.0</v>
      </c>
      <c r="F198" s="10"/>
      <c r="G198" s="11" t="n">
        <f>2084161800</f>
        <v>2.0841618E9</v>
      </c>
      <c r="H198" s="10"/>
      <c r="I198" s="11" t="str">
        <f>"－"</f>
        <v>－</v>
      </c>
      <c r="J198" s="10"/>
      <c r="K198" s="11" t="n">
        <f>38490</f>
        <v>38490.0</v>
      </c>
    </row>
    <row r="199">
      <c r="A199" s="8" t="s">
        <v>32</v>
      </c>
      <c r="B199" s="9" t="s">
        <v>61</v>
      </c>
      <c r="C199" s="9" t="s">
        <v>62</v>
      </c>
      <c r="D199" s="10"/>
      <c r="E199" s="11" t="n">
        <f>2812</f>
        <v>2812.0</v>
      </c>
      <c r="F199" s="10"/>
      <c r="G199" s="11" t="n">
        <f>1342847400</f>
        <v>1.3428474E9</v>
      </c>
      <c r="H199" s="10"/>
      <c r="I199" s="11" t="str">
        <f>"－"</f>
        <v>－</v>
      </c>
      <c r="J199" s="10"/>
      <c r="K199" s="11" t="n">
        <f>38810</f>
        <v>38810.0</v>
      </c>
    </row>
    <row r="200">
      <c r="A200" s="8" t="s">
        <v>33</v>
      </c>
      <c r="B200" s="9" t="s">
        <v>61</v>
      </c>
      <c r="C200" s="9" t="s">
        <v>62</v>
      </c>
      <c r="D200" s="10"/>
      <c r="E200" s="11" t="n">
        <f>2487</f>
        <v>2487.0</v>
      </c>
      <c r="F200" s="10"/>
      <c r="G200" s="11" t="n">
        <f>1193906400</f>
        <v>1.1939064E9</v>
      </c>
      <c r="H200" s="10"/>
      <c r="I200" s="11" t="str">
        <f>"－"</f>
        <v>－</v>
      </c>
      <c r="J200" s="10"/>
      <c r="K200" s="11" t="n">
        <f>38865</f>
        <v>38865.0</v>
      </c>
    </row>
    <row r="201">
      <c r="A201" s="8" t="s">
        <v>34</v>
      </c>
      <c r="B201" s="9" t="s">
        <v>61</v>
      </c>
      <c r="C201" s="9" t="s">
        <v>62</v>
      </c>
      <c r="D201" s="10"/>
      <c r="E201" s="11"/>
      <c r="F201" s="10"/>
      <c r="G201" s="11"/>
      <c r="H201" s="10"/>
      <c r="I201" s="11"/>
      <c r="J201" s="10"/>
      <c r="K201" s="11"/>
    </row>
    <row r="202">
      <c r="A202" s="8" t="s">
        <v>35</v>
      </c>
      <c r="B202" s="9" t="s">
        <v>61</v>
      </c>
      <c r="C202" s="9" t="s">
        <v>62</v>
      </c>
      <c r="D202" s="10"/>
      <c r="E202" s="11"/>
      <c r="F202" s="10"/>
      <c r="G202" s="11"/>
      <c r="H202" s="10"/>
      <c r="I202" s="11"/>
      <c r="J202" s="10"/>
      <c r="K202" s="11"/>
    </row>
    <row r="203">
      <c r="A203" s="8" t="s">
        <v>36</v>
      </c>
      <c r="B203" s="9" t="s">
        <v>61</v>
      </c>
      <c r="C203" s="9" t="s">
        <v>62</v>
      </c>
      <c r="D203" s="10"/>
      <c r="E203" s="11" t="n">
        <f>2529</f>
        <v>2529.0</v>
      </c>
      <c r="F203" s="10"/>
      <c r="G203" s="11" t="n">
        <f>1215220800</f>
        <v>1.2152208E9</v>
      </c>
      <c r="H203" s="10"/>
      <c r="I203" s="11" t="str">
        <f>"－"</f>
        <v>－</v>
      </c>
      <c r="J203" s="10"/>
      <c r="K203" s="11" t="n">
        <f>40083</f>
        <v>40083.0</v>
      </c>
    </row>
    <row r="204">
      <c r="A204" s="8" t="s">
        <v>38</v>
      </c>
      <c r="B204" s="9" t="s">
        <v>61</v>
      </c>
      <c r="C204" s="9" t="s">
        <v>62</v>
      </c>
      <c r="D204" s="10"/>
      <c r="E204" s="11" t="n">
        <f>4723</f>
        <v>4723.0</v>
      </c>
      <c r="F204" s="10"/>
      <c r="G204" s="11" t="n">
        <f>2306706600</f>
        <v>2.3067066E9</v>
      </c>
      <c r="H204" s="10"/>
      <c r="I204" s="11" t="str">
        <f>"－"</f>
        <v>－</v>
      </c>
      <c r="J204" s="10"/>
      <c r="K204" s="11" t="n">
        <f>39002</f>
        <v>39002.0</v>
      </c>
    </row>
    <row r="205">
      <c r="A205" s="8" t="s">
        <v>39</v>
      </c>
      <c r="B205" s="9" t="s">
        <v>61</v>
      </c>
      <c r="C205" s="9" t="s">
        <v>62</v>
      </c>
      <c r="D205" s="10" t="s">
        <v>19</v>
      </c>
      <c r="E205" s="11" t="n">
        <f>2344</f>
        <v>2344.0</v>
      </c>
      <c r="F205" s="10" t="s">
        <v>19</v>
      </c>
      <c r="G205" s="11" t="n">
        <f>1154477000</f>
        <v>1.154477E9</v>
      </c>
      <c r="H205" s="10"/>
      <c r="I205" s="11" t="str">
        <f>"－"</f>
        <v>－</v>
      </c>
      <c r="J205" s="10"/>
      <c r="K205" s="11" t="n">
        <f>38474</f>
        <v>38474.0</v>
      </c>
    </row>
    <row r="206">
      <c r="A206" s="8" t="s">
        <v>40</v>
      </c>
      <c r="B206" s="9" t="s">
        <v>61</v>
      </c>
      <c r="C206" s="9" t="s">
        <v>62</v>
      </c>
      <c r="D206" s="10"/>
      <c r="E206" s="11" t="n">
        <f>2915</f>
        <v>2915.0</v>
      </c>
      <c r="F206" s="10"/>
      <c r="G206" s="11" t="n">
        <f>1428848100</f>
        <v>1.4288481E9</v>
      </c>
      <c r="H206" s="10"/>
      <c r="I206" s="11" t="str">
        <f>"－"</f>
        <v>－</v>
      </c>
      <c r="J206" s="10"/>
      <c r="K206" s="11" t="n">
        <f>39016</f>
        <v>39016.0</v>
      </c>
    </row>
    <row r="207">
      <c r="A207" s="8" t="s">
        <v>41</v>
      </c>
      <c r="B207" s="9" t="s">
        <v>61</v>
      </c>
      <c r="C207" s="9" t="s">
        <v>62</v>
      </c>
      <c r="D207" s="10"/>
      <c r="E207" s="11" t="n">
        <f>4126</f>
        <v>4126.0</v>
      </c>
      <c r="F207" s="10"/>
      <c r="G207" s="11" t="n">
        <f>2007469800</f>
        <v>2.0074698E9</v>
      </c>
      <c r="H207" s="10"/>
      <c r="I207" s="11" t="str">
        <f>"－"</f>
        <v>－</v>
      </c>
      <c r="J207" s="10"/>
      <c r="K207" s="11" t="n">
        <f>39615</f>
        <v>39615.0</v>
      </c>
    </row>
    <row r="208">
      <c r="A208" s="8" t="s">
        <v>42</v>
      </c>
      <c r="B208" s="9" t="s">
        <v>61</v>
      </c>
      <c r="C208" s="9" t="s">
        <v>62</v>
      </c>
      <c r="D208" s="10"/>
      <c r="E208" s="11"/>
      <c r="F208" s="10"/>
      <c r="G208" s="11"/>
      <c r="H208" s="10"/>
      <c r="I208" s="11"/>
      <c r="J208" s="10"/>
      <c r="K208" s="11"/>
    </row>
    <row r="209">
      <c r="A209" s="8" t="s">
        <v>43</v>
      </c>
      <c r="B209" s="9" t="s">
        <v>61</v>
      </c>
      <c r="C209" s="9" t="s">
        <v>62</v>
      </c>
      <c r="D209" s="10"/>
      <c r="E209" s="11"/>
      <c r="F209" s="10"/>
      <c r="G209" s="11"/>
      <c r="H209" s="10"/>
      <c r="I209" s="11"/>
      <c r="J209" s="10"/>
      <c r="K209" s="11"/>
    </row>
    <row r="210">
      <c r="A210" s="8" t="s">
        <v>44</v>
      </c>
      <c r="B210" s="9" t="s">
        <v>61</v>
      </c>
      <c r="C210" s="9" t="s">
        <v>62</v>
      </c>
      <c r="D210" s="10"/>
      <c r="E210" s="11" t="n">
        <f>2700</f>
        <v>2700.0</v>
      </c>
      <c r="F210" s="10"/>
      <c r="G210" s="11" t="n">
        <f>1307711700</f>
        <v>1.3077117E9</v>
      </c>
      <c r="H210" s="10"/>
      <c r="I210" s="11" t="str">
        <f>"－"</f>
        <v>－</v>
      </c>
      <c r="J210" s="10"/>
      <c r="K210" s="11" t="n">
        <f>40362</f>
        <v>40362.0</v>
      </c>
    </row>
    <row r="211">
      <c r="A211" s="8" t="s">
        <v>45</v>
      </c>
      <c r="B211" s="9" t="s">
        <v>61</v>
      </c>
      <c r="C211" s="9" t="s">
        <v>62</v>
      </c>
      <c r="D211" s="10"/>
      <c r="E211" s="11" t="n">
        <f>3038</f>
        <v>3038.0</v>
      </c>
      <c r="F211" s="10"/>
      <c r="G211" s="11" t="n">
        <f>1441553900</f>
        <v>1.4415539E9</v>
      </c>
      <c r="H211" s="10"/>
      <c r="I211" s="11" t="str">
        <f>"－"</f>
        <v>－</v>
      </c>
      <c r="J211" s="10"/>
      <c r="K211" s="11" t="n">
        <f>40471</f>
        <v>40471.0</v>
      </c>
    </row>
    <row r="212">
      <c r="A212" s="8" t="s">
        <v>46</v>
      </c>
      <c r="B212" s="9" t="s">
        <v>61</v>
      </c>
      <c r="C212" s="9" t="s">
        <v>62</v>
      </c>
      <c r="D212" s="10"/>
      <c r="E212" s="11" t="n">
        <f>2631</f>
        <v>2631.0</v>
      </c>
      <c r="F212" s="10"/>
      <c r="G212" s="11" t="n">
        <f>1224156300</f>
        <v>1.2241563E9</v>
      </c>
      <c r="H212" s="10"/>
      <c r="I212" s="11" t="str">
        <f>"－"</f>
        <v>－</v>
      </c>
      <c r="J212" s="10"/>
      <c r="K212" s="11" t="n">
        <f>40711</f>
        <v>40711.0</v>
      </c>
    </row>
    <row r="213">
      <c r="A213" s="8" t="s">
        <v>47</v>
      </c>
      <c r="B213" s="9" t="s">
        <v>61</v>
      </c>
      <c r="C213" s="9" t="s">
        <v>62</v>
      </c>
      <c r="D213" s="10"/>
      <c r="E213" s="11" t="n">
        <f>3352</f>
        <v>3352.0</v>
      </c>
      <c r="F213" s="10"/>
      <c r="G213" s="11" t="n">
        <f>1551318300</f>
        <v>1.5513183E9</v>
      </c>
      <c r="H213" s="10"/>
      <c r="I213" s="11" t="str">
        <f>"－"</f>
        <v>－</v>
      </c>
      <c r="J213" s="10"/>
      <c r="K213" s="11" t="n">
        <f>40814</f>
        <v>40814.0</v>
      </c>
    </row>
    <row r="214">
      <c r="A214" s="8" t="s">
        <v>48</v>
      </c>
      <c r="B214" s="9" t="s">
        <v>61</v>
      </c>
      <c r="C214" s="9" t="s">
        <v>62</v>
      </c>
      <c r="D214" s="10"/>
      <c r="E214" s="11" t="n">
        <f>3605</f>
        <v>3605.0</v>
      </c>
      <c r="F214" s="10"/>
      <c r="G214" s="11" t="n">
        <f>1673742800</f>
        <v>1.6737428E9</v>
      </c>
      <c r="H214" s="10"/>
      <c r="I214" s="11" t="str">
        <f>"－"</f>
        <v>－</v>
      </c>
      <c r="J214" s="10" t="s">
        <v>37</v>
      </c>
      <c r="K214" s="11" t="n">
        <f>41728</f>
        <v>41728.0</v>
      </c>
    </row>
    <row r="215">
      <c r="A215" s="8" t="s">
        <v>49</v>
      </c>
      <c r="B215" s="9" t="s">
        <v>61</v>
      </c>
      <c r="C215" s="9" t="s">
        <v>62</v>
      </c>
      <c r="D215" s="10"/>
      <c r="E215" s="11"/>
      <c r="F215" s="10"/>
      <c r="G215" s="11"/>
      <c r="H215" s="10"/>
      <c r="I215" s="11"/>
      <c r="J215" s="10"/>
      <c r="K215" s="11"/>
    </row>
    <row r="216">
      <c r="A216" s="8" t="s">
        <v>16</v>
      </c>
      <c r="B216" s="9" t="s">
        <v>63</v>
      </c>
      <c r="C216" s="9" t="s">
        <v>64</v>
      </c>
      <c r="D216" s="10" t="s">
        <v>52</v>
      </c>
      <c r="E216" s="11" t="str">
        <f>"－"</f>
        <v>－</v>
      </c>
      <c r="F216" s="10" t="s">
        <v>52</v>
      </c>
      <c r="G216" s="11" t="str">
        <f>"－"</f>
        <v>－</v>
      </c>
      <c r="H216" s="10" t="s">
        <v>52</v>
      </c>
      <c r="I216" s="11" t="str">
        <f>"－"</f>
        <v>－</v>
      </c>
      <c r="J216" s="10" t="s">
        <v>52</v>
      </c>
      <c r="K216" s="11" t="str">
        <f>"－"</f>
        <v>－</v>
      </c>
    </row>
    <row r="217">
      <c r="A217" s="8" t="s">
        <v>20</v>
      </c>
      <c r="B217" s="9" t="s">
        <v>63</v>
      </c>
      <c r="C217" s="9" t="s">
        <v>64</v>
      </c>
      <c r="D217" s="10"/>
      <c r="E217" s="11"/>
      <c r="F217" s="10"/>
      <c r="G217" s="11"/>
      <c r="H217" s="10"/>
      <c r="I217" s="11"/>
      <c r="J217" s="10"/>
      <c r="K217" s="11"/>
    </row>
    <row r="218">
      <c r="A218" s="8" t="s">
        <v>21</v>
      </c>
      <c r="B218" s="9" t="s">
        <v>63</v>
      </c>
      <c r="C218" s="9" t="s">
        <v>64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22</v>
      </c>
      <c r="B219" s="9" t="s">
        <v>63</v>
      </c>
      <c r="C219" s="9" t="s">
        <v>64</v>
      </c>
      <c r="D219" s="10"/>
      <c r="E219" s="11"/>
      <c r="F219" s="10"/>
      <c r="G219" s="11"/>
      <c r="H219" s="10"/>
      <c r="I219" s="11"/>
      <c r="J219" s="10"/>
      <c r="K219" s="11"/>
    </row>
    <row r="220">
      <c r="A220" s="8" t="s">
        <v>23</v>
      </c>
      <c r="B220" s="9" t="s">
        <v>63</v>
      </c>
      <c r="C220" s="9" t="s">
        <v>64</v>
      </c>
      <c r="D220" s="10"/>
      <c r="E220" s="11" t="str">
        <f>"－"</f>
        <v>－</v>
      </c>
      <c r="F220" s="10"/>
      <c r="G220" s="11" t="str">
        <f>"－"</f>
        <v>－</v>
      </c>
      <c r="H220" s="10"/>
      <c r="I220" s="11" t="str">
        <f>"－"</f>
        <v>－</v>
      </c>
      <c r="J220" s="10"/>
      <c r="K220" s="11" t="str">
        <f>"－"</f>
        <v>－</v>
      </c>
    </row>
    <row r="221">
      <c r="A221" s="8" t="s">
        <v>24</v>
      </c>
      <c r="B221" s="9" t="s">
        <v>63</v>
      </c>
      <c r="C221" s="9" t="s">
        <v>64</v>
      </c>
      <c r="D221" s="10"/>
      <c r="E221" s="11" t="str">
        <f>"－"</f>
        <v>－</v>
      </c>
      <c r="F221" s="10"/>
      <c r="G221" s="11" t="str">
        <f>"－"</f>
        <v>－</v>
      </c>
      <c r="H221" s="10"/>
      <c r="I221" s="11" t="str">
        <f>"－"</f>
        <v>－</v>
      </c>
      <c r="J221" s="10"/>
      <c r="K221" s="11" t="str">
        <f>"－"</f>
        <v>－</v>
      </c>
    </row>
    <row r="222">
      <c r="A222" s="8" t="s">
        <v>25</v>
      </c>
      <c r="B222" s="9" t="s">
        <v>63</v>
      </c>
      <c r="C222" s="9" t="s">
        <v>64</v>
      </c>
      <c r="D222" s="10"/>
      <c r="E222" s="11" t="str">
        <f>"－"</f>
        <v>－</v>
      </c>
      <c r="F222" s="10"/>
      <c r="G222" s="11" t="str">
        <f>"－"</f>
        <v>－</v>
      </c>
      <c r="H222" s="10"/>
      <c r="I222" s="11" t="str">
        <f>"－"</f>
        <v>－</v>
      </c>
      <c r="J222" s="10"/>
      <c r="K222" s="11" t="str">
        <f>"－"</f>
        <v>－</v>
      </c>
    </row>
    <row r="223">
      <c r="A223" s="8" t="s">
        <v>26</v>
      </c>
      <c r="B223" s="9" t="s">
        <v>63</v>
      </c>
      <c r="C223" s="9" t="s">
        <v>64</v>
      </c>
      <c r="D223" s="10"/>
      <c r="E223" s="11" t="str">
        <f>"－"</f>
        <v>－</v>
      </c>
      <c r="F223" s="10"/>
      <c r="G223" s="11" t="str">
        <f>"－"</f>
        <v>－</v>
      </c>
      <c r="H223" s="10"/>
      <c r="I223" s="11" t="str">
        <f>"－"</f>
        <v>－</v>
      </c>
      <c r="J223" s="10"/>
      <c r="K223" s="11" t="str">
        <f>"－"</f>
        <v>－</v>
      </c>
    </row>
    <row r="224">
      <c r="A224" s="8" t="s">
        <v>27</v>
      </c>
      <c r="B224" s="9" t="s">
        <v>63</v>
      </c>
      <c r="C224" s="9" t="s">
        <v>64</v>
      </c>
      <c r="D224" s="10"/>
      <c r="E224" s="11"/>
      <c r="F224" s="10"/>
      <c r="G224" s="11"/>
      <c r="H224" s="10"/>
      <c r="I224" s="11"/>
      <c r="J224" s="10"/>
      <c r="K224" s="11"/>
    </row>
    <row r="225">
      <c r="A225" s="8" t="s">
        <v>28</v>
      </c>
      <c r="B225" s="9" t="s">
        <v>63</v>
      </c>
      <c r="C225" s="9" t="s">
        <v>64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29</v>
      </c>
      <c r="B226" s="9" t="s">
        <v>63</v>
      </c>
      <c r="C226" s="9" t="s">
        <v>64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30</v>
      </c>
      <c r="B227" s="9" t="s">
        <v>63</v>
      </c>
      <c r="C227" s="9" t="s">
        <v>64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31</v>
      </c>
      <c r="B228" s="9" t="s">
        <v>63</v>
      </c>
      <c r="C228" s="9" t="s">
        <v>64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32</v>
      </c>
      <c r="B229" s="9" t="s">
        <v>63</v>
      </c>
      <c r="C229" s="9" t="s">
        <v>64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33</v>
      </c>
      <c r="B230" s="9" t="s">
        <v>63</v>
      </c>
      <c r="C230" s="9" t="s">
        <v>64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34</v>
      </c>
      <c r="B231" s="9" t="s">
        <v>63</v>
      </c>
      <c r="C231" s="9" t="s">
        <v>64</v>
      </c>
      <c r="D231" s="10"/>
      <c r="E231" s="11"/>
      <c r="F231" s="10"/>
      <c r="G231" s="11"/>
      <c r="H231" s="10"/>
      <c r="I231" s="11"/>
      <c r="J231" s="10"/>
      <c r="K231" s="11"/>
    </row>
    <row r="232">
      <c r="A232" s="8" t="s">
        <v>35</v>
      </c>
      <c r="B232" s="9" t="s">
        <v>63</v>
      </c>
      <c r="C232" s="9" t="s">
        <v>64</v>
      </c>
      <c r="D232" s="10"/>
      <c r="E232" s="11"/>
      <c r="F232" s="10"/>
      <c r="G232" s="11"/>
      <c r="H232" s="10"/>
      <c r="I232" s="11"/>
      <c r="J232" s="10"/>
      <c r="K232" s="11"/>
    </row>
    <row r="233">
      <c r="A233" s="8" t="s">
        <v>36</v>
      </c>
      <c r="B233" s="9" t="s">
        <v>63</v>
      </c>
      <c r="C233" s="9" t="s">
        <v>64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38</v>
      </c>
      <c r="B234" s="9" t="s">
        <v>63</v>
      </c>
      <c r="C234" s="9" t="s">
        <v>64</v>
      </c>
      <c r="D234" s="10"/>
      <c r="E234" s="11" t="str">
        <f>"－"</f>
        <v>－</v>
      </c>
      <c r="F234" s="10"/>
      <c r="G234" s="11" t="str">
        <f>"－"</f>
        <v>－</v>
      </c>
      <c r="H234" s="10"/>
      <c r="I234" s="11" t="str">
        <f>"－"</f>
        <v>－</v>
      </c>
      <c r="J234" s="10"/>
      <c r="K234" s="11" t="str">
        <f>"－"</f>
        <v>－</v>
      </c>
    </row>
    <row r="235">
      <c r="A235" s="8" t="s">
        <v>39</v>
      </c>
      <c r="B235" s="9" t="s">
        <v>63</v>
      </c>
      <c r="C235" s="9" t="s">
        <v>64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40</v>
      </c>
      <c r="B236" s="9" t="s">
        <v>63</v>
      </c>
      <c r="C236" s="9" t="s">
        <v>64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41</v>
      </c>
      <c r="B237" s="9" t="s">
        <v>63</v>
      </c>
      <c r="C237" s="9" t="s">
        <v>64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42</v>
      </c>
      <c r="B238" s="9" t="s">
        <v>63</v>
      </c>
      <c r="C238" s="9" t="s">
        <v>64</v>
      </c>
      <c r="D238" s="10"/>
      <c r="E238" s="11"/>
      <c r="F238" s="10"/>
      <c r="G238" s="11"/>
      <c r="H238" s="10"/>
      <c r="I238" s="11"/>
      <c r="J238" s="10"/>
      <c r="K238" s="11"/>
    </row>
    <row r="239">
      <c r="A239" s="8" t="s">
        <v>43</v>
      </c>
      <c r="B239" s="9" t="s">
        <v>63</v>
      </c>
      <c r="C239" s="9" t="s">
        <v>64</v>
      </c>
      <c r="D239" s="10"/>
      <c r="E239" s="11"/>
      <c r="F239" s="10"/>
      <c r="G239" s="11"/>
      <c r="H239" s="10"/>
      <c r="I239" s="11"/>
      <c r="J239" s="10"/>
      <c r="K239" s="11"/>
    </row>
    <row r="240">
      <c r="A240" s="8" t="s">
        <v>44</v>
      </c>
      <c r="B240" s="9" t="s">
        <v>63</v>
      </c>
      <c r="C240" s="9" t="s">
        <v>64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45</v>
      </c>
      <c r="B241" s="9" t="s">
        <v>63</v>
      </c>
      <c r="C241" s="9" t="s">
        <v>64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46</v>
      </c>
      <c r="B242" s="9" t="s">
        <v>63</v>
      </c>
      <c r="C242" s="9" t="s">
        <v>64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47</v>
      </c>
      <c r="B243" s="9" t="s">
        <v>63</v>
      </c>
      <c r="C243" s="9" t="s">
        <v>64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48</v>
      </c>
      <c r="B244" s="9" t="s">
        <v>63</v>
      </c>
      <c r="C244" s="9" t="s">
        <v>64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49</v>
      </c>
      <c r="B245" s="9" t="s">
        <v>63</v>
      </c>
      <c r="C245" s="9" t="s">
        <v>64</v>
      </c>
      <c r="D245" s="10"/>
      <c r="E245" s="11"/>
      <c r="F245" s="10"/>
      <c r="G245" s="11"/>
      <c r="H245" s="10"/>
      <c r="I245" s="11"/>
      <c r="J245" s="10"/>
      <c r="K245" s="11"/>
    </row>
    <row r="246">
      <c r="A246" s="8" t="s">
        <v>16</v>
      </c>
      <c r="B246" s="9" t="s">
        <v>65</v>
      </c>
      <c r="C246" s="9" t="s">
        <v>66</v>
      </c>
      <c r="D246" s="10" t="s">
        <v>52</v>
      </c>
      <c r="E246" s="11" t="str">
        <f>"－"</f>
        <v>－</v>
      </c>
      <c r="F246" s="10" t="s">
        <v>52</v>
      </c>
      <c r="G246" s="11" t="str">
        <f>"－"</f>
        <v>－</v>
      </c>
      <c r="H246" s="10" t="s">
        <v>52</v>
      </c>
      <c r="I246" s="11" t="str">
        <f>"－"</f>
        <v>－</v>
      </c>
      <c r="J246" s="10" t="s">
        <v>52</v>
      </c>
      <c r="K246" s="11" t="str">
        <f>"－"</f>
        <v>－</v>
      </c>
    </row>
    <row r="247">
      <c r="A247" s="8" t="s">
        <v>20</v>
      </c>
      <c r="B247" s="9" t="s">
        <v>65</v>
      </c>
      <c r="C247" s="9" t="s">
        <v>66</v>
      </c>
      <c r="D247" s="10"/>
      <c r="E247" s="11"/>
      <c r="F247" s="10"/>
      <c r="G247" s="11"/>
      <c r="H247" s="10"/>
      <c r="I247" s="11"/>
      <c r="J247" s="10"/>
      <c r="K247" s="11"/>
    </row>
    <row r="248">
      <c r="A248" s="8" t="s">
        <v>21</v>
      </c>
      <c r="B248" s="9" t="s">
        <v>65</v>
      </c>
      <c r="C248" s="9" t="s">
        <v>66</v>
      </c>
      <c r="D248" s="10"/>
      <c r="E248" s="11"/>
      <c r="F248" s="10"/>
      <c r="G248" s="11"/>
      <c r="H248" s="10"/>
      <c r="I248" s="11"/>
      <c r="J248" s="10"/>
      <c r="K248" s="11"/>
    </row>
    <row r="249">
      <c r="A249" s="8" t="s">
        <v>22</v>
      </c>
      <c r="B249" s="9" t="s">
        <v>65</v>
      </c>
      <c r="C249" s="9" t="s">
        <v>66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23</v>
      </c>
      <c r="B250" s="9" t="s">
        <v>65</v>
      </c>
      <c r="C250" s="9" t="s">
        <v>66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24</v>
      </c>
      <c r="B251" s="9" t="s">
        <v>65</v>
      </c>
      <c r="C251" s="9" t="s">
        <v>66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25</v>
      </c>
      <c r="B252" s="9" t="s">
        <v>65</v>
      </c>
      <c r="C252" s="9" t="s">
        <v>66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26</v>
      </c>
      <c r="B253" s="9" t="s">
        <v>65</v>
      </c>
      <c r="C253" s="9" t="s">
        <v>66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27</v>
      </c>
      <c r="B254" s="9" t="s">
        <v>65</v>
      </c>
      <c r="C254" s="9" t="s">
        <v>66</v>
      </c>
      <c r="D254" s="10"/>
      <c r="E254" s="11"/>
      <c r="F254" s="10"/>
      <c r="G254" s="11"/>
      <c r="H254" s="10"/>
      <c r="I254" s="11"/>
      <c r="J254" s="10"/>
      <c r="K254" s="11"/>
    </row>
    <row r="255">
      <c r="A255" s="8" t="s">
        <v>28</v>
      </c>
      <c r="B255" s="9" t="s">
        <v>65</v>
      </c>
      <c r="C255" s="9" t="s">
        <v>66</v>
      </c>
      <c r="D255" s="10"/>
      <c r="E255" s="11"/>
      <c r="F255" s="10"/>
      <c r="G255" s="11"/>
      <c r="H255" s="10"/>
      <c r="I255" s="11"/>
      <c r="J255" s="10"/>
      <c r="K255" s="11"/>
    </row>
    <row r="256">
      <c r="A256" s="8" t="s">
        <v>29</v>
      </c>
      <c r="B256" s="9" t="s">
        <v>65</v>
      </c>
      <c r="C256" s="9" t="s">
        <v>66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str">
        <f>"－"</f>
        <v>－</v>
      </c>
    </row>
    <row r="257">
      <c r="A257" s="8" t="s">
        <v>30</v>
      </c>
      <c r="B257" s="9" t="s">
        <v>65</v>
      </c>
      <c r="C257" s="9" t="s">
        <v>66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str">
        <f>"－"</f>
        <v>－</v>
      </c>
    </row>
    <row r="258">
      <c r="A258" s="8" t="s">
        <v>31</v>
      </c>
      <c r="B258" s="9" t="s">
        <v>65</v>
      </c>
      <c r="C258" s="9" t="s">
        <v>66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/>
      <c r="K258" s="11" t="str">
        <f>"－"</f>
        <v>－</v>
      </c>
    </row>
    <row r="259">
      <c r="A259" s="8" t="s">
        <v>32</v>
      </c>
      <c r="B259" s="9" t="s">
        <v>65</v>
      </c>
      <c r="C259" s="9" t="s">
        <v>66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str">
        <f>"－"</f>
        <v>－</v>
      </c>
    </row>
    <row r="260">
      <c r="A260" s="8" t="s">
        <v>33</v>
      </c>
      <c r="B260" s="9" t="s">
        <v>65</v>
      </c>
      <c r="C260" s="9" t="s">
        <v>66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str">
        <f>"－"</f>
        <v>－</v>
      </c>
    </row>
    <row r="261">
      <c r="A261" s="8" t="s">
        <v>34</v>
      </c>
      <c r="B261" s="9" t="s">
        <v>65</v>
      </c>
      <c r="C261" s="9" t="s">
        <v>66</v>
      </c>
      <c r="D261" s="10"/>
      <c r="E261" s="11"/>
      <c r="F261" s="10"/>
      <c r="G261" s="11"/>
      <c r="H261" s="10"/>
      <c r="I261" s="11"/>
      <c r="J261" s="10"/>
      <c r="K261" s="11"/>
    </row>
    <row r="262">
      <c r="A262" s="8" t="s">
        <v>35</v>
      </c>
      <c r="B262" s="9" t="s">
        <v>65</v>
      </c>
      <c r="C262" s="9" t="s">
        <v>66</v>
      </c>
      <c r="D262" s="10"/>
      <c r="E262" s="11"/>
      <c r="F262" s="10"/>
      <c r="G262" s="11"/>
      <c r="H262" s="10"/>
      <c r="I262" s="11"/>
      <c r="J262" s="10"/>
      <c r="K262" s="11"/>
    </row>
    <row r="263">
      <c r="A263" s="8" t="s">
        <v>36</v>
      </c>
      <c r="B263" s="9" t="s">
        <v>65</v>
      </c>
      <c r="C263" s="9" t="s">
        <v>66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38</v>
      </c>
      <c r="B264" s="9" t="s">
        <v>65</v>
      </c>
      <c r="C264" s="9" t="s">
        <v>66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39</v>
      </c>
      <c r="B265" s="9" t="s">
        <v>65</v>
      </c>
      <c r="C265" s="9" t="s">
        <v>66</v>
      </c>
      <c r="D265" s="10"/>
      <c r="E265" s="11" t="str">
        <f>"－"</f>
        <v>－</v>
      </c>
      <c r="F265" s="10"/>
      <c r="G265" s="11" t="str">
        <f>"－"</f>
        <v>－</v>
      </c>
      <c r="H265" s="10"/>
      <c r="I265" s="11" t="str">
        <f>"－"</f>
        <v>－</v>
      </c>
      <c r="J265" s="10"/>
      <c r="K265" s="11" t="str">
        <f>"－"</f>
        <v>－</v>
      </c>
    </row>
    <row r="266">
      <c r="A266" s="8" t="s">
        <v>40</v>
      </c>
      <c r="B266" s="9" t="s">
        <v>65</v>
      </c>
      <c r="C266" s="9" t="s">
        <v>66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str">
        <f>"－"</f>
        <v>－</v>
      </c>
    </row>
    <row r="267">
      <c r="A267" s="8" t="s">
        <v>41</v>
      </c>
      <c r="B267" s="9" t="s">
        <v>65</v>
      </c>
      <c r="C267" s="9" t="s">
        <v>66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str">
        <f>"－"</f>
        <v>－</v>
      </c>
    </row>
    <row r="268">
      <c r="A268" s="8" t="s">
        <v>42</v>
      </c>
      <c r="B268" s="9" t="s">
        <v>65</v>
      </c>
      <c r="C268" s="9" t="s">
        <v>66</v>
      </c>
      <c r="D268" s="10"/>
      <c r="E268" s="11"/>
      <c r="F268" s="10"/>
      <c r="G268" s="11"/>
      <c r="H268" s="10"/>
      <c r="I268" s="11"/>
      <c r="J268" s="10"/>
      <c r="K268" s="11"/>
    </row>
    <row r="269">
      <c r="A269" s="8" t="s">
        <v>43</v>
      </c>
      <c r="B269" s="9" t="s">
        <v>65</v>
      </c>
      <c r="C269" s="9" t="s">
        <v>66</v>
      </c>
      <c r="D269" s="10"/>
      <c r="E269" s="11"/>
      <c r="F269" s="10"/>
      <c r="G269" s="11"/>
      <c r="H269" s="10"/>
      <c r="I269" s="11"/>
      <c r="J269" s="10"/>
      <c r="K269" s="11"/>
    </row>
    <row r="270">
      <c r="A270" s="8" t="s">
        <v>44</v>
      </c>
      <c r="B270" s="9" t="s">
        <v>65</v>
      </c>
      <c r="C270" s="9" t="s">
        <v>66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45</v>
      </c>
      <c r="B271" s="9" t="s">
        <v>65</v>
      </c>
      <c r="C271" s="9" t="s">
        <v>66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46</v>
      </c>
      <c r="B272" s="9" t="s">
        <v>65</v>
      </c>
      <c r="C272" s="9" t="s">
        <v>66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str">
        <f>"－"</f>
        <v>－</v>
      </c>
    </row>
    <row r="273">
      <c r="A273" s="8" t="s">
        <v>47</v>
      </c>
      <c r="B273" s="9" t="s">
        <v>65</v>
      </c>
      <c r="C273" s="9" t="s">
        <v>66</v>
      </c>
      <c r="D273" s="10"/>
      <c r="E273" s="11" t="str">
        <f>"－"</f>
        <v>－</v>
      </c>
      <c r="F273" s="10"/>
      <c r="G273" s="11" t="str">
        <f>"－"</f>
        <v>－</v>
      </c>
      <c r="H273" s="10"/>
      <c r="I273" s="11" t="str">
        <f>"－"</f>
        <v>－</v>
      </c>
      <c r="J273" s="10"/>
      <c r="K273" s="11" t="str">
        <f>"－"</f>
        <v>－</v>
      </c>
    </row>
    <row r="274">
      <c r="A274" s="8" t="s">
        <v>48</v>
      </c>
      <c r="B274" s="9" t="s">
        <v>65</v>
      </c>
      <c r="C274" s="9" t="s">
        <v>66</v>
      </c>
      <c r="D274" s="10"/>
      <c r="E274" s="11" t="str">
        <f>"－"</f>
        <v>－</v>
      </c>
      <c r="F274" s="10"/>
      <c r="G274" s="11" t="str">
        <f>"－"</f>
        <v>－</v>
      </c>
      <c r="H274" s="10"/>
      <c r="I274" s="11" t="str">
        <f>"－"</f>
        <v>－</v>
      </c>
      <c r="J274" s="10"/>
      <c r="K274" s="11" t="str">
        <f>"－"</f>
        <v>－</v>
      </c>
    </row>
    <row r="275">
      <c r="A275" s="8" t="s">
        <v>49</v>
      </c>
      <c r="B275" s="9" t="s">
        <v>65</v>
      </c>
      <c r="C275" s="9" t="s">
        <v>66</v>
      </c>
      <c r="D275" s="10"/>
      <c r="E275" s="11"/>
      <c r="F275" s="10"/>
      <c r="G275" s="11"/>
      <c r="H275" s="10"/>
      <c r="I275" s="11"/>
      <c r="J275" s="10"/>
      <c r="K275" s="11"/>
    </row>
    <row r="276">
      <c r="A276" s="8" t="s">
        <v>16</v>
      </c>
      <c r="B276" s="9" t="s">
        <v>67</v>
      </c>
      <c r="C276" s="9" t="s">
        <v>68</v>
      </c>
      <c r="D276" s="10"/>
      <c r="E276" s="11" t="n">
        <f>2316</f>
        <v>2316.0</v>
      </c>
      <c r="F276" s="10"/>
      <c r="G276" s="11" t="n">
        <f>4043937000</f>
        <v>4.043937E9</v>
      </c>
      <c r="H276" s="10" t="s">
        <v>19</v>
      </c>
      <c r="I276" s="11" t="str">
        <f>"－"</f>
        <v>－</v>
      </c>
      <c r="J276" s="10" t="s">
        <v>37</v>
      </c>
      <c r="K276" s="11" t="n">
        <f>4519</f>
        <v>4519.0</v>
      </c>
    </row>
    <row r="277">
      <c r="A277" s="8" t="s">
        <v>20</v>
      </c>
      <c r="B277" s="9" t="s">
        <v>67</v>
      </c>
      <c r="C277" s="9" t="s">
        <v>68</v>
      </c>
      <c r="D277" s="10"/>
      <c r="E277" s="11"/>
      <c r="F277" s="10"/>
      <c r="G277" s="11"/>
      <c r="H277" s="10"/>
      <c r="I277" s="11"/>
      <c r="J277" s="10"/>
      <c r="K277" s="11"/>
    </row>
    <row r="278">
      <c r="A278" s="8" t="s">
        <v>21</v>
      </c>
      <c r="B278" s="9" t="s">
        <v>67</v>
      </c>
      <c r="C278" s="9" t="s">
        <v>68</v>
      </c>
      <c r="D278" s="10"/>
      <c r="E278" s="11"/>
      <c r="F278" s="10"/>
      <c r="G278" s="11"/>
      <c r="H278" s="10"/>
      <c r="I278" s="11"/>
      <c r="J278" s="10"/>
      <c r="K278" s="11"/>
    </row>
    <row r="279">
      <c r="A279" s="8" t="s">
        <v>22</v>
      </c>
      <c r="B279" s="9" t="s">
        <v>67</v>
      </c>
      <c r="C279" s="9" t="s">
        <v>68</v>
      </c>
      <c r="D279" s="10"/>
      <c r="E279" s="11"/>
      <c r="F279" s="10"/>
      <c r="G279" s="11"/>
      <c r="H279" s="10"/>
      <c r="I279" s="11"/>
      <c r="J279" s="10"/>
      <c r="K279" s="11"/>
    </row>
    <row r="280">
      <c r="A280" s="8" t="s">
        <v>23</v>
      </c>
      <c r="B280" s="9" t="s">
        <v>67</v>
      </c>
      <c r="C280" s="9" t="s">
        <v>68</v>
      </c>
      <c r="D280" s="10"/>
      <c r="E280" s="11" t="n">
        <f>1174</f>
        <v>1174.0</v>
      </c>
      <c r="F280" s="10"/>
      <c r="G280" s="11" t="n">
        <f>2040975500</f>
        <v>2.0409755E9</v>
      </c>
      <c r="H280" s="10"/>
      <c r="I280" s="11" t="str">
        <f>"－"</f>
        <v>－</v>
      </c>
      <c r="J280" s="10"/>
      <c r="K280" s="11" t="n">
        <f>4318</f>
        <v>4318.0</v>
      </c>
    </row>
    <row r="281">
      <c r="A281" s="8" t="s">
        <v>24</v>
      </c>
      <c r="B281" s="9" t="s">
        <v>67</v>
      </c>
      <c r="C281" s="9" t="s">
        <v>68</v>
      </c>
      <c r="D281" s="10"/>
      <c r="E281" s="11" t="n">
        <f>1307</f>
        <v>1307.0</v>
      </c>
      <c r="F281" s="10"/>
      <c r="G281" s="11" t="n">
        <f>2312085500</f>
        <v>2.3120855E9</v>
      </c>
      <c r="H281" s="10"/>
      <c r="I281" s="11" t="str">
        <f>"－"</f>
        <v>－</v>
      </c>
      <c r="J281" s="10"/>
      <c r="K281" s="11" t="n">
        <f>4404</f>
        <v>4404.0</v>
      </c>
    </row>
    <row r="282">
      <c r="A282" s="8" t="s">
        <v>25</v>
      </c>
      <c r="B282" s="9" t="s">
        <v>67</v>
      </c>
      <c r="C282" s="9" t="s">
        <v>68</v>
      </c>
      <c r="D282" s="10"/>
      <c r="E282" s="11" t="n">
        <f>1152</f>
        <v>1152.0</v>
      </c>
      <c r="F282" s="10"/>
      <c r="G282" s="11" t="n">
        <f>2101928000</f>
        <v>2.101928E9</v>
      </c>
      <c r="H282" s="10"/>
      <c r="I282" s="11" t="str">
        <f>"－"</f>
        <v>－</v>
      </c>
      <c r="J282" s="10"/>
      <c r="K282" s="11" t="n">
        <f>4248</f>
        <v>4248.0</v>
      </c>
    </row>
    <row r="283">
      <c r="A283" s="8" t="s">
        <v>26</v>
      </c>
      <c r="B283" s="9" t="s">
        <v>67</v>
      </c>
      <c r="C283" s="9" t="s">
        <v>68</v>
      </c>
      <c r="D283" s="10"/>
      <c r="E283" s="11" t="n">
        <f>1344</f>
        <v>1344.0</v>
      </c>
      <c r="F283" s="10"/>
      <c r="G283" s="11" t="n">
        <f>2499687000</f>
        <v>2.499687E9</v>
      </c>
      <c r="H283" s="10"/>
      <c r="I283" s="11" t="str">
        <f>"－"</f>
        <v>－</v>
      </c>
      <c r="J283" s="10"/>
      <c r="K283" s="11" t="n">
        <f>4302</f>
        <v>4302.0</v>
      </c>
    </row>
    <row r="284">
      <c r="A284" s="8" t="s">
        <v>27</v>
      </c>
      <c r="B284" s="9" t="s">
        <v>67</v>
      </c>
      <c r="C284" s="9" t="s">
        <v>68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28</v>
      </c>
      <c r="B285" s="9" t="s">
        <v>67</v>
      </c>
      <c r="C285" s="9" t="s">
        <v>68</v>
      </c>
      <c r="D285" s="10"/>
      <c r="E285" s="11"/>
      <c r="F285" s="10"/>
      <c r="G285" s="11"/>
      <c r="H285" s="10"/>
      <c r="I285" s="11"/>
      <c r="J285" s="10"/>
      <c r="K285" s="11"/>
    </row>
    <row r="286">
      <c r="A286" s="8" t="s">
        <v>29</v>
      </c>
      <c r="B286" s="9" t="s">
        <v>67</v>
      </c>
      <c r="C286" s="9" t="s">
        <v>68</v>
      </c>
      <c r="D286" s="10"/>
      <c r="E286" s="11" t="n">
        <f>638</f>
        <v>638.0</v>
      </c>
      <c r="F286" s="10"/>
      <c r="G286" s="11" t="n">
        <f>1164615500</f>
        <v>1.1646155E9</v>
      </c>
      <c r="H286" s="10"/>
      <c r="I286" s="11" t="str">
        <f>"－"</f>
        <v>－</v>
      </c>
      <c r="J286" s="10"/>
      <c r="K286" s="11" t="n">
        <f>4298</f>
        <v>4298.0</v>
      </c>
    </row>
    <row r="287">
      <c r="A287" s="8" t="s">
        <v>30</v>
      </c>
      <c r="B287" s="9" t="s">
        <v>67</v>
      </c>
      <c r="C287" s="9" t="s">
        <v>68</v>
      </c>
      <c r="D287" s="10"/>
      <c r="E287" s="11" t="n">
        <f>1607</f>
        <v>1607.0</v>
      </c>
      <c r="F287" s="10"/>
      <c r="G287" s="11" t="n">
        <f>2844555500</f>
        <v>2.8445555E9</v>
      </c>
      <c r="H287" s="10"/>
      <c r="I287" s="11" t="str">
        <f>"－"</f>
        <v>－</v>
      </c>
      <c r="J287" s="10"/>
      <c r="K287" s="11" t="n">
        <f>4234</f>
        <v>4234.0</v>
      </c>
    </row>
    <row r="288">
      <c r="A288" s="8" t="s">
        <v>31</v>
      </c>
      <c r="B288" s="9" t="s">
        <v>67</v>
      </c>
      <c r="C288" s="9" t="s">
        <v>68</v>
      </c>
      <c r="D288" s="10"/>
      <c r="E288" s="11" t="n">
        <f>1077</f>
        <v>1077.0</v>
      </c>
      <c r="F288" s="10"/>
      <c r="G288" s="11" t="n">
        <f>1866786000</f>
        <v>1.866786E9</v>
      </c>
      <c r="H288" s="10"/>
      <c r="I288" s="11" t="str">
        <f>"－"</f>
        <v>－</v>
      </c>
      <c r="J288" s="10"/>
      <c r="K288" s="11" t="n">
        <f>4178</f>
        <v>4178.0</v>
      </c>
    </row>
    <row r="289">
      <c r="A289" s="8" t="s">
        <v>32</v>
      </c>
      <c r="B289" s="9" t="s">
        <v>67</v>
      </c>
      <c r="C289" s="9" t="s">
        <v>68</v>
      </c>
      <c r="D289" s="10"/>
      <c r="E289" s="11" t="n">
        <f>898</f>
        <v>898.0</v>
      </c>
      <c r="F289" s="10"/>
      <c r="G289" s="11" t="n">
        <f>1546729000</f>
        <v>1.546729E9</v>
      </c>
      <c r="H289" s="10"/>
      <c r="I289" s="11" t="str">
        <f>"－"</f>
        <v>－</v>
      </c>
      <c r="J289" s="10"/>
      <c r="K289" s="11" t="n">
        <f>4158</f>
        <v>4158.0</v>
      </c>
    </row>
    <row r="290">
      <c r="A290" s="8" t="s">
        <v>33</v>
      </c>
      <c r="B290" s="9" t="s">
        <v>67</v>
      </c>
      <c r="C290" s="9" t="s">
        <v>68</v>
      </c>
      <c r="D290" s="10"/>
      <c r="E290" s="11" t="n">
        <f>560</f>
        <v>560.0</v>
      </c>
      <c r="F290" s="10"/>
      <c r="G290" s="11" t="n">
        <f>976669500</f>
        <v>9.766695E8</v>
      </c>
      <c r="H290" s="10"/>
      <c r="I290" s="11" t="str">
        <f>"－"</f>
        <v>－</v>
      </c>
      <c r="J290" s="10"/>
      <c r="K290" s="11" t="n">
        <f>4188</f>
        <v>4188.0</v>
      </c>
    </row>
    <row r="291">
      <c r="A291" s="8" t="s">
        <v>34</v>
      </c>
      <c r="B291" s="9" t="s">
        <v>67</v>
      </c>
      <c r="C291" s="9" t="s">
        <v>68</v>
      </c>
      <c r="D291" s="10"/>
      <c r="E291" s="11"/>
      <c r="F291" s="10"/>
      <c r="G291" s="11"/>
      <c r="H291" s="10"/>
      <c r="I291" s="11"/>
      <c r="J291" s="10"/>
      <c r="K291" s="11"/>
    </row>
    <row r="292">
      <c r="A292" s="8" t="s">
        <v>35</v>
      </c>
      <c r="B292" s="9" t="s">
        <v>67</v>
      </c>
      <c r="C292" s="9" t="s">
        <v>68</v>
      </c>
      <c r="D292" s="10"/>
      <c r="E292" s="11"/>
      <c r="F292" s="10"/>
      <c r="G292" s="11"/>
      <c r="H292" s="10"/>
      <c r="I292" s="11"/>
      <c r="J292" s="10"/>
      <c r="K292" s="11"/>
    </row>
    <row r="293">
      <c r="A293" s="8" t="s">
        <v>36</v>
      </c>
      <c r="B293" s="9" t="s">
        <v>67</v>
      </c>
      <c r="C293" s="9" t="s">
        <v>68</v>
      </c>
      <c r="D293" s="10"/>
      <c r="E293" s="11" t="n">
        <f>812</f>
        <v>812.0</v>
      </c>
      <c r="F293" s="10"/>
      <c r="G293" s="11" t="n">
        <f>1408448000</f>
        <v>1.408448E9</v>
      </c>
      <c r="H293" s="10"/>
      <c r="I293" s="11" t="str">
        <f>"－"</f>
        <v>－</v>
      </c>
      <c r="J293" s="10"/>
      <c r="K293" s="11" t="n">
        <f>4310</f>
        <v>4310.0</v>
      </c>
    </row>
    <row r="294">
      <c r="A294" s="8" t="s">
        <v>38</v>
      </c>
      <c r="B294" s="9" t="s">
        <v>67</v>
      </c>
      <c r="C294" s="9" t="s">
        <v>68</v>
      </c>
      <c r="D294" s="10"/>
      <c r="E294" s="11" t="n">
        <f>736</f>
        <v>736.0</v>
      </c>
      <c r="F294" s="10"/>
      <c r="G294" s="11" t="n">
        <f>1294302500</f>
        <v>1.2943025E9</v>
      </c>
      <c r="H294" s="10" t="s">
        <v>37</v>
      </c>
      <c r="I294" s="11" t="n">
        <f>1</f>
        <v>1.0</v>
      </c>
      <c r="J294" s="10"/>
      <c r="K294" s="11" t="n">
        <f>3961</f>
        <v>3961.0</v>
      </c>
    </row>
    <row r="295">
      <c r="A295" s="8" t="s">
        <v>39</v>
      </c>
      <c r="B295" s="9" t="s">
        <v>67</v>
      </c>
      <c r="C295" s="9" t="s">
        <v>68</v>
      </c>
      <c r="D295" s="10" t="s">
        <v>19</v>
      </c>
      <c r="E295" s="11" t="n">
        <f>491</f>
        <v>491.0</v>
      </c>
      <c r="F295" s="10" t="s">
        <v>19</v>
      </c>
      <c r="G295" s="11" t="n">
        <f>883931000</f>
        <v>8.83931E8</v>
      </c>
      <c r="H295" s="10"/>
      <c r="I295" s="11" t="str">
        <f>"－"</f>
        <v>－</v>
      </c>
      <c r="J295" s="10"/>
      <c r="K295" s="11" t="n">
        <f>3894</f>
        <v>3894.0</v>
      </c>
    </row>
    <row r="296">
      <c r="A296" s="8" t="s">
        <v>40</v>
      </c>
      <c r="B296" s="9" t="s">
        <v>67</v>
      </c>
      <c r="C296" s="9" t="s">
        <v>68</v>
      </c>
      <c r="D296" s="10"/>
      <c r="E296" s="11" t="n">
        <f>1399</f>
        <v>1399.0</v>
      </c>
      <c r="F296" s="10"/>
      <c r="G296" s="11" t="n">
        <f>2552565500</f>
        <v>2.5525655E9</v>
      </c>
      <c r="H296" s="10"/>
      <c r="I296" s="11" t="str">
        <f>"－"</f>
        <v>－</v>
      </c>
      <c r="J296" s="10"/>
      <c r="K296" s="11" t="n">
        <f>3723</f>
        <v>3723.0</v>
      </c>
    </row>
    <row r="297">
      <c r="A297" s="8" t="s">
        <v>41</v>
      </c>
      <c r="B297" s="9" t="s">
        <v>67</v>
      </c>
      <c r="C297" s="9" t="s">
        <v>68</v>
      </c>
      <c r="D297" s="10"/>
      <c r="E297" s="11" t="n">
        <f>1025</f>
        <v>1025.0</v>
      </c>
      <c r="F297" s="10"/>
      <c r="G297" s="11" t="n">
        <f>1856001000</f>
        <v>1.856001E9</v>
      </c>
      <c r="H297" s="10"/>
      <c r="I297" s="11" t="str">
        <f>"－"</f>
        <v>－</v>
      </c>
      <c r="J297" s="10" t="s">
        <v>19</v>
      </c>
      <c r="K297" s="11" t="n">
        <f>3494</f>
        <v>3494.0</v>
      </c>
    </row>
    <row r="298">
      <c r="A298" s="8" t="s">
        <v>42</v>
      </c>
      <c r="B298" s="9" t="s">
        <v>67</v>
      </c>
      <c r="C298" s="9" t="s">
        <v>68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43</v>
      </c>
      <c r="B299" s="9" t="s">
        <v>67</v>
      </c>
      <c r="C299" s="9" t="s">
        <v>68</v>
      </c>
      <c r="D299" s="10"/>
      <c r="E299" s="11"/>
      <c r="F299" s="10"/>
      <c r="G299" s="11"/>
      <c r="H299" s="10"/>
      <c r="I299" s="11"/>
      <c r="J299" s="10"/>
      <c r="K299" s="11"/>
    </row>
    <row r="300">
      <c r="A300" s="8" t="s">
        <v>44</v>
      </c>
      <c r="B300" s="9" t="s">
        <v>67</v>
      </c>
      <c r="C300" s="9" t="s">
        <v>68</v>
      </c>
      <c r="D300" s="10"/>
      <c r="E300" s="11" t="n">
        <f>608</f>
        <v>608.0</v>
      </c>
      <c r="F300" s="10"/>
      <c r="G300" s="11" t="n">
        <f>1092270000</f>
        <v>1.09227E9</v>
      </c>
      <c r="H300" s="10"/>
      <c r="I300" s="11" t="str">
        <f>"－"</f>
        <v>－</v>
      </c>
      <c r="J300" s="10"/>
      <c r="K300" s="11" t="n">
        <f>3576</f>
        <v>3576.0</v>
      </c>
    </row>
    <row r="301">
      <c r="A301" s="8" t="s">
        <v>45</v>
      </c>
      <c r="B301" s="9" t="s">
        <v>67</v>
      </c>
      <c r="C301" s="9" t="s">
        <v>68</v>
      </c>
      <c r="D301" s="10"/>
      <c r="E301" s="11" t="n">
        <f>1116</f>
        <v>1116.0</v>
      </c>
      <c r="F301" s="10"/>
      <c r="G301" s="11" t="n">
        <f>2031822000</f>
        <v>2.031822E9</v>
      </c>
      <c r="H301" s="10"/>
      <c r="I301" s="11" t="str">
        <f>"－"</f>
        <v>－</v>
      </c>
      <c r="J301" s="10"/>
      <c r="K301" s="11" t="n">
        <f>3515</f>
        <v>3515.0</v>
      </c>
    </row>
    <row r="302">
      <c r="A302" s="8" t="s">
        <v>46</v>
      </c>
      <c r="B302" s="9" t="s">
        <v>67</v>
      </c>
      <c r="C302" s="9" t="s">
        <v>68</v>
      </c>
      <c r="D302" s="10"/>
      <c r="E302" s="11" t="n">
        <f>844</f>
        <v>844.0</v>
      </c>
      <c r="F302" s="10"/>
      <c r="G302" s="11" t="n">
        <f>1546162500</f>
        <v>1.5461625E9</v>
      </c>
      <c r="H302" s="10"/>
      <c r="I302" s="11" t="str">
        <f>"－"</f>
        <v>－</v>
      </c>
      <c r="J302" s="10"/>
      <c r="K302" s="11" t="n">
        <f>3680</f>
        <v>3680.0</v>
      </c>
    </row>
    <row r="303">
      <c r="A303" s="8" t="s">
        <v>47</v>
      </c>
      <c r="B303" s="9" t="s">
        <v>67</v>
      </c>
      <c r="C303" s="9" t="s">
        <v>68</v>
      </c>
      <c r="D303" s="10"/>
      <c r="E303" s="11" t="n">
        <f>1099</f>
        <v>1099.0</v>
      </c>
      <c r="F303" s="10"/>
      <c r="G303" s="11" t="n">
        <f>2032250000</f>
        <v>2.03225E9</v>
      </c>
      <c r="H303" s="10"/>
      <c r="I303" s="11" t="str">
        <f>"－"</f>
        <v>－</v>
      </c>
      <c r="J303" s="10"/>
      <c r="K303" s="11" t="n">
        <f>3726</f>
        <v>3726.0</v>
      </c>
    </row>
    <row r="304">
      <c r="A304" s="8" t="s">
        <v>48</v>
      </c>
      <c r="B304" s="9" t="s">
        <v>67</v>
      </c>
      <c r="C304" s="9" t="s">
        <v>68</v>
      </c>
      <c r="D304" s="10" t="s">
        <v>37</v>
      </c>
      <c r="E304" s="11" t="n">
        <f>2328</f>
        <v>2328.0</v>
      </c>
      <c r="F304" s="10" t="s">
        <v>37</v>
      </c>
      <c r="G304" s="11" t="n">
        <f>4279472500</f>
        <v>4.2794725E9</v>
      </c>
      <c r="H304" s="10"/>
      <c r="I304" s="11" t="str">
        <f>"－"</f>
        <v>－</v>
      </c>
      <c r="J304" s="10"/>
      <c r="K304" s="11" t="n">
        <f>3825</f>
        <v>3825.0</v>
      </c>
    </row>
    <row r="305">
      <c r="A305" s="8" t="s">
        <v>49</v>
      </c>
      <c r="B305" s="9" t="s">
        <v>67</v>
      </c>
      <c r="C305" s="9" t="s">
        <v>68</v>
      </c>
      <c r="D305" s="10"/>
      <c r="E305" s="11"/>
      <c r="F305" s="10"/>
      <c r="G305" s="11"/>
      <c r="H305" s="10"/>
      <c r="I305" s="11"/>
      <c r="J305" s="10"/>
      <c r="K305" s="11"/>
    </row>
    <row r="306">
      <c r="A306" s="8" t="s">
        <v>16</v>
      </c>
      <c r="B306" s="9" t="s">
        <v>69</v>
      </c>
      <c r="C306" s="9" t="s">
        <v>70</v>
      </c>
      <c r="D306" s="10" t="s">
        <v>19</v>
      </c>
      <c r="E306" s="11" t="str">
        <f>"－"</f>
        <v>－</v>
      </c>
      <c r="F306" s="10" t="s">
        <v>19</v>
      </c>
      <c r="G306" s="11" t="str">
        <f>"－"</f>
        <v>－</v>
      </c>
      <c r="H306" s="10" t="s">
        <v>52</v>
      </c>
      <c r="I306" s="11" t="str">
        <f>"－"</f>
        <v>－</v>
      </c>
      <c r="J306" s="10" t="s">
        <v>52</v>
      </c>
      <c r="K306" s="11" t="str">
        <f>"－"</f>
        <v>－</v>
      </c>
    </row>
    <row r="307">
      <c r="A307" s="8" t="s">
        <v>20</v>
      </c>
      <c r="B307" s="9" t="s">
        <v>69</v>
      </c>
      <c r="C307" s="9" t="s">
        <v>70</v>
      </c>
      <c r="D307" s="10"/>
      <c r="E307" s="11"/>
      <c r="F307" s="10"/>
      <c r="G307" s="11"/>
      <c r="H307" s="10"/>
      <c r="I307" s="11"/>
      <c r="J307" s="10"/>
      <c r="K307" s="11"/>
    </row>
    <row r="308">
      <c r="A308" s="8" t="s">
        <v>21</v>
      </c>
      <c r="B308" s="9" t="s">
        <v>69</v>
      </c>
      <c r="C308" s="9" t="s">
        <v>70</v>
      </c>
      <c r="D308" s="10"/>
      <c r="E308" s="11"/>
      <c r="F308" s="10"/>
      <c r="G308" s="11"/>
      <c r="H308" s="10"/>
      <c r="I308" s="11"/>
      <c r="J308" s="10"/>
      <c r="K308" s="11"/>
    </row>
    <row r="309">
      <c r="A309" s="8" t="s">
        <v>22</v>
      </c>
      <c r="B309" s="9" t="s">
        <v>69</v>
      </c>
      <c r="C309" s="9" t="s">
        <v>70</v>
      </c>
      <c r="D309" s="10"/>
      <c r="E309" s="11"/>
      <c r="F309" s="10"/>
      <c r="G309" s="11"/>
      <c r="H309" s="10"/>
      <c r="I309" s="11"/>
      <c r="J309" s="10"/>
      <c r="K309" s="11"/>
    </row>
    <row r="310">
      <c r="A310" s="8" t="s">
        <v>23</v>
      </c>
      <c r="B310" s="9" t="s">
        <v>69</v>
      </c>
      <c r="C310" s="9" t="s">
        <v>70</v>
      </c>
      <c r="D310" s="10"/>
      <c r="E310" s="11" t="str">
        <f>"－"</f>
        <v>－</v>
      </c>
      <c r="F310" s="10"/>
      <c r="G310" s="11" t="str">
        <f>"－"</f>
        <v>－</v>
      </c>
      <c r="H310" s="10"/>
      <c r="I310" s="11" t="str">
        <f>"－"</f>
        <v>－</v>
      </c>
      <c r="J310" s="10"/>
      <c r="K310" s="11" t="str">
        <f>"－"</f>
        <v>－</v>
      </c>
    </row>
    <row r="311">
      <c r="A311" s="8" t="s">
        <v>24</v>
      </c>
      <c r="B311" s="9" t="s">
        <v>69</v>
      </c>
      <c r="C311" s="9" t="s">
        <v>70</v>
      </c>
      <c r="D311" s="10"/>
      <c r="E311" s="11" t="str">
        <f>"－"</f>
        <v>－</v>
      </c>
      <c r="F311" s="10"/>
      <c r="G311" s="11" t="str">
        <f>"－"</f>
        <v>－</v>
      </c>
      <c r="H311" s="10"/>
      <c r="I311" s="11" t="str">
        <f>"－"</f>
        <v>－</v>
      </c>
      <c r="J311" s="10"/>
      <c r="K311" s="11" t="str">
        <f>"－"</f>
        <v>－</v>
      </c>
    </row>
    <row r="312">
      <c r="A312" s="8" t="s">
        <v>25</v>
      </c>
      <c r="B312" s="9" t="s">
        <v>69</v>
      </c>
      <c r="C312" s="9" t="s">
        <v>70</v>
      </c>
      <c r="D312" s="10"/>
      <c r="E312" s="11" t="str">
        <f>"－"</f>
        <v>－</v>
      </c>
      <c r="F312" s="10"/>
      <c r="G312" s="11" t="str">
        <f>"－"</f>
        <v>－</v>
      </c>
      <c r="H312" s="10"/>
      <c r="I312" s="11" t="str">
        <f>"－"</f>
        <v>－</v>
      </c>
      <c r="J312" s="10"/>
      <c r="K312" s="11" t="str">
        <f>"－"</f>
        <v>－</v>
      </c>
    </row>
    <row r="313">
      <c r="A313" s="8" t="s">
        <v>26</v>
      </c>
      <c r="B313" s="9" t="s">
        <v>69</v>
      </c>
      <c r="C313" s="9" t="s">
        <v>70</v>
      </c>
      <c r="D313" s="10"/>
      <c r="E313" s="11" t="str">
        <f>"－"</f>
        <v>－</v>
      </c>
      <c r="F313" s="10"/>
      <c r="G313" s="11" t="str">
        <f>"－"</f>
        <v>－</v>
      </c>
      <c r="H313" s="10"/>
      <c r="I313" s="11" t="str">
        <f>"－"</f>
        <v>－</v>
      </c>
      <c r="J313" s="10"/>
      <c r="K313" s="11" t="str">
        <f>"－"</f>
        <v>－</v>
      </c>
    </row>
    <row r="314">
      <c r="A314" s="8" t="s">
        <v>27</v>
      </c>
      <c r="B314" s="9" t="s">
        <v>69</v>
      </c>
      <c r="C314" s="9" t="s">
        <v>70</v>
      </c>
      <c r="D314" s="10"/>
      <c r="E314" s="11"/>
      <c r="F314" s="10"/>
      <c r="G314" s="11"/>
      <c r="H314" s="10"/>
      <c r="I314" s="11"/>
      <c r="J314" s="10"/>
      <c r="K314" s="11"/>
    </row>
    <row r="315">
      <c r="A315" s="8" t="s">
        <v>28</v>
      </c>
      <c r="B315" s="9" t="s">
        <v>69</v>
      </c>
      <c r="C315" s="9" t="s">
        <v>70</v>
      </c>
      <c r="D315" s="10"/>
      <c r="E315" s="11"/>
      <c r="F315" s="10"/>
      <c r="G315" s="11"/>
      <c r="H315" s="10"/>
      <c r="I315" s="11"/>
      <c r="J315" s="10"/>
      <c r="K315" s="11"/>
    </row>
    <row r="316">
      <c r="A316" s="8" t="s">
        <v>29</v>
      </c>
      <c r="B316" s="9" t="s">
        <v>69</v>
      </c>
      <c r="C316" s="9" t="s">
        <v>70</v>
      </c>
      <c r="D316" s="10"/>
      <c r="E316" s="11" t="str">
        <f>"－"</f>
        <v>－</v>
      </c>
      <c r="F316" s="10"/>
      <c r="G316" s="11" t="str">
        <f>"－"</f>
        <v>－</v>
      </c>
      <c r="H316" s="10"/>
      <c r="I316" s="11" t="str">
        <f>"－"</f>
        <v>－</v>
      </c>
      <c r="J316" s="10"/>
      <c r="K316" s="11" t="str">
        <f>"－"</f>
        <v>－</v>
      </c>
    </row>
    <row r="317">
      <c r="A317" s="8" t="s">
        <v>30</v>
      </c>
      <c r="B317" s="9" t="s">
        <v>69</v>
      </c>
      <c r="C317" s="9" t="s">
        <v>70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31</v>
      </c>
      <c r="B318" s="9" t="s">
        <v>69</v>
      </c>
      <c r="C318" s="9" t="s">
        <v>70</v>
      </c>
      <c r="D318" s="10"/>
      <c r="E318" s="11" t="str">
        <f>"－"</f>
        <v>－</v>
      </c>
      <c r="F318" s="10"/>
      <c r="G318" s="11" t="str">
        <f>"－"</f>
        <v>－</v>
      </c>
      <c r="H318" s="10"/>
      <c r="I318" s="11" t="str">
        <f>"－"</f>
        <v>－</v>
      </c>
      <c r="J318" s="10"/>
      <c r="K318" s="11" t="str">
        <f>"－"</f>
        <v>－</v>
      </c>
    </row>
    <row r="319">
      <c r="A319" s="8" t="s">
        <v>32</v>
      </c>
      <c r="B319" s="9" t="s">
        <v>69</v>
      </c>
      <c r="C319" s="9" t="s">
        <v>70</v>
      </c>
      <c r="D319" s="10"/>
      <c r="E319" s="11" t="str">
        <f>"－"</f>
        <v>－</v>
      </c>
      <c r="F319" s="10"/>
      <c r="G319" s="11" t="str">
        <f>"－"</f>
        <v>－</v>
      </c>
      <c r="H319" s="10"/>
      <c r="I319" s="11" t="str">
        <f>"－"</f>
        <v>－</v>
      </c>
      <c r="J319" s="10"/>
      <c r="K319" s="11" t="str">
        <f>"－"</f>
        <v>－</v>
      </c>
    </row>
    <row r="320">
      <c r="A320" s="8" t="s">
        <v>33</v>
      </c>
      <c r="B320" s="9" t="s">
        <v>69</v>
      </c>
      <c r="C320" s="9" t="s">
        <v>70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34</v>
      </c>
      <c r="B321" s="9" t="s">
        <v>69</v>
      </c>
      <c r="C321" s="9" t="s">
        <v>70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35</v>
      </c>
      <c r="B322" s="9" t="s">
        <v>69</v>
      </c>
      <c r="C322" s="9" t="s">
        <v>70</v>
      </c>
      <c r="D322" s="10"/>
      <c r="E322" s="11"/>
      <c r="F322" s="10"/>
      <c r="G322" s="11"/>
      <c r="H322" s="10"/>
      <c r="I322" s="11"/>
      <c r="J322" s="10"/>
      <c r="K322" s="11"/>
    </row>
    <row r="323">
      <c r="A323" s="8" t="s">
        <v>36</v>
      </c>
      <c r="B323" s="9" t="s">
        <v>69</v>
      </c>
      <c r="C323" s="9" t="s">
        <v>70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38</v>
      </c>
      <c r="B324" s="9" t="s">
        <v>69</v>
      </c>
      <c r="C324" s="9" t="s">
        <v>70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40</v>
      </c>
      <c r="B326" s="9" t="s">
        <v>69</v>
      </c>
      <c r="C326" s="9" t="s">
        <v>70</v>
      </c>
      <c r="D326" s="10" t="s">
        <v>37</v>
      </c>
      <c r="E326" s="11" t="n">
        <f>9</f>
        <v>9.0</v>
      </c>
      <c r="F326" s="10" t="s">
        <v>37</v>
      </c>
      <c r="G326" s="11" t="n">
        <f>13534500</f>
        <v>1.35345E7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41</v>
      </c>
      <c r="B327" s="9" t="s">
        <v>69</v>
      </c>
      <c r="C327" s="9" t="s">
        <v>70</v>
      </c>
      <c r="D327" s="10"/>
      <c r="E327" s="11" t="str">
        <f>"－"</f>
        <v>－</v>
      </c>
      <c r="F327" s="10"/>
      <c r="G327" s="11" t="str">
        <f>"－"</f>
        <v>－</v>
      </c>
      <c r="H327" s="10"/>
      <c r="I327" s="11" t="str">
        <f>"－"</f>
        <v>－</v>
      </c>
      <c r="J327" s="10"/>
      <c r="K327" s="11" t="str">
        <f>"－"</f>
        <v>－</v>
      </c>
    </row>
    <row r="328">
      <c r="A328" s="8" t="s">
        <v>42</v>
      </c>
      <c r="B328" s="9" t="s">
        <v>69</v>
      </c>
      <c r="C328" s="9" t="s">
        <v>70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43</v>
      </c>
      <c r="B329" s="9" t="s">
        <v>69</v>
      </c>
      <c r="C329" s="9" t="s">
        <v>70</v>
      </c>
      <c r="D329" s="10"/>
      <c r="E329" s="11"/>
      <c r="F329" s="10"/>
      <c r="G329" s="11"/>
      <c r="H329" s="10"/>
      <c r="I329" s="11"/>
      <c r="J329" s="10"/>
      <c r="K329" s="11"/>
    </row>
    <row r="330">
      <c r="A330" s="8" t="s">
        <v>44</v>
      </c>
      <c r="B330" s="9" t="s">
        <v>69</v>
      </c>
      <c r="C330" s="9" t="s">
        <v>70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47</v>
      </c>
      <c r="B333" s="9" t="s">
        <v>69</v>
      </c>
      <c r="C333" s="9" t="s">
        <v>70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48</v>
      </c>
      <c r="B334" s="9" t="s">
        <v>69</v>
      </c>
      <c r="C334" s="9" t="s">
        <v>70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str">
        <f>"－"</f>
        <v>－</v>
      </c>
    </row>
    <row r="335">
      <c r="A335" s="8" t="s">
        <v>49</v>
      </c>
      <c r="B335" s="9" t="s">
        <v>69</v>
      </c>
      <c r="C335" s="9" t="s">
        <v>70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16</v>
      </c>
      <c r="B336" s="9" t="s">
        <v>71</v>
      </c>
      <c r="C336" s="9" t="s">
        <v>72</v>
      </c>
      <c r="D336" s="10"/>
      <c r="E336" s="11" t="n">
        <f>1</f>
        <v>1.0</v>
      </c>
      <c r="F336" s="10"/>
      <c r="G336" s="11" t="n">
        <f>1800000</f>
        <v>1800000.0</v>
      </c>
      <c r="H336" s="10" t="s">
        <v>52</v>
      </c>
      <c r="I336" s="11" t="str">
        <f>"－"</f>
        <v>－</v>
      </c>
      <c r="J336" s="10" t="s">
        <v>37</v>
      </c>
      <c r="K336" s="11" t="n">
        <f>207</f>
        <v>207.0</v>
      </c>
    </row>
    <row r="337">
      <c r="A337" s="8" t="s">
        <v>20</v>
      </c>
      <c r="B337" s="9" t="s">
        <v>71</v>
      </c>
      <c r="C337" s="9" t="s">
        <v>72</v>
      </c>
      <c r="D337" s="10"/>
      <c r="E337" s="11"/>
      <c r="F337" s="10"/>
      <c r="G337" s="11"/>
      <c r="H337" s="10"/>
      <c r="I337" s="11"/>
      <c r="J337" s="10"/>
      <c r="K337" s="11"/>
    </row>
    <row r="338">
      <c r="A338" s="8" t="s">
        <v>21</v>
      </c>
      <c r="B338" s="9" t="s">
        <v>71</v>
      </c>
      <c r="C338" s="9" t="s">
        <v>72</v>
      </c>
      <c r="D338" s="10"/>
      <c r="E338" s="11"/>
      <c r="F338" s="10"/>
      <c r="G338" s="11"/>
      <c r="H338" s="10"/>
      <c r="I338" s="11"/>
      <c r="J338" s="10"/>
      <c r="K338" s="11"/>
    </row>
    <row r="339">
      <c r="A339" s="8" t="s">
        <v>22</v>
      </c>
      <c r="B339" s="9" t="s">
        <v>71</v>
      </c>
      <c r="C339" s="9" t="s">
        <v>72</v>
      </c>
      <c r="D339" s="10"/>
      <c r="E339" s="11"/>
      <c r="F339" s="10"/>
      <c r="G339" s="11"/>
      <c r="H339" s="10"/>
      <c r="I339" s="11"/>
      <c r="J339" s="10"/>
      <c r="K339" s="11"/>
    </row>
    <row r="340">
      <c r="A340" s="8" t="s">
        <v>23</v>
      </c>
      <c r="B340" s="9" t="s">
        <v>71</v>
      </c>
      <c r="C340" s="9" t="s">
        <v>72</v>
      </c>
      <c r="D340" s="10" t="s">
        <v>19</v>
      </c>
      <c r="E340" s="11" t="str">
        <f>"－"</f>
        <v>－</v>
      </c>
      <c r="F340" s="10" t="s">
        <v>19</v>
      </c>
      <c r="G340" s="11" t="str">
        <f>"－"</f>
        <v>－</v>
      </c>
      <c r="H340" s="10"/>
      <c r="I340" s="11" t="str">
        <f>"－"</f>
        <v>－</v>
      </c>
      <c r="J340" s="10"/>
      <c r="K340" s="11" t="n">
        <f>207</f>
        <v>207.0</v>
      </c>
    </row>
    <row r="341">
      <c r="A341" s="8" t="s">
        <v>24</v>
      </c>
      <c r="B341" s="9" t="s">
        <v>71</v>
      </c>
      <c r="C341" s="9" t="s">
        <v>72</v>
      </c>
      <c r="D341" s="10"/>
      <c r="E341" s="11" t="n">
        <f>1</f>
        <v>1.0</v>
      </c>
      <c r="F341" s="10"/>
      <c r="G341" s="11" t="n">
        <f>1734000</f>
        <v>1734000.0</v>
      </c>
      <c r="H341" s="10"/>
      <c r="I341" s="11" t="str">
        <f>"－"</f>
        <v>－</v>
      </c>
      <c r="J341" s="10"/>
      <c r="K341" s="11" t="n">
        <f>206</f>
        <v>206.0</v>
      </c>
    </row>
    <row r="342">
      <c r="A342" s="8" t="s">
        <v>25</v>
      </c>
      <c r="B342" s="9" t="s">
        <v>71</v>
      </c>
      <c r="C342" s="9" t="s">
        <v>72</v>
      </c>
      <c r="D342" s="10"/>
      <c r="E342" s="11" t="n">
        <f>6</f>
        <v>6.0</v>
      </c>
      <c r="F342" s="10"/>
      <c r="G342" s="11" t="n">
        <f>11035000</f>
        <v>1.1035E7</v>
      </c>
      <c r="H342" s="10"/>
      <c r="I342" s="11" t="str">
        <f>"－"</f>
        <v>－</v>
      </c>
      <c r="J342" s="10"/>
      <c r="K342" s="11" t="n">
        <f>204</f>
        <v>204.0</v>
      </c>
    </row>
    <row r="343">
      <c r="A343" s="8" t="s">
        <v>26</v>
      </c>
      <c r="B343" s="9" t="s">
        <v>71</v>
      </c>
      <c r="C343" s="9" t="s">
        <v>72</v>
      </c>
      <c r="D343" s="10"/>
      <c r="E343" s="11" t="n">
        <f>3</f>
        <v>3.0</v>
      </c>
      <c r="F343" s="10"/>
      <c r="G343" s="11" t="n">
        <f>5333500</f>
        <v>5333500.0</v>
      </c>
      <c r="H343" s="10"/>
      <c r="I343" s="11" t="str">
        <f>"－"</f>
        <v>－</v>
      </c>
      <c r="J343" s="10"/>
      <c r="K343" s="11" t="n">
        <f>202</f>
        <v>202.0</v>
      </c>
    </row>
    <row r="344">
      <c r="A344" s="8" t="s">
        <v>27</v>
      </c>
      <c r="B344" s="9" t="s">
        <v>71</v>
      </c>
      <c r="C344" s="9" t="s">
        <v>72</v>
      </c>
      <c r="D344" s="10"/>
      <c r="E344" s="11"/>
      <c r="F344" s="10"/>
      <c r="G344" s="11"/>
      <c r="H344" s="10"/>
      <c r="I344" s="11"/>
      <c r="J344" s="10"/>
      <c r="K344" s="11"/>
    </row>
    <row r="345">
      <c r="A345" s="8" t="s">
        <v>28</v>
      </c>
      <c r="B345" s="9" t="s">
        <v>71</v>
      </c>
      <c r="C345" s="9" t="s">
        <v>72</v>
      </c>
      <c r="D345" s="10"/>
      <c r="E345" s="11"/>
      <c r="F345" s="10"/>
      <c r="G345" s="11"/>
      <c r="H345" s="10"/>
      <c r="I345" s="11"/>
      <c r="J345" s="10"/>
      <c r="K345" s="11"/>
    </row>
    <row r="346">
      <c r="A346" s="8" t="s">
        <v>29</v>
      </c>
      <c r="B346" s="9" t="s">
        <v>71</v>
      </c>
      <c r="C346" s="9" t="s">
        <v>72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n">
        <f>202</f>
        <v>202.0</v>
      </c>
    </row>
    <row r="347">
      <c r="A347" s="8" t="s">
        <v>30</v>
      </c>
      <c r="B347" s="9" t="s">
        <v>71</v>
      </c>
      <c r="C347" s="9" t="s">
        <v>72</v>
      </c>
      <c r="D347" s="10"/>
      <c r="E347" s="11" t="n">
        <f>8</f>
        <v>8.0</v>
      </c>
      <c r="F347" s="10"/>
      <c r="G347" s="11" t="n">
        <f>15314000</f>
        <v>1.5314E7</v>
      </c>
      <c r="H347" s="10"/>
      <c r="I347" s="11" t="str">
        <f>"－"</f>
        <v>－</v>
      </c>
      <c r="J347" s="10"/>
      <c r="K347" s="11" t="n">
        <f>201</f>
        <v>201.0</v>
      </c>
    </row>
    <row r="348">
      <c r="A348" s="8" t="s">
        <v>31</v>
      </c>
      <c r="B348" s="9" t="s">
        <v>71</v>
      </c>
      <c r="C348" s="9" t="s">
        <v>72</v>
      </c>
      <c r="D348" s="10"/>
      <c r="E348" s="11" t="str">
        <f>"－"</f>
        <v>－</v>
      </c>
      <c r="F348" s="10"/>
      <c r="G348" s="11" t="str">
        <f>"－"</f>
        <v>－</v>
      </c>
      <c r="H348" s="10"/>
      <c r="I348" s="11" t="str">
        <f>"－"</f>
        <v>－</v>
      </c>
      <c r="J348" s="10"/>
      <c r="K348" s="11" t="n">
        <f>201</f>
        <v>201.0</v>
      </c>
    </row>
    <row r="349">
      <c r="A349" s="8" t="s">
        <v>32</v>
      </c>
      <c r="B349" s="9" t="s">
        <v>71</v>
      </c>
      <c r="C349" s="9" t="s">
        <v>72</v>
      </c>
      <c r="D349" s="10"/>
      <c r="E349" s="11" t="n">
        <f>1</f>
        <v>1.0</v>
      </c>
      <c r="F349" s="10"/>
      <c r="G349" s="11" t="n">
        <f>1922500</f>
        <v>1922500.0</v>
      </c>
      <c r="H349" s="10"/>
      <c r="I349" s="11" t="str">
        <f>"－"</f>
        <v>－</v>
      </c>
      <c r="J349" s="10"/>
      <c r="K349" s="11" t="n">
        <f>200</f>
        <v>200.0</v>
      </c>
    </row>
    <row r="350">
      <c r="A350" s="8" t="s">
        <v>33</v>
      </c>
      <c r="B350" s="9" t="s">
        <v>71</v>
      </c>
      <c r="C350" s="9" t="s">
        <v>72</v>
      </c>
      <c r="D350" s="10"/>
      <c r="E350" s="11" t="str">
        <f>"－"</f>
        <v>－</v>
      </c>
      <c r="F350" s="10"/>
      <c r="G350" s="11" t="str">
        <f>"－"</f>
        <v>－</v>
      </c>
      <c r="H350" s="10"/>
      <c r="I350" s="11" t="str">
        <f>"－"</f>
        <v>－</v>
      </c>
      <c r="J350" s="10"/>
      <c r="K350" s="11" t="n">
        <f>200</f>
        <v>200.0</v>
      </c>
    </row>
    <row r="351">
      <c r="A351" s="8" t="s">
        <v>34</v>
      </c>
      <c r="B351" s="9" t="s">
        <v>71</v>
      </c>
      <c r="C351" s="9" t="s">
        <v>72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35</v>
      </c>
      <c r="B352" s="9" t="s">
        <v>71</v>
      </c>
      <c r="C352" s="9" t="s">
        <v>72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36</v>
      </c>
      <c r="B353" s="9" t="s">
        <v>71</v>
      </c>
      <c r="C353" s="9" t="s">
        <v>72</v>
      </c>
      <c r="D353" s="10"/>
      <c r="E353" s="11" t="str">
        <f>"－"</f>
        <v>－</v>
      </c>
      <c r="F353" s="10"/>
      <c r="G353" s="11" t="str">
        <f>"－"</f>
        <v>－</v>
      </c>
      <c r="H353" s="10"/>
      <c r="I353" s="11" t="str">
        <f>"－"</f>
        <v>－</v>
      </c>
      <c r="J353" s="10"/>
      <c r="K353" s="11" t="n">
        <f>200</f>
        <v>200.0</v>
      </c>
    </row>
    <row r="354">
      <c r="A354" s="8" t="s">
        <v>38</v>
      </c>
      <c r="B354" s="9" t="s">
        <v>71</v>
      </c>
      <c r="C354" s="9" t="s">
        <v>72</v>
      </c>
      <c r="D354" s="10"/>
      <c r="E354" s="11" t="n">
        <f>1</f>
        <v>1.0</v>
      </c>
      <c r="F354" s="10"/>
      <c r="G354" s="11" t="n">
        <f>1875000</f>
        <v>1875000.0</v>
      </c>
      <c r="H354" s="10"/>
      <c r="I354" s="11" t="str">
        <f>"－"</f>
        <v>－</v>
      </c>
      <c r="J354" s="10"/>
      <c r="K354" s="11" t="n">
        <f>199</f>
        <v>199.0</v>
      </c>
    </row>
    <row r="355">
      <c r="A355" s="8" t="s">
        <v>39</v>
      </c>
      <c r="B355" s="9" t="s">
        <v>71</v>
      </c>
      <c r="C355" s="9" t="s">
        <v>72</v>
      </c>
      <c r="D355" s="10"/>
      <c r="E355" s="11" t="str">
        <f>"－"</f>
        <v>－</v>
      </c>
      <c r="F355" s="10"/>
      <c r="G355" s="11" t="str">
        <f>"－"</f>
        <v>－</v>
      </c>
      <c r="H355" s="10"/>
      <c r="I355" s="11" t="str">
        <f>"－"</f>
        <v>－</v>
      </c>
      <c r="J355" s="10"/>
      <c r="K355" s="11" t="n">
        <f>199</f>
        <v>199.0</v>
      </c>
    </row>
    <row r="356">
      <c r="A356" s="8" t="s">
        <v>40</v>
      </c>
      <c r="B356" s="9" t="s">
        <v>71</v>
      </c>
      <c r="C356" s="9" t="s">
        <v>72</v>
      </c>
      <c r="D356" s="10"/>
      <c r="E356" s="11" t="n">
        <f>1</f>
        <v>1.0</v>
      </c>
      <c r="F356" s="10"/>
      <c r="G356" s="11" t="n">
        <f>1792500</f>
        <v>1792500.0</v>
      </c>
      <c r="H356" s="10"/>
      <c r="I356" s="11" t="str">
        <f>"－"</f>
        <v>－</v>
      </c>
      <c r="J356" s="10"/>
      <c r="K356" s="11" t="n">
        <f>200</f>
        <v>200.0</v>
      </c>
    </row>
    <row r="357">
      <c r="A357" s="8" t="s">
        <v>41</v>
      </c>
      <c r="B357" s="9" t="s">
        <v>71</v>
      </c>
      <c r="C357" s="9" t="s">
        <v>72</v>
      </c>
      <c r="D357" s="10"/>
      <c r="E357" s="11" t="str">
        <f>"－"</f>
        <v>－</v>
      </c>
      <c r="F357" s="10"/>
      <c r="G357" s="11" t="str">
        <f>"－"</f>
        <v>－</v>
      </c>
      <c r="H357" s="10"/>
      <c r="I357" s="11" t="str">
        <f>"－"</f>
        <v>－</v>
      </c>
      <c r="J357" s="10"/>
      <c r="K357" s="11" t="n">
        <f>200</f>
        <v>200.0</v>
      </c>
    </row>
    <row r="358">
      <c r="A358" s="8" t="s">
        <v>42</v>
      </c>
      <c r="B358" s="9" t="s">
        <v>71</v>
      </c>
      <c r="C358" s="9" t="s">
        <v>72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43</v>
      </c>
      <c r="B359" s="9" t="s">
        <v>71</v>
      </c>
      <c r="C359" s="9" t="s">
        <v>72</v>
      </c>
      <c r="D359" s="10"/>
      <c r="E359" s="11"/>
      <c r="F359" s="10"/>
      <c r="G359" s="11"/>
      <c r="H359" s="10"/>
      <c r="I359" s="11"/>
      <c r="J359" s="10"/>
      <c r="K359" s="11"/>
    </row>
    <row r="360">
      <c r="A360" s="8" t="s">
        <v>44</v>
      </c>
      <c r="B360" s="9" t="s">
        <v>71</v>
      </c>
      <c r="C360" s="9" t="s">
        <v>72</v>
      </c>
      <c r="D360" s="10"/>
      <c r="E360" s="11" t="str">
        <f>"－"</f>
        <v>－</v>
      </c>
      <c r="F360" s="10"/>
      <c r="G360" s="11" t="str">
        <f>"－"</f>
        <v>－</v>
      </c>
      <c r="H360" s="10"/>
      <c r="I360" s="11" t="str">
        <f>"－"</f>
        <v>－</v>
      </c>
      <c r="J360" s="10"/>
      <c r="K360" s="11" t="n">
        <f>200</f>
        <v>200.0</v>
      </c>
    </row>
    <row r="361">
      <c r="A361" s="8" t="s">
        <v>45</v>
      </c>
      <c r="B361" s="9" t="s">
        <v>71</v>
      </c>
      <c r="C361" s="9" t="s">
        <v>72</v>
      </c>
      <c r="D361" s="10"/>
      <c r="E361" s="11" t="str">
        <f>"－"</f>
        <v>－</v>
      </c>
      <c r="F361" s="10"/>
      <c r="G361" s="11" t="str">
        <f>"－"</f>
        <v>－</v>
      </c>
      <c r="H361" s="10"/>
      <c r="I361" s="11" t="str">
        <f>"－"</f>
        <v>－</v>
      </c>
      <c r="J361" s="10"/>
      <c r="K361" s="11" t="n">
        <f>200</f>
        <v>200.0</v>
      </c>
    </row>
    <row r="362">
      <c r="A362" s="8" t="s">
        <v>46</v>
      </c>
      <c r="B362" s="9" t="s">
        <v>71</v>
      </c>
      <c r="C362" s="9" t="s">
        <v>72</v>
      </c>
      <c r="D362" s="10"/>
      <c r="E362" s="11" t="str">
        <f>"－"</f>
        <v>－</v>
      </c>
      <c r="F362" s="10"/>
      <c r="G362" s="11" t="str">
        <f>"－"</f>
        <v>－</v>
      </c>
      <c r="H362" s="10"/>
      <c r="I362" s="11" t="str">
        <f>"－"</f>
        <v>－</v>
      </c>
      <c r="J362" s="10"/>
      <c r="K362" s="11" t="n">
        <f>200</f>
        <v>200.0</v>
      </c>
    </row>
    <row r="363">
      <c r="A363" s="8" t="s">
        <v>47</v>
      </c>
      <c r="B363" s="9" t="s">
        <v>71</v>
      </c>
      <c r="C363" s="9" t="s">
        <v>72</v>
      </c>
      <c r="D363" s="10" t="s">
        <v>37</v>
      </c>
      <c r="E363" s="11" t="n">
        <f>20</f>
        <v>20.0</v>
      </c>
      <c r="F363" s="10" t="s">
        <v>37</v>
      </c>
      <c r="G363" s="11" t="n">
        <f>38447000</f>
        <v>3.8447E7</v>
      </c>
      <c r="H363" s="10"/>
      <c r="I363" s="11" t="str">
        <f>"－"</f>
        <v>－</v>
      </c>
      <c r="J363" s="10" t="s">
        <v>19</v>
      </c>
      <c r="K363" s="11" t="n">
        <f>183</f>
        <v>183.0</v>
      </c>
    </row>
    <row r="364">
      <c r="A364" s="8" t="s">
        <v>48</v>
      </c>
      <c r="B364" s="9" t="s">
        <v>71</v>
      </c>
      <c r="C364" s="9" t="s">
        <v>72</v>
      </c>
      <c r="D364" s="10"/>
      <c r="E364" s="11" t="str">
        <f>"－"</f>
        <v>－</v>
      </c>
      <c r="F364" s="10"/>
      <c r="G364" s="11" t="str">
        <f>"－"</f>
        <v>－</v>
      </c>
      <c r="H364" s="10"/>
      <c r="I364" s="11" t="str">
        <f>"－"</f>
        <v>－</v>
      </c>
      <c r="J364" s="10"/>
      <c r="K364" s="11" t="n">
        <f>183</f>
        <v>183.0</v>
      </c>
    </row>
    <row r="365">
      <c r="A365" s="8" t="s">
        <v>49</v>
      </c>
      <c r="B365" s="9" t="s">
        <v>71</v>
      </c>
      <c r="C365" s="9" t="s">
        <v>72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16</v>
      </c>
      <c r="B366" s="9" t="s">
        <v>73</v>
      </c>
      <c r="C366" s="9" t="s">
        <v>74</v>
      </c>
      <c r="D366" s="10" t="s">
        <v>52</v>
      </c>
      <c r="E366" s="11" t="str">
        <f>"－"</f>
        <v>－</v>
      </c>
      <c r="F366" s="10" t="s">
        <v>52</v>
      </c>
      <c r="G366" s="11" t="str">
        <f>"－"</f>
        <v>－</v>
      </c>
      <c r="H366" s="10" t="s">
        <v>52</v>
      </c>
      <c r="I366" s="11" t="str">
        <f>"－"</f>
        <v>－</v>
      </c>
      <c r="J366" s="10" t="s">
        <v>52</v>
      </c>
      <c r="K366" s="11" t="str">
        <f>"－"</f>
        <v>－</v>
      </c>
    </row>
    <row r="367">
      <c r="A367" s="8" t="s">
        <v>20</v>
      </c>
      <c r="B367" s="9" t="s">
        <v>73</v>
      </c>
      <c r="C367" s="9" t="s">
        <v>74</v>
      </c>
      <c r="D367" s="10"/>
      <c r="E367" s="11"/>
      <c r="F367" s="10"/>
      <c r="G367" s="11"/>
      <c r="H367" s="10"/>
      <c r="I367" s="11"/>
      <c r="J367" s="10"/>
      <c r="K367" s="11"/>
    </row>
    <row r="368">
      <c r="A368" s="8" t="s">
        <v>21</v>
      </c>
      <c r="B368" s="9" t="s">
        <v>73</v>
      </c>
      <c r="C368" s="9" t="s">
        <v>74</v>
      </c>
      <c r="D368" s="10"/>
      <c r="E368" s="11"/>
      <c r="F368" s="10"/>
      <c r="G368" s="11"/>
      <c r="H368" s="10"/>
      <c r="I368" s="11"/>
      <c r="J368" s="10"/>
      <c r="K368" s="11"/>
    </row>
    <row r="369">
      <c r="A369" s="8" t="s">
        <v>22</v>
      </c>
      <c r="B369" s="9" t="s">
        <v>73</v>
      </c>
      <c r="C369" s="9" t="s">
        <v>74</v>
      </c>
      <c r="D369" s="10"/>
      <c r="E369" s="11"/>
      <c r="F369" s="10"/>
      <c r="G369" s="11"/>
      <c r="H369" s="10"/>
      <c r="I369" s="11"/>
      <c r="J369" s="10"/>
      <c r="K369" s="11"/>
    </row>
    <row r="370">
      <c r="A370" s="8" t="s">
        <v>23</v>
      </c>
      <c r="B370" s="9" t="s">
        <v>73</v>
      </c>
      <c r="C370" s="9" t="s">
        <v>74</v>
      </c>
      <c r="D370" s="10"/>
      <c r="E370" s="11" t="str">
        <f>"－"</f>
        <v>－</v>
      </c>
      <c r="F370" s="10"/>
      <c r="G370" s="11" t="str">
        <f>"－"</f>
        <v>－</v>
      </c>
      <c r="H370" s="10"/>
      <c r="I370" s="11" t="str">
        <f>"－"</f>
        <v>－</v>
      </c>
      <c r="J370" s="10"/>
      <c r="K370" s="11" t="str">
        <f>"－"</f>
        <v>－</v>
      </c>
    </row>
    <row r="371">
      <c r="A371" s="8" t="s">
        <v>24</v>
      </c>
      <c r="B371" s="9" t="s">
        <v>73</v>
      </c>
      <c r="C371" s="9" t="s">
        <v>74</v>
      </c>
      <c r="D371" s="10"/>
      <c r="E371" s="11" t="str">
        <f>"－"</f>
        <v>－</v>
      </c>
      <c r="F371" s="10"/>
      <c r="G371" s="11" t="str">
        <f>"－"</f>
        <v>－</v>
      </c>
      <c r="H371" s="10"/>
      <c r="I371" s="11" t="str">
        <f>"－"</f>
        <v>－</v>
      </c>
      <c r="J371" s="10"/>
      <c r="K371" s="11" t="str">
        <f>"－"</f>
        <v>－</v>
      </c>
    </row>
    <row r="372">
      <c r="A372" s="8" t="s">
        <v>25</v>
      </c>
      <c r="B372" s="9" t="s">
        <v>73</v>
      </c>
      <c r="C372" s="9" t="s">
        <v>74</v>
      </c>
      <c r="D372" s="10"/>
      <c r="E372" s="11" t="str">
        <f>"－"</f>
        <v>－</v>
      </c>
      <c r="F372" s="10"/>
      <c r="G372" s="11" t="str">
        <f>"－"</f>
        <v>－</v>
      </c>
      <c r="H372" s="10"/>
      <c r="I372" s="11" t="str">
        <f>"－"</f>
        <v>－</v>
      </c>
      <c r="J372" s="10"/>
      <c r="K372" s="11" t="str">
        <f>"－"</f>
        <v>－</v>
      </c>
    </row>
    <row r="373">
      <c r="A373" s="8" t="s">
        <v>26</v>
      </c>
      <c r="B373" s="9" t="s">
        <v>73</v>
      </c>
      <c r="C373" s="9" t="s">
        <v>74</v>
      </c>
      <c r="D373" s="10"/>
      <c r="E373" s="11" t="str">
        <f>"－"</f>
        <v>－</v>
      </c>
      <c r="F373" s="10"/>
      <c r="G373" s="11" t="str">
        <f>"－"</f>
        <v>－</v>
      </c>
      <c r="H373" s="10"/>
      <c r="I373" s="11" t="str">
        <f>"－"</f>
        <v>－</v>
      </c>
      <c r="J373" s="10"/>
      <c r="K373" s="11" t="str">
        <f>"－"</f>
        <v>－</v>
      </c>
    </row>
    <row r="374">
      <c r="A374" s="8" t="s">
        <v>27</v>
      </c>
      <c r="B374" s="9" t="s">
        <v>73</v>
      </c>
      <c r="C374" s="9" t="s">
        <v>74</v>
      </c>
      <c r="D374" s="10"/>
      <c r="E374" s="11"/>
      <c r="F374" s="10"/>
      <c r="G374" s="11"/>
      <c r="H374" s="10"/>
      <c r="I374" s="11"/>
      <c r="J374" s="10"/>
      <c r="K374" s="11"/>
    </row>
    <row r="375">
      <c r="A375" s="8" t="s">
        <v>28</v>
      </c>
      <c r="B375" s="9" t="s">
        <v>73</v>
      </c>
      <c r="C375" s="9" t="s">
        <v>74</v>
      </c>
      <c r="D375" s="10"/>
      <c r="E375" s="11"/>
      <c r="F375" s="10"/>
      <c r="G375" s="11"/>
      <c r="H375" s="10"/>
      <c r="I375" s="11"/>
      <c r="J375" s="10"/>
      <c r="K375" s="11"/>
    </row>
    <row r="376">
      <c r="A376" s="8" t="s">
        <v>29</v>
      </c>
      <c r="B376" s="9" t="s">
        <v>73</v>
      </c>
      <c r="C376" s="9" t="s">
        <v>74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str">
        <f>"－"</f>
        <v>－</v>
      </c>
    </row>
    <row r="377">
      <c r="A377" s="8" t="s">
        <v>30</v>
      </c>
      <c r="B377" s="9" t="s">
        <v>73</v>
      </c>
      <c r="C377" s="9" t="s">
        <v>74</v>
      </c>
      <c r="D377" s="10"/>
      <c r="E377" s="11" t="str">
        <f>"－"</f>
        <v>－</v>
      </c>
      <c r="F377" s="10"/>
      <c r="G377" s="11" t="str">
        <f>"－"</f>
        <v>－</v>
      </c>
      <c r="H377" s="10"/>
      <c r="I377" s="11" t="str">
        <f>"－"</f>
        <v>－</v>
      </c>
      <c r="J377" s="10"/>
      <c r="K377" s="11" t="str">
        <f>"－"</f>
        <v>－</v>
      </c>
    </row>
    <row r="378">
      <c r="A378" s="8" t="s">
        <v>31</v>
      </c>
      <c r="B378" s="9" t="s">
        <v>73</v>
      </c>
      <c r="C378" s="9" t="s">
        <v>74</v>
      </c>
      <c r="D378" s="10"/>
      <c r="E378" s="11" t="str">
        <f>"－"</f>
        <v>－</v>
      </c>
      <c r="F378" s="10"/>
      <c r="G378" s="11" t="str">
        <f>"－"</f>
        <v>－</v>
      </c>
      <c r="H378" s="10"/>
      <c r="I378" s="11" t="str">
        <f>"－"</f>
        <v>－</v>
      </c>
      <c r="J378" s="10"/>
      <c r="K378" s="11" t="str">
        <f>"－"</f>
        <v>－</v>
      </c>
    </row>
    <row r="379">
      <c r="A379" s="8" t="s">
        <v>32</v>
      </c>
      <c r="B379" s="9" t="s">
        <v>73</v>
      </c>
      <c r="C379" s="9" t="s">
        <v>74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33</v>
      </c>
      <c r="B380" s="9" t="s">
        <v>73</v>
      </c>
      <c r="C380" s="9" t="s">
        <v>74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34</v>
      </c>
      <c r="B381" s="9" t="s">
        <v>73</v>
      </c>
      <c r="C381" s="9" t="s">
        <v>74</v>
      </c>
      <c r="D381" s="10"/>
      <c r="E381" s="11"/>
      <c r="F381" s="10"/>
      <c r="G381" s="11"/>
      <c r="H381" s="10"/>
      <c r="I381" s="11"/>
      <c r="J381" s="10"/>
      <c r="K381" s="11"/>
    </row>
    <row r="382">
      <c r="A382" s="8" t="s">
        <v>35</v>
      </c>
      <c r="B382" s="9" t="s">
        <v>73</v>
      </c>
      <c r="C382" s="9" t="s">
        <v>74</v>
      </c>
      <c r="D382" s="10"/>
      <c r="E382" s="11"/>
      <c r="F382" s="10"/>
      <c r="G382" s="11"/>
      <c r="H382" s="10"/>
      <c r="I382" s="11"/>
      <c r="J382" s="10"/>
      <c r="K382" s="11"/>
    </row>
    <row r="383">
      <c r="A383" s="8" t="s">
        <v>36</v>
      </c>
      <c r="B383" s="9" t="s">
        <v>73</v>
      </c>
      <c r="C383" s="9" t="s">
        <v>74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38</v>
      </c>
      <c r="B384" s="9" t="s">
        <v>73</v>
      </c>
      <c r="C384" s="9" t="s">
        <v>74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39</v>
      </c>
      <c r="B385" s="9" t="s">
        <v>73</v>
      </c>
      <c r="C385" s="9" t="s">
        <v>74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40</v>
      </c>
      <c r="B386" s="9" t="s">
        <v>73</v>
      </c>
      <c r="C386" s="9" t="s">
        <v>74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41</v>
      </c>
      <c r="B387" s="9" t="s">
        <v>73</v>
      </c>
      <c r="C387" s="9" t="s">
        <v>74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42</v>
      </c>
      <c r="B388" s="9" t="s">
        <v>73</v>
      </c>
      <c r="C388" s="9" t="s">
        <v>74</v>
      </c>
      <c r="D388" s="10"/>
      <c r="E388" s="11"/>
      <c r="F388" s="10"/>
      <c r="G388" s="11"/>
      <c r="H388" s="10"/>
      <c r="I388" s="11"/>
      <c r="J388" s="10"/>
      <c r="K388" s="11"/>
    </row>
    <row r="389">
      <c r="A389" s="8" t="s">
        <v>43</v>
      </c>
      <c r="B389" s="9" t="s">
        <v>73</v>
      </c>
      <c r="C389" s="9" t="s">
        <v>74</v>
      </c>
      <c r="D389" s="10"/>
      <c r="E389" s="11"/>
      <c r="F389" s="10"/>
      <c r="G389" s="11"/>
      <c r="H389" s="10"/>
      <c r="I389" s="11"/>
      <c r="J389" s="10"/>
      <c r="K389" s="11"/>
    </row>
    <row r="390">
      <c r="A390" s="8" t="s">
        <v>44</v>
      </c>
      <c r="B390" s="9" t="s">
        <v>73</v>
      </c>
      <c r="C390" s="9" t="s">
        <v>74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45</v>
      </c>
      <c r="B391" s="9" t="s">
        <v>73</v>
      </c>
      <c r="C391" s="9" t="s">
        <v>74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46</v>
      </c>
      <c r="B392" s="9" t="s">
        <v>73</v>
      </c>
      <c r="C392" s="9" t="s">
        <v>74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47</v>
      </c>
      <c r="B393" s="9" t="s">
        <v>73</v>
      </c>
      <c r="C393" s="9" t="s">
        <v>74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48</v>
      </c>
      <c r="B394" s="9" t="s">
        <v>73</v>
      </c>
      <c r="C394" s="9" t="s">
        <v>74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49</v>
      </c>
      <c r="B395" s="9" t="s">
        <v>73</v>
      </c>
      <c r="C395" s="9" t="s">
        <v>74</v>
      </c>
      <c r="D395" s="10"/>
      <c r="E395" s="11"/>
      <c r="F395" s="10"/>
      <c r="G395" s="11"/>
      <c r="H395" s="10"/>
      <c r="I395" s="11"/>
      <c r="J395" s="10"/>
      <c r="K395" s="11"/>
    </row>
    <row r="396">
      <c r="A396" s="8" t="s">
        <v>16</v>
      </c>
      <c r="B396" s="9" t="s">
        <v>75</v>
      </c>
      <c r="C396" s="9" t="s">
        <v>76</v>
      </c>
      <c r="D396" s="10" t="s">
        <v>52</v>
      </c>
      <c r="E396" s="11" t="str">
        <f>"－"</f>
        <v>－</v>
      </c>
      <c r="F396" s="10" t="s">
        <v>52</v>
      </c>
      <c r="G396" s="11" t="str">
        <f>"－"</f>
        <v>－</v>
      </c>
      <c r="H396" s="10" t="s">
        <v>52</v>
      </c>
      <c r="I396" s="11" t="str">
        <f>"－"</f>
        <v>－</v>
      </c>
      <c r="J396" s="10" t="s">
        <v>52</v>
      </c>
      <c r="K396" s="11" t="str">
        <f>"－"</f>
        <v>－</v>
      </c>
    </row>
    <row r="397">
      <c r="A397" s="8" t="s">
        <v>20</v>
      </c>
      <c r="B397" s="9" t="s">
        <v>75</v>
      </c>
      <c r="C397" s="9" t="s">
        <v>76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21</v>
      </c>
      <c r="B398" s="9" t="s">
        <v>75</v>
      </c>
      <c r="C398" s="9" t="s">
        <v>76</v>
      </c>
      <c r="D398" s="10"/>
      <c r="E398" s="11"/>
      <c r="F398" s="10"/>
      <c r="G398" s="11"/>
      <c r="H398" s="10"/>
      <c r="I398" s="11"/>
      <c r="J398" s="10"/>
      <c r="K398" s="11"/>
    </row>
    <row r="399">
      <c r="A399" s="8" t="s">
        <v>22</v>
      </c>
      <c r="B399" s="9" t="s">
        <v>75</v>
      </c>
      <c r="C399" s="9" t="s">
        <v>76</v>
      </c>
      <c r="D399" s="10"/>
      <c r="E399" s="11"/>
      <c r="F399" s="10"/>
      <c r="G399" s="11"/>
      <c r="H399" s="10"/>
      <c r="I399" s="11"/>
      <c r="J399" s="10"/>
      <c r="K399" s="11"/>
    </row>
    <row r="400">
      <c r="A400" s="8" t="s">
        <v>23</v>
      </c>
      <c r="B400" s="9" t="s">
        <v>75</v>
      </c>
      <c r="C400" s="9" t="s">
        <v>76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24</v>
      </c>
      <c r="B401" s="9" t="s">
        <v>75</v>
      </c>
      <c r="C401" s="9" t="s">
        <v>76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25</v>
      </c>
      <c r="B402" s="9" t="s">
        <v>75</v>
      </c>
      <c r="C402" s="9" t="s">
        <v>76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26</v>
      </c>
      <c r="B403" s="9" t="s">
        <v>75</v>
      </c>
      <c r="C403" s="9" t="s">
        <v>76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27</v>
      </c>
      <c r="B404" s="9" t="s">
        <v>75</v>
      </c>
      <c r="C404" s="9" t="s">
        <v>76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28</v>
      </c>
      <c r="B405" s="9" t="s">
        <v>75</v>
      </c>
      <c r="C405" s="9" t="s">
        <v>76</v>
      </c>
      <c r="D405" s="10"/>
      <c r="E405" s="11"/>
      <c r="F405" s="10"/>
      <c r="G405" s="11"/>
      <c r="H405" s="10"/>
      <c r="I405" s="11"/>
      <c r="J405" s="10"/>
      <c r="K405" s="11"/>
    </row>
    <row r="406">
      <c r="A406" s="8" t="s">
        <v>29</v>
      </c>
      <c r="B406" s="9" t="s">
        <v>75</v>
      </c>
      <c r="C406" s="9" t="s">
        <v>76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30</v>
      </c>
      <c r="B407" s="9" t="s">
        <v>75</v>
      </c>
      <c r="C407" s="9" t="s">
        <v>76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31</v>
      </c>
      <c r="B408" s="9" t="s">
        <v>75</v>
      </c>
      <c r="C408" s="9" t="s">
        <v>76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32</v>
      </c>
      <c r="B409" s="9" t="s">
        <v>75</v>
      </c>
      <c r="C409" s="9" t="s">
        <v>76</v>
      </c>
      <c r="D409" s="10"/>
      <c r="E409" s="11" t="str">
        <f>"－"</f>
        <v>－</v>
      </c>
      <c r="F409" s="10"/>
      <c r="G409" s="11" t="str">
        <f>"－"</f>
        <v>－</v>
      </c>
      <c r="H409" s="10"/>
      <c r="I409" s="11" t="str">
        <f>"－"</f>
        <v>－</v>
      </c>
      <c r="J409" s="10"/>
      <c r="K409" s="11" t="str">
        <f>"－"</f>
        <v>－</v>
      </c>
    </row>
    <row r="410">
      <c r="A410" s="8" t="s">
        <v>33</v>
      </c>
      <c r="B410" s="9" t="s">
        <v>75</v>
      </c>
      <c r="C410" s="9" t="s">
        <v>76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34</v>
      </c>
      <c r="B411" s="9" t="s">
        <v>75</v>
      </c>
      <c r="C411" s="9" t="s">
        <v>76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35</v>
      </c>
      <c r="B412" s="9" t="s">
        <v>75</v>
      </c>
      <c r="C412" s="9" t="s">
        <v>76</v>
      </c>
      <c r="D412" s="10"/>
      <c r="E412" s="11"/>
      <c r="F412" s="10"/>
      <c r="G412" s="11"/>
      <c r="H412" s="10"/>
      <c r="I412" s="11"/>
      <c r="J412" s="10"/>
      <c r="K412" s="11"/>
    </row>
    <row r="413">
      <c r="A413" s="8" t="s">
        <v>36</v>
      </c>
      <c r="B413" s="9" t="s">
        <v>75</v>
      </c>
      <c r="C413" s="9" t="s">
        <v>76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40</v>
      </c>
      <c r="B416" s="9" t="s">
        <v>75</v>
      </c>
      <c r="C416" s="9" t="s">
        <v>76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41</v>
      </c>
      <c r="B417" s="9" t="s">
        <v>75</v>
      </c>
      <c r="C417" s="9" t="s">
        <v>76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42</v>
      </c>
      <c r="B418" s="9" t="s">
        <v>75</v>
      </c>
      <c r="C418" s="9" t="s">
        <v>76</v>
      </c>
      <c r="D418" s="10"/>
      <c r="E418" s="11"/>
      <c r="F418" s="10"/>
      <c r="G418" s="11"/>
      <c r="H418" s="10"/>
      <c r="I418" s="11"/>
      <c r="J418" s="10"/>
      <c r="K418" s="11"/>
    </row>
    <row r="419">
      <c r="A419" s="8" t="s">
        <v>43</v>
      </c>
      <c r="B419" s="9" t="s">
        <v>75</v>
      </c>
      <c r="C419" s="9" t="s">
        <v>76</v>
      </c>
      <c r="D419" s="10"/>
      <c r="E419" s="11"/>
      <c r="F419" s="10"/>
      <c r="G419" s="11"/>
      <c r="H419" s="10"/>
      <c r="I419" s="11"/>
      <c r="J419" s="10"/>
      <c r="K419" s="11"/>
    </row>
    <row r="420">
      <c r="A420" s="8" t="s">
        <v>44</v>
      </c>
      <c r="B420" s="9" t="s">
        <v>75</v>
      </c>
      <c r="C420" s="9" t="s">
        <v>76</v>
      </c>
      <c r="D420" s="10"/>
      <c r="E420" s="11" t="str">
        <f>"－"</f>
        <v>－</v>
      </c>
      <c r="F420" s="10"/>
      <c r="G420" s="11" t="str">
        <f>"－"</f>
        <v>－</v>
      </c>
      <c r="H420" s="10"/>
      <c r="I420" s="11" t="str">
        <f>"－"</f>
        <v>－</v>
      </c>
      <c r="J420" s="10"/>
      <c r="K420" s="11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47</v>
      </c>
      <c r="B423" s="9" t="s">
        <v>75</v>
      </c>
      <c r="C423" s="9" t="s">
        <v>76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48</v>
      </c>
      <c r="B424" s="9" t="s">
        <v>75</v>
      </c>
      <c r="C424" s="9" t="s">
        <v>76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49</v>
      </c>
      <c r="B425" s="9" t="s">
        <v>75</v>
      </c>
      <c r="C425" s="9" t="s">
        <v>76</v>
      </c>
      <c r="D425" s="10"/>
      <c r="E425" s="11"/>
      <c r="F425" s="10"/>
      <c r="G425" s="11"/>
      <c r="H425" s="10"/>
      <c r="I425" s="11"/>
      <c r="J425" s="10"/>
      <c r="K425" s="11"/>
    </row>
    <row r="426">
      <c r="A426" s="8" t="s">
        <v>16</v>
      </c>
      <c r="B426" s="9" t="s">
        <v>77</v>
      </c>
      <c r="C426" s="9" t="s">
        <v>78</v>
      </c>
      <c r="D426" s="10" t="s">
        <v>52</v>
      </c>
      <c r="E426" s="11" t="str">
        <f>"－"</f>
        <v>－</v>
      </c>
      <c r="F426" s="10" t="s">
        <v>52</v>
      </c>
      <c r="G426" s="11" t="str">
        <f>"－"</f>
        <v>－</v>
      </c>
      <c r="H426" s="10" t="s">
        <v>52</v>
      </c>
      <c r="I426" s="11" t="str">
        <f>"－"</f>
        <v>－</v>
      </c>
      <c r="J426" s="10" t="s">
        <v>52</v>
      </c>
      <c r="K426" s="11" t="str">
        <f>"－"</f>
        <v>－</v>
      </c>
    </row>
    <row r="427">
      <c r="A427" s="8" t="s">
        <v>20</v>
      </c>
      <c r="B427" s="9" t="s">
        <v>77</v>
      </c>
      <c r="C427" s="9" t="s">
        <v>78</v>
      </c>
      <c r="D427" s="10"/>
      <c r="E427" s="11"/>
      <c r="F427" s="10"/>
      <c r="G427" s="11"/>
      <c r="H427" s="10"/>
      <c r="I427" s="11"/>
      <c r="J427" s="10"/>
      <c r="K427" s="11"/>
    </row>
    <row r="428">
      <c r="A428" s="8" t="s">
        <v>21</v>
      </c>
      <c r="B428" s="9" t="s">
        <v>77</v>
      </c>
      <c r="C428" s="9" t="s">
        <v>78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22</v>
      </c>
      <c r="B429" s="9" t="s">
        <v>77</v>
      </c>
      <c r="C429" s="9" t="s">
        <v>78</v>
      </c>
      <c r="D429" s="10"/>
      <c r="E429" s="11"/>
      <c r="F429" s="10"/>
      <c r="G429" s="11"/>
      <c r="H429" s="10"/>
      <c r="I429" s="11"/>
      <c r="J429" s="10"/>
      <c r="K429" s="11"/>
    </row>
    <row r="430">
      <c r="A430" s="8" t="s">
        <v>23</v>
      </c>
      <c r="B430" s="9" t="s">
        <v>77</v>
      </c>
      <c r="C430" s="9" t="s">
        <v>78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24</v>
      </c>
      <c r="B431" s="9" t="s">
        <v>77</v>
      </c>
      <c r="C431" s="9" t="s">
        <v>78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25</v>
      </c>
      <c r="B432" s="9" t="s">
        <v>77</v>
      </c>
      <c r="C432" s="9" t="s">
        <v>78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26</v>
      </c>
      <c r="B433" s="9" t="s">
        <v>77</v>
      </c>
      <c r="C433" s="9" t="s">
        <v>78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27</v>
      </c>
      <c r="B434" s="9" t="s">
        <v>77</v>
      </c>
      <c r="C434" s="9" t="s">
        <v>78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28</v>
      </c>
      <c r="B435" s="9" t="s">
        <v>77</v>
      </c>
      <c r="C435" s="9" t="s">
        <v>78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29</v>
      </c>
      <c r="B436" s="9" t="s">
        <v>77</v>
      </c>
      <c r="C436" s="9" t="s">
        <v>78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30</v>
      </c>
      <c r="B437" s="9" t="s">
        <v>77</v>
      </c>
      <c r="C437" s="9" t="s">
        <v>78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31</v>
      </c>
      <c r="B438" s="9" t="s">
        <v>77</v>
      </c>
      <c r="C438" s="9" t="s">
        <v>78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32</v>
      </c>
      <c r="B439" s="9" t="s">
        <v>77</v>
      </c>
      <c r="C439" s="9" t="s">
        <v>78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33</v>
      </c>
      <c r="B440" s="9" t="s">
        <v>77</v>
      </c>
      <c r="C440" s="9" t="s">
        <v>78</v>
      </c>
      <c r="D440" s="10"/>
      <c r="E440" s="11" t="str">
        <f>"－"</f>
        <v>－</v>
      </c>
      <c r="F440" s="10"/>
      <c r="G440" s="11" t="str">
        <f>"－"</f>
        <v>－</v>
      </c>
      <c r="H440" s="10"/>
      <c r="I440" s="11" t="str">
        <f>"－"</f>
        <v>－</v>
      </c>
      <c r="J440" s="10"/>
      <c r="K440" s="11" t="str">
        <f>"－"</f>
        <v>－</v>
      </c>
    </row>
    <row r="441">
      <c r="A441" s="8" t="s">
        <v>34</v>
      </c>
      <c r="B441" s="9" t="s">
        <v>77</v>
      </c>
      <c r="C441" s="9" t="s">
        <v>78</v>
      </c>
      <c r="D441" s="10"/>
      <c r="E441" s="11"/>
      <c r="F441" s="10"/>
      <c r="G441" s="11"/>
      <c r="H441" s="10"/>
      <c r="I441" s="11"/>
      <c r="J441" s="10"/>
      <c r="K441" s="11"/>
    </row>
    <row r="442">
      <c r="A442" s="8" t="s">
        <v>35</v>
      </c>
      <c r="B442" s="9" t="s">
        <v>77</v>
      </c>
      <c r="C442" s="9" t="s">
        <v>78</v>
      </c>
      <c r="D442" s="10"/>
      <c r="E442" s="11"/>
      <c r="F442" s="10"/>
      <c r="G442" s="11"/>
      <c r="H442" s="10"/>
      <c r="I442" s="11"/>
      <c r="J442" s="10"/>
      <c r="K442" s="11"/>
    </row>
    <row r="443">
      <c r="A443" s="8" t="s">
        <v>36</v>
      </c>
      <c r="B443" s="9" t="s">
        <v>77</v>
      </c>
      <c r="C443" s="9" t="s">
        <v>78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40</v>
      </c>
      <c r="B446" s="9" t="s">
        <v>77</v>
      </c>
      <c r="C446" s="9" t="s">
        <v>78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41</v>
      </c>
      <c r="B447" s="9" t="s">
        <v>77</v>
      </c>
      <c r="C447" s="9" t="s">
        <v>78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42</v>
      </c>
      <c r="B448" s="9" t="s">
        <v>77</v>
      </c>
      <c r="C448" s="9" t="s">
        <v>78</v>
      </c>
      <c r="D448" s="10"/>
      <c r="E448" s="11"/>
      <c r="F448" s="10"/>
      <c r="G448" s="11"/>
      <c r="H448" s="10"/>
      <c r="I448" s="11"/>
      <c r="J448" s="10"/>
      <c r="K448" s="11"/>
    </row>
    <row r="449">
      <c r="A449" s="8" t="s">
        <v>43</v>
      </c>
      <c r="B449" s="9" t="s">
        <v>77</v>
      </c>
      <c r="C449" s="9" t="s">
        <v>78</v>
      </c>
      <c r="D449" s="10"/>
      <c r="E449" s="11"/>
      <c r="F449" s="10"/>
      <c r="G449" s="11"/>
      <c r="H449" s="10"/>
      <c r="I449" s="11"/>
      <c r="J449" s="10"/>
      <c r="K449" s="11"/>
    </row>
    <row r="450">
      <c r="A450" s="8" t="s">
        <v>44</v>
      </c>
      <c r="B450" s="9" t="s">
        <v>77</v>
      </c>
      <c r="C450" s="9" t="s">
        <v>78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11" t="str">
        <f>"－"</f>
        <v>－</v>
      </c>
      <c r="F451" s="10"/>
      <c r="G451" s="11" t="str">
        <f>"－"</f>
        <v>－</v>
      </c>
      <c r="H451" s="10"/>
      <c r="I451" s="11" t="str">
        <f>"－"</f>
        <v>－</v>
      </c>
      <c r="J451" s="10"/>
      <c r="K451" s="11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47</v>
      </c>
      <c r="B453" s="9" t="s">
        <v>77</v>
      </c>
      <c r="C453" s="9" t="s">
        <v>78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48</v>
      </c>
      <c r="B454" s="9" t="s">
        <v>77</v>
      </c>
      <c r="C454" s="9" t="s">
        <v>78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49</v>
      </c>
      <c r="B455" s="9" t="s">
        <v>77</v>
      </c>
      <c r="C455" s="9" t="s">
        <v>78</v>
      </c>
      <c r="D455" s="10"/>
      <c r="E455" s="11"/>
      <c r="F455" s="10"/>
      <c r="G455" s="11"/>
      <c r="H455" s="10"/>
      <c r="I455" s="11"/>
      <c r="J455" s="10"/>
      <c r="K455" s="11"/>
    </row>
    <row r="456">
      <c r="A456" s="8" t="s">
        <v>16</v>
      </c>
      <c r="B456" s="9" t="s">
        <v>79</v>
      </c>
      <c r="C456" s="9" t="s">
        <v>80</v>
      </c>
      <c r="D456" s="10" t="s">
        <v>52</v>
      </c>
      <c r="E456" s="11" t="str">
        <f>"－"</f>
        <v>－</v>
      </c>
      <c r="F456" s="10" t="s">
        <v>52</v>
      </c>
      <c r="G456" s="11" t="str">
        <f>"－"</f>
        <v>－</v>
      </c>
      <c r="H456" s="10" t="s">
        <v>52</v>
      </c>
      <c r="I456" s="11" t="str">
        <f>"－"</f>
        <v>－</v>
      </c>
      <c r="J456" s="10" t="s">
        <v>52</v>
      </c>
      <c r="K456" s="11" t="str">
        <f>"－"</f>
        <v>－</v>
      </c>
    </row>
    <row r="457">
      <c r="A457" s="8" t="s">
        <v>20</v>
      </c>
      <c r="B457" s="9" t="s">
        <v>79</v>
      </c>
      <c r="C457" s="9" t="s">
        <v>80</v>
      </c>
      <c r="D457" s="10"/>
      <c r="E457" s="11"/>
      <c r="F457" s="10"/>
      <c r="G457" s="11"/>
      <c r="H457" s="10"/>
      <c r="I457" s="11"/>
      <c r="J457" s="10"/>
      <c r="K457" s="11"/>
    </row>
    <row r="458">
      <c r="A458" s="8" t="s">
        <v>21</v>
      </c>
      <c r="B458" s="9" t="s">
        <v>79</v>
      </c>
      <c r="C458" s="9" t="s">
        <v>80</v>
      </c>
      <c r="D458" s="10"/>
      <c r="E458" s="11"/>
      <c r="F458" s="10"/>
      <c r="G458" s="11"/>
      <c r="H458" s="10"/>
      <c r="I458" s="11"/>
      <c r="J458" s="10"/>
      <c r="K458" s="11"/>
    </row>
    <row r="459">
      <c r="A459" s="8" t="s">
        <v>22</v>
      </c>
      <c r="B459" s="9" t="s">
        <v>79</v>
      </c>
      <c r="C459" s="9" t="s">
        <v>80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23</v>
      </c>
      <c r="B460" s="9" t="s">
        <v>79</v>
      </c>
      <c r="C460" s="9" t="s">
        <v>80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24</v>
      </c>
      <c r="B461" s="9" t="s">
        <v>79</v>
      </c>
      <c r="C461" s="9" t="s">
        <v>80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25</v>
      </c>
      <c r="B462" s="9" t="s">
        <v>79</v>
      </c>
      <c r="C462" s="9" t="s">
        <v>80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26</v>
      </c>
      <c r="B463" s="9" t="s">
        <v>79</v>
      </c>
      <c r="C463" s="9" t="s">
        <v>80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27</v>
      </c>
      <c r="B464" s="9" t="s">
        <v>79</v>
      </c>
      <c r="C464" s="9" t="s">
        <v>80</v>
      </c>
      <c r="D464" s="10"/>
      <c r="E464" s="11"/>
      <c r="F464" s="10"/>
      <c r="G464" s="11"/>
      <c r="H464" s="10"/>
      <c r="I464" s="11"/>
      <c r="J464" s="10"/>
      <c r="K464" s="11"/>
    </row>
    <row r="465">
      <c r="A465" s="8" t="s">
        <v>28</v>
      </c>
      <c r="B465" s="9" t="s">
        <v>79</v>
      </c>
      <c r="C465" s="9" t="s">
        <v>80</v>
      </c>
      <c r="D465" s="10"/>
      <c r="E465" s="11"/>
      <c r="F465" s="10"/>
      <c r="G465" s="11"/>
      <c r="H465" s="10"/>
      <c r="I465" s="11"/>
      <c r="J465" s="10"/>
      <c r="K465" s="11"/>
    </row>
    <row r="466">
      <c r="A466" s="8" t="s">
        <v>29</v>
      </c>
      <c r="B466" s="9" t="s">
        <v>79</v>
      </c>
      <c r="C466" s="9" t="s">
        <v>80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30</v>
      </c>
      <c r="B467" s="9" t="s">
        <v>79</v>
      </c>
      <c r="C467" s="9" t="s">
        <v>80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31</v>
      </c>
      <c r="B468" s="9" t="s">
        <v>79</v>
      </c>
      <c r="C468" s="9" t="s">
        <v>80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32</v>
      </c>
      <c r="B469" s="9" t="s">
        <v>79</v>
      </c>
      <c r="C469" s="9" t="s">
        <v>80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33</v>
      </c>
      <c r="B470" s="9" t="s">
        <v>79</v>
      </c>
      <c r="C470" s="9" t="s">
        <v>80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34</v>
      </c>
      <c r="B471" s="9" t="s">
        <v>79</v>
      </c>
      <c r="C471" s="9" t="s">
        <v>80</v>
      </c>
      <c r="D471" s="10"/>
      <c r="E471" s="11"/>
      <c r="F471" s="10"/>
      <c r="G471" s="11"/>
      <c r="H471" s="10"/>
      <c r="I471" s="11"/>
      <c r="J471" s="10"/>
      <c r="K471" s="11"/>
    </row>
    <row r="472">
      <c r="A472" s="8" t="s">
        <v>35</v>
      </c>
      <c r="B472" s="9" t="s">
        <v>79</v>
      </c>
      <c r="C472" s="9" t="s">
        <v>80</v>
      </c>
      <c r="D472" s="10"/>
      <c r="E472" s="11"/>
      <c r="F472" s="10"/>
      <c r="G472" s="11"/>
      <c r="H472" s="10"/>
      <c r="I472" s="11"/>
      <c r="J472" s="10"/>
      <c r="K472" s="11"/>
    </row>
    <row r="473">
      <c r="A473" s="8" t="s">
        <v>36</v>
      </c>
      <c r="B473" s="9" t="s">
        <v>79</v>
      </c>
      <c r="C473" s="9" t="s">
        <v>80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38</v>
      </c>
      <c r="B474" s="9" t="s">
        <v>79</v>
      </c>
      <c r="C474" s="9" t="s">
        <v>80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39</v>
      </c>
      <c r="B475" s="9" t="s">
        <v>79</v>
      </c>
      <c r="C475" s="9" t="s">
        <v>80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40</v>
      </c>
      <c r="B476" s="9" t="s">
        <v>79</v>
      </c>
      <c r="C476" s="9" t="s">
        <v>80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41</v>
      </c>
      <c r="B477" s="9" t="s">
        <v>79</v>
      </c>
      <c r="C477" s="9" t="s">
        <v>80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42</v>
      </c>
      <c r="B478" s="9" t="s">
        <v>79</v>
      </c>
      <c r="C478" s="9" t="s">
        <v>80</v>
      </c>
      <c r="D478" s="10"/>
      <c r="E478" s="11"/>
      <c r="F478" s="10"/>
      <c r="G478" s="11"/>
      <c r="H478" s="10"/>
      <c r="I478" s="11"/>
      <c r="J478" s="10"/>
      <c r="K478" s="11"/>
    </row>
    <row r="479">
      <c r="A479" s="8" t="s">
        <v>43</v>
      </c>
      <c r="B479" s="9" t="s">
        <v>79</v>
      </c>
      <c r="C479" s="9" t="s">
        <v>80</v>
      </c>
      <c r="D479" s="10"/>
      <c r="E479" s="11"/>
      <c r="F479" s="10"/>
      <c r="G479" s="11"/>
      <c r="H479" s="10"/>
      <c r="I479" s="11"/>
      <c r="J479" s="10"/>
      <c r="K479" s="11"/>
    </row>
    <row r="480">
      <c r="A480" s="8" t="s">
        <v>44</v>
      </c>
      <c r="B480" s="9" t="s">
        <v>79</v>
      </c>
      <c r="C480" s="9" t="s">
        <v>80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45</v>
      </c>
      <c r="B481" s="9" t="s">
        <v>79</v>
      </c>
      <c r="C481" s="9" t="s">
        <v>80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46</v>
      </c>
      <c r="B482" s="9" t="s">
        <v>79</v>
      </c>
      <c r="C482" s="9" t="s">
        <v>80</v>
      </c>
      <c r="D482" s="10"/>
      <c r="E482" s="11" t="str">
        <f>"－"</f>
        <v>－</v>
      </c>
      <c r="F482" s="10"/>
      <c r="G482" s="11" t="str">
        <f>"－"</f>
        <v>－</v>
      </c>
      <c r="H482" s="10"/>
      <c r="I482" s="11" t="str">
        <f>"－"</f>
        <v>－</v>
      </c>
      <c r="J482" s="10"/>
      <c r="K482" s="11" t="str">
        <f>"－"</f>
        <v>－</v>
      </c>
    </row>
    <row r="483">
      <c r="A483" s="8" t="s">
        <v>47</v>
      </c>
      <c r="B483" s="9" t="s">
        <v>79</v>
      </c>
      <c r="C483" s="9" t="s">
        <v>80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48</v>
      </c>
      <c r="B484" s="9" t="s">
        <v>79</v>
      </c>
      <c r="C484" s="9" t="s">
        <v>80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49</v>
      </c>
      <c r="B485" s="9" t="s">
        <v>79</v>
      </c>
      <c r="C485" s="9" t="s">
        <v>80</v>
      </c>
      <c r="D485" s="10"/>
      <c r="E485" s="11"/>
      <c r="F485" s="10"/>
      <c r="G485" s="11"/>
      <c r="H485" s="10"/>
      <c r="I485" s="11"/>
      <c r="J485" s="10"/>
      <c r="K485" s="11"/>
    </row>
    <row r="486">
      <c r="A486" s="8" t="s">
        <v>16</v>
      </c>
      <c r="B486" s="9" t="s">
        <v>81</v>
      </c>
      <c r="C486" s="9" t="s">
        <v>82</v>
      </c>
      <c r="D486" s="10" t="s">
        <v>52</v>
      </c>
      <c r="E486" s="11" t="str">
        <f>"－"</f>
        <v>－</v>
      </c>
      <c r="F486" s="10" t="s">
        <v>52</v>
      </c>
      <c r="G486" s="11" t="str">
        <f>"－"</f>
        <v>－</v>
      </c>
      <c r="H486" s="10" t="s">
        <v>52</v>
      </c>
      <c r="I486" s="11" t="str">
        <f>"－"</f>
        <v>－</v>
      </c>
      <c r="J486" s="10" t="s">
        <v>52</v>
      </c>
      <c r="K486" s="11" t="str">
        <f>"－"</f>
        <v>－</v>
      </c>
    </row>
    <row r="487">
      <c r="A487" s="8" t="s">
        <v>20</v>
      </c>
      <c r="B487" s="9" t="s">
        <v>81</v>
      </c>
      <c r="C487" s="9" t="s">
        <v>82</v>
      </c>
      <c r="D487" s="10"/>
      <c r="E487" s="11"/>
      <c r="F487" s="10"/>
      <c r="G487" s="11"/>
      <c r="H487" s="10"/>
      <c r="I487" s="11"/>
      <c r="J487" s="10"/>
      <c r="K487" s="11"/>
    </row>
    <row r="488">
      <c r="A488" s="8" t="s">
        <v>21</v>
      </c>
      <c r="B488" s="9" t="s">
        <v>81</v>
      </c>
      <c r="C488" s="9" t="s">
        <v>82</v>
      </c>
      <c r="D488" s="10"/>
      <c r="E488" s="11"/>
      <c r="F488" s="10"/>
      <c r="G488" s="11"/>
      <c r="H488" s="10"/>
      <c r="I488" s="11"/>
      <c r="J488" s="10"/>
      <c r="K488" s="11"/>
    </row>
    <row r="489">
      <c r="A489" s="8" t="s">
        <v>22</v>
      </c>
      <c r="B489" s="9" t="s">
        <v>81</v>
      </c>
      <c r="C489" s="9" t="s">
        <v>82</v>
      </c>
      <c r="D489" s="10"/>
      <c r="E489" s="11"/>
      <c r="F489" s="10"/>
      <c r="G489" s="11"/>
      <c r="H489" s="10"/>
      <c r="I489" s="11"/>
      <c r="J489" s="10"/>
      <c r="K489" s="11"/>
    </row>
    <row r="490">
      <c r="A490" s="8" t="s">
        <v>23</v>
      </c>
      <c r="B490" s="9" t="s">
        <v>81</v>
      </c>
      <c r="C490" s="9" t="s">
        <v>82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24</v>
      </c>
      <c r="B491" s="9" t="s">
        <v>81</v>
      </c>
      <c r="C491" s="9" t="s">
        <v>82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25</v>
      </c>
      <c r="B492" s="9" t="s">
        <v>81</v>
      </c>
      <c r="C492" s="9" t="s">
        <v>82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26</v>
      </c>
      <c r="B493" s="9" t="s">
        <v>81</v>
      </c>
      <c r="C493" s="9" t="s">
        <v>82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27</v>
      </c>
      <c r="B494" s="9" t="s">
        <v>81</v>
      </c>
      <c r="C494" s="9" t="s">
        <v>82</v>
      </c>
      <c r="D494" s="10"/>
      <c r="E494" s="11"/>
      <c r="F494" s="10"/>
      <c r="G494" s="11"/>
      <c r="H494" s="10"/>
      <c r="I494" s="11"/>
      <c r="J494" s="10"/>
      <c r="K494" s="11"/>
    </row>
    <row r="495">
      <c r="A495" s="8" t="s">
        <v>28</v>
      </c>
      <c r="B495" s="9" t="s">
        <v>81</v>
      </c>
      <c r="C495" s="9" t="s">
        <v>82</v>
      </c>
      <c r="D495" s="10"/>
      <c r="E495" s="11"/>
      <c r="F495" s="10"/>
      <c r="G495" s="11"/>
      <c r="H495" s="10"/>
      <c r="I495" s="11"/>
      <c r="J495" s="10"/>
      <c r="K495" s="11"/>
    </row>
    <row r="496">
      <c r="A496" s="8" t="s">
        <v>29</v>
      </c>
      <c r="B496" s="9" t="s">
        <v>81</v>
      </c>
      <c r="C496" s="9" t="s">
        <v>82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30</v>
      </c>
      <c r="B497" s="9" t="s">
        <v>81</v>
      </c>
      <c r="C497" s="9" t="s">
        <v>82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31</v>
      </c>
      <c r="B498" s="9" t="s">
        <v>81</v>
      </c>
      <c r="C498" s="9" t="s">
        <v>82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32</v>
      </c>
      <c r="B499" s="9" t="s">
        <v>81</v>
      </c>
      <c r="C499" s="9" t="s">
        <v>82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33</v>
      </c>
      <c r="B500" s="9" t="s">
        <v>81</v>
      </c>
      <c r="C500" s="9" t="s">
        <v>82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34</v>
      </c>
      <c r="B501" s="9" t="s">
        <v>81</v>
      </c>
      <c r="C501" s="9" t="s">
        <v>82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35</v>
      </c>
      <c r="B502" s="9" t="s">
        <v>81</v>
      </c>
      <c r="C502" s="9" t="s">
        <v>82</v>
      </c>
      <c r="D502" s="10"/>
      <c r="E502" s="11"/>
      <c r="F502" s="10"/>
      <c r="G502" s="11"/>
      <c r="H502" s="10"/>
      <c r="I502" s="11"/>
      <c r="J502" s="10"/>
      <c r="K502" s="11"/>
    </row>
    <row r="503">
      <c r="A503" s="8" t="s">
        <v>36</v>
      </c>
      <c r="B503" s="9" t="s">
        <v>81</v>
      </c>
      <c r="C503" s="9" t="s">
        <v>82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38</v>
      </c>
      <c r="B504" s="9" t="s">
        <v>81</v>
      </c>
      <c r="C504" s="9" t="s">
        <v>82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39</v>
      </c>
      <c r="B505" s="9" t="s">
        <v>81</v>
      </c>
      <c r="C505" s="9" t="s">
        <v>82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40</v>
      </c>
      <c r="B506" s="9" t="s">
        <v>81</v>
      </c>
      <c r="C506" s="9" t="s">
        <v>82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41</v>
      </c>
      <c r="B507" s="9" t="s">
        <v>81</v>
      </c>
      <c r="C507" s="9" t="s">
        <v>82</v>
      </c>
      <c r="D507" s="10"/>
      <c r="E507" s="11" t="str">
        <f>"－"</f>
        <v>－</v>
      </c>
      <c r="F507" s="10"/>
      <c r="G507" s="11" t="str">
        <f>"－"</f>
        <v>－</v>
      </c>
      <c r="H507" s="10"/>
      <c r="I507" s="11" t="str">
        <f>"－"</f>
        <v>－</v>
      </c>
      <c r="J507" s="10"/>
      <c r="K507" s="11" t="str">
        <f>"－"</f>
        <v>－</v>
      </c>
    </row>
    <row r="508">
      <c r="A508" s="8" t="s">
        <v>42</v>
      </c>
      <c r="B508" s="9" t="s">
        <v>81</v>
      </c>
      <c r="C508" s="9" t="s">
        <v>82</v>
      </c>
      <c r="D508" s="10"/>
      <c r="E508" s="11"/>
      <c r="F508" s="10"/>
      <c r="G508" s="11"/>
      <c r="H508" s="10"/>
      <c r="I508" s="11"/>
      <c r="J508" s="10"/>
      <c r="K508" s="11"/>
    </row>
    <row r="509">
      <c r="A509" s="8" t="s">
        <v>43</v>
      </c>
      <c r="B509" s="9" t="s">
        <v>81</v>
      </c>
      <c r="C509" s="9" t="s">
        <v>82</v>
      </c>
      <c r="D509" s="10"/>
      <c r="E509" s="11"/>
      <c r="F509" s="10"/>
      <c r="G509" s="11"/>
      <c r="H509" s="10"/>
      <c r="I509" s="11"/>
      <c r="J509" s="10"/>
      <c r="K509" s="11"/>
    </row>
    <row r="510">
      <c r="A510" s="8" t="s">
        <v>44</v>
      </c>
      <c r="B510" s="9" t="s">
        <v>81</v>
      </c>
      <c r="C510" s="9" t="s">
        <v>82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45</v>
      </c>
      <c r="B511" s="9" t="s">
        <v>81</v>
      </c>
      <c r="C511" s="9" t="s">
        <v>82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46</v>
      </c>
      <c r="B512" s="9" t="s">
        <v>81</v>
      </c>
      <c r="C512" s="9" t="s">
        <v>82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47</v>
      </c>
      <c r="B513" s="9" t="s">
        <v>81</v>
      </c>
      <c r="C513" s="9" t="s">
        <v>82</v>
      </c>
      <c r="D513" s="10"/>
      <c r="E513" s="11" t="str">
        <f>"－"</f>
        <v>－</v>
      </c>
      <c r="F513" s="10"/>
      <c r="G513" s="11" t="str">
        <f>"－"</f>
        <v>－</v>
      </c>
      <c r="H513" s="10"/>
      <c r="I513" s="11" t="str">
        <f>"－"</f>
        <v>－</v>
      </c>
      <c r="J513" s="10"/>
      <c r="K513" s="11" t="str">
        <f>"－"</f>
        <v>－</v>
      </c>
    </row>
    <row r="514">
      <c r="A514" s="8" t="s">
        <v>48</v>
      </c>
      <c r="B514" s="9" t="s">
        <v>81</v>
      </c>
      <c r="C514" s="9" t="s">
        <v>82</v>
      </c>
      <c r="D514" s="10"/>
      <c r="E514" s="11" t="str">
        <f>"－"</f>
        <v>－</v>
      </c>
      <c r="F514" s="10"/>
      <c r="G514" s="11" t="str">
        <f>"－"</f>
        <v>－</v>
      </c>
      <c r="H514" s="10"/>
      <c r="I514" s="11" t="str">
        <f>"－"</f>
        <v>－</v>
      </c>
      <c r="J514" s="10"/>
      <c r="K514" s="11" t="str">
        <f>"－"</f>
        <v>－</v>
      </c>
    </row>
    <row r="515">
      <c r="A515" s="8" t="s">
        <v>49</v>
      </c>
      <c r="B515" s="9" t="s">
        <v>81</v>
      </c>
      <c r="C515" s="9" t="s">
        <v>82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16</v>
      </c>
      <c r="B516" s="9" t="s">
        <v>83</v>
      </c>
      <c r="C516" s="9" t="s">
        <v>84</v>
      </c>
      <c r="D516" s="10"/>
      <c r="E516" s="11" t="n">
        <f>3170</f>
        <v>3170.0</v>
      </c>
      <c r="F516" s="10"/>
      <c r="G516" s="11" t="n">
        <f>10698279000</f>
        <v>1.0698279E10</v>
      </c>
      <c r="H516" s="10" t="s">
        <v>52</v>
      </c>
      <c r="I516" s="11" t="str">
        <f>"－"</f>
        <v>－</v>
      </c>
      <c r="J516" s="10"/>
      <c r="K516" s="11" t="n">
        <f>33398</f>
        <v>33398.0</v>
      </c>
    </row>
    <row r="517">
      <c r="A517" s="8" t="s">
        <v>20</v>
      </c>
      <c r="B517" s="9" t="s">
        <v>83</v>
      </c>
      <c r="C517" s="9" t="s">
        <v>84</v>
      </c>
      <c r="D517" s="10"/>
      <c r="E517" s="11"/>
      <c r="F517" s="10"/>
      <c r="G517" s="11"/>
      <c r="H517" s="10"/>
      <c r="I517" s="11"/>
      <c r="J517" s="10"/>
      <c r="K517" s="11"/>
    </row>
    <row r="518">
      <c r="A518" s="8" t="s">
        <v>21</v>
      </c>
      <c r="B518" s="9" t="s">
        <v>83</v>
      </c>
      <c r="C518" s="9" t="s">
        <v>84</v>
      </c>
      <c r="D518" s="10"/>
      <c r="E518" s="11"/>
      <c r="F518" s="10"/>
      <c r="G518" s="11"/>
      <c r="H518" s="10"/>
      <c r="I518" s="11"/>
      <c r="J518" s="10"/>
      <c r="K518" s="11"/>
    </row>
    <row r="519">
      <c r="A519" s="8" t="s">
        <v>22</v>
      </c>
      <c r="B519" s="9" t="s">
        <v>83</v>
      </c>
      <c r="C519" s="9" t="s">
        <v>84</v>
      </c>
      <c r="D519" s="10"/>
      <c r="E519" s="11"/>
      <c r="F519" s="10"/>
      <c r="G519" s="11"/>
      <c r="H519" s="10"/>
      <c r="I519" s="11"/>
      <c r="J519" s="10"/>
      <c r="K519" s="11"/>
    </row>
    <row r="520">
      <c r="A520" s="8" t="s">
        <v>23</v>
      </c>
      <c r="B520" s="9" t="s">
        <v>83</v>
      </c>
      <c r="C520" s="9" t="s">
        <v>84</v>
      </c>
      <c r="D520" s="10"/>
      <c r="E520" s="11" t="n">
        <f>3324</f>
        <v>3324.0</v>
      </c>
      <c r="F520" s="10"/>
      <c r="G520" s="11" t="n">
        <f>11332500500</f>
        <v>1.13325005E10</v>
      </c>
      <c r="H520" s="10"/>
      <c r="I520" s="11" t="str">
        <f>"－"</f>
        <v>－</v>
      </c>
      <c r="J520" s="10" t="s">
        <v>19</v>
      </c>
      <c r="K520" s="11" t="n">
        <f>31327</f>
        <v>31327.0</v>
      </c>
    </row>
    <row r="521">
      <c r="A521" s="8" t="s">
        <v>24</v>
      </c>
      <c r="B521" s="9" t="s">
        <v>83</v>
      </c>
      <c r="C521" s="9" t="s">
        <v>84</v>
      </c>
      <c r="D521" s="10"/>
      <c r="E521" s="11" t="n">
        <f>3607</f>
        <v>3607.0</v>
      </c>
      <c r="F521" s="10"/>
      <c r="G521" s="11" t="n">
        <f>12367920000</f>
        <v>1.236792E10</v>
      </c>
      <c r="H521" s="10"/>
      <c r="I521" s="11" t="str">
        <f>"－"</f>
        <v>－</v>
      </c>
      <c r="J521" s="10"/>
      <c r="K521" s="11" t="n">
        <f>31340</f>
        <v>31340.0</v>
      </c>
    </row>
    <row r="522">
      <c r="A522" s="8" t="s">
        <v>25</v>
      </c>
      <c r="B522" s="9" t="s">
        <v>83</v>
      </c>
      <c r="C522" s="9" t="s">
        <v>84</v>
      </c>
      <c r="D522" s="10"/>
      <c r="E522" s="11" t="n">
        <f>4329</f>
        <v>4329.0</v>
      </c>
      <c r="F522" s="10"/>
      <c r="G522" s="11" t="n">
        <f>14997884500</f>
        <v>1.49978845E10</v>
      </c>
      <c r="H522" s="10"/>
      <c r="I522" s="11" t="str">
        <f>"－"</f>
        <v>－</v>
      </c>
      <c r="J522" s="10"/>
      <c r="K522" s="11" t="n">
        <f>31527</f>
        <v>31527.0</v>
      </c>
    </row>
    <row r="523">
      <c r="A523" s="8" t="s">
        <v>26</v>
      </c>
      <c r="B523" s="9" t="s">
        <v>83</v>
      </c>
      <c r="C523" s="9" t="s">
        <v>84</v>
      </c>
      <c r="D523" s="10"/>
      <c r="E523" s="11" t="n">
        <f>10139</f>
        <v>10139.0</v>
      </c>
      <c r="F523" s="10"/>
      <c r="G523" s="11" t="n">
        <f>34798811000</f>
        <v>3.4798811E10</v>
      </c>
      <c r="H523" s="10"/>
      <c r="I523" s="11" t="str">
        <f>"－"</f>
        <v>－</v>
      </c>
      <c r="J523" s="10"/>
      <c r="K523" s="11" t="n">
        <f>31616</f>
        <v>31616.0</v>
      </c>
    </row>
    <row r="524">
      <c r="A524" s="8" t="s">
        <v>27</v>
      </c>
      <c r="B524" s="9" t="s">
        <v>83</v>
      </c>
      <c r="C524" s="9" t="s">
        <v>84</v>
      </c>
      <c r="D524" s="10"/>
      <c r="E524" s="11"/>
      <c r="F524" s="10"/>
      <c r="G524" s="11"/>
      <c r="H524" s="10"/>
      <c r="I524" s="11"/>
      <c r="J524" s="10"/>
      <c r="K524" s="11"/>
    </row>
    <row r="525">
      <c r="A525" s="8" t="s">
        <v>28</v>
      </c>
      <c r="B525" s="9" t="s">
        <v>83</v>
      </c>
      <c r="C525" s="9" t="s">
        <v>84</v>
      </c>
      <c r="D525" s="10"/>
      <c r="E525" s="11"/>
      <c r="F525" s="10"/>
      <c r="G525" s="11"/>
      <c r="H525" s="10"/>
      <c r="I525" s="11"/>
      <c r="J525" s="10"/>
      <c r="K525" s="11"/>
    </row>
    <row r="526">
      <c r="A526" s="8" t="s">
        <v>29</v>
      </c>
      <c r="B526" s="9" t="s">
        <v>83</v>
      </c>
      <c r="C526" s="9" t="s">
        <v>84</v>
      </c>
      <c r="D526" s="10" t="s">
        <v>37</v>
      </c>
      <c r="E526" s="11" t="n">
        <f>12178</f>
        <v>12178.0</v>
      </c>
      <c r="F526" s="10" t="s">
        <v>37</v>
      </c>
      <c r="G526" s="11" t="n">
        <f>41432228500</f>
        <v>4.14322285E10</v>
      </c>
      <c r="H526" s="10"/>
      <c r="I526" s="11" t="str">
        <f>"－"</f>
        <v>－</v>
      </c>
      <c r="J526" s="10"/>
      <c r="K526" s="11" t="n">
        <f>32180</f>
        <v>32180.0</v>
      </c>
    </row>
    <row r="527">
      <c r="A527" s="8" t="s">
        <v>30</v>
      </c>
      <c r="B527" s="9" t="s">
        <v>83</v>
      </c>
      <c r="C527" s="9" t="s">
        <v>84</v>
      </c>
      <c r="D527" s="10"/>
      <c r="E527" s="11" t="n">
        <f>11246</f>
        <v>11246.0</v>
      </c>
      <c r="F527" s="10"/>
      <c r="G527" s="11" t="n">
        <f>37440586000</f>
        <v>3.7440586E10</v>
      </c>
      <c r="H527" s="10"/>
      <c r="I527" s="11" t="str">
        <f>"－"</f>
        <v>－</v>
      </c>
      <c r="J527" s="10"/>
      <c r="K527" s="11" t="n">
        <f>32080</f>
        <v>32080.0</v>
      </c>
    </row>
    <row r="528">
      <c r="A528" s="8" t="s">
        <v>31</v>
      </c>
      <c r="B528" s="9" t="s">
        <v>83</v>
      </c>
      <c r="C528" s="9" t="s">
        <v>84</v>
      </c>
      <c r="D528" s="10"/>
      <c r="E528" s="11" t="n">
        <f>11031</f>
        <v>11031.0</v>
      </c>
      <c r="F528" s="10"/>
      <c r="G528" s="11" t="n">
        <f>37024488500</f>
        <v>3.70244885E10</v>
      </c>
      <c r="H528" s="10"/>
      <c r="I528" s="11" t="str">
        <f>"－"</f>
        <v>－</v>
      </c>
      <c r="J528" s="10"/>
      <c r="K528" s="11" t="n">
        <f>32920</f>
        <v>32920.0</v>
      </c>
    </row>
    <row r="529">
      <c r="A529" s="8" t="s">
        <v>32</v>
      </c>
      <c r="B529" s="9" t="s">
        <v>83</v>
      </c>
      <c r="C529" s="9" t="s">
        <v>84</v>
      </c>
      <c r="D529" s="10"/>
      <c r="E529" s="11" t="n">
        <f>9337</f>
        <v>9337.0</v>
      </c>
      <c r="F529" s="10"/>
      <c r="G529" s="11" t="n">
        <f>31405760000</f>
        <v>3.140576E10</v>
      </c>
      <c r="H529" s="10"/>
      <c r="I529" s="11" t="str">
        <f>"－"</f>
        <v>－</v>
      </c>
      <c r="J529" s="10" t="s">
        <v>37</v>
      </c>
      <c r="K529" s="11" t="n">
        <f>34543</f>
        <v>34543.0</v>
      </c>
    </row>
    <row r="530">
      <c r="A530" s="8" t="s">
        <v>33</v>
      </c>
      <c r="B530" s="9" t="s">
        <v>83</v>
      </c>
      <c r="C530" s="9" t="s">
        <v>84</v>
      </c>
      <c r="D530" s="10"/>
      <c r="E530" s="11" t="n">
        <f>2779</f>
        <v>2779.0</v>
      </c>
      <c r="F530" s="10"/>
      <c r="G530" s="11" t="n">
        <f>9395070500</f>
        <v>9.3950705E9</v>
      </c>
      <c r="H530" s="10"/>
      <c r="I530" s="11" t="str">
        <f>"－"</f>
        <v>－</v>
      </c>
      <c r="J530" s="10"/>
      <c r="K530" s="11" t="n">
        <f>34091</f>
        <v>34091.0</v>
      </c>
    </row>
    <row r="531">
      <c r="A531" s="8" t="s">
        <v>34</v>
      </c>
      <c r="B531" s="9" t="s">
        <v>83</v>
      </c>
      <c r="C531" s="9" t="s">
        <v>84</v>
      </c>
      <c r="D531" s="10"/>
      <c r="E531" s="11"/>
      <c r="F531" s="10"/>
      <c r="G531" s="11"/>
      <c r="H531" s="10"/>
      <c r="I531" s="11"/>
      <c r="J531" s="10"/>
      <c r="K531" s="11"/>
    </row>
    <row r="532">
      <c r="A532" s="8" t="s">
        <v>35</v>
      </c>
      <c r="B532" s="9" t="s">
        <v>83</v>
      </c>
      <c r="C532" s="9" t="s">
        <v>84</v>
      </c>
      <c r="D532" s="10"/>
      <c r="E532" s="11"/>
      <c r="F532" s="10"/>
      <c r="G532" s="11"/>
      <c r="H532" s="10"/>
      <c r="I532" s="11"/>
      <c r="J532" s="10"/>
      <c r="K532" s="11"/>
    </row>
    <row r="533">
      <c r="A533" s="8" t="s">
        <v>36</v>
      </c>
      <c r="B533" s="9" t="s">
        <v>83</v>
      </c>
      <c r="C533" s="9" t="s">
        <v>84</v>
      </c>
      <c r="D533" s="10"/>
      <c r="E533" s="11" t="n">
        <f>2980</f>
        <v>2980.0</v>
      </c>
      <c r="F533" s="10"/>
      <c r="G533" s="11" t="n">
        <f>9883863000</f>
        <v>9.883863E9</v>
      </c>
      <c r="H533" s="10"/>
      <c r="I533" s="11" t="str">
        <f>"－"</f>
        <v>－</v>
      </c>
      <c r="J533" s="10"/>
      <c r="K533" s="11" t="n">
        <f>33364</f>
        <v>33364.0</v>
      </c>
    </row>
    <row r="534">
      <c r="A534" s="8" t="s">
        <v>38</v>
      </c>
      <c r="B534" s="9" t="s">
        <v>83</v>
      </c>
      <c r="C534" s="9" t="s">
        <v>84</v>
      </c>
      <c r="D534" s="10"/>
      <c r="E534" s="11" t="n">
        <f>2961</f>
        <v>2961.0</v>
      </c>
      <c r="F534" s="10"/>
      <c r="G534" s="11" t="n">
        <f>10020288000</f>
        <v>1.0020288E10</v>
      </c>
      <c r="H534" s="10"/>
      <c r="I534" s="11" t="str">
        <f>"－"</f>
        <v>－</v>
      </c>
      <c r="J534" s="10"/>
      <c r="K534" s="11" t="n">
        <f>33532</f>
        <v>33532.0</v>
      </c>
    </row>
    <row r="535">
      <c r="A535" s="8" t="s">
        <v>39</v>
      </c>
      <c r="B535" s="9" t="s">
        <v>83</v>
      </c>
      <c r="C535" s="9" t="s">
        <v>84</v>
      </c>
      <c r="D535" s="10"/>
      <c r="E535" s="11" t="n">
        <f>2116</f>
        <v>2116.0</v>
      </c>
      <c r="F535" s="10"/>
      <c r="G535" s="11" t="n">
        <f>7208575500</f>
        <v>7.2085755E9</v>
      </c>
      <c r="H535" s="10"/>
      <c r="I535" s="11" t="str">
        <f>"－"</f>
        <v>－</v>
      </c>
      <c r="J535" s="10"/>
      <c r="K535" s="11" t="n">
        <f>33674</f>
        <v>33674.0</v>
      </c>
    </row>
    <row r="536">
      <c r="A536" s="8" t="s">
        <v>40</v>
      </c>
      <c r="B536" s="9" t="s">
        <v>83</v>
      </c>
      <c r="C536" s="9" t="s">
        <v>84</v>
      </c>
      <c r="D536" s="10" t="s">
        <v>19</v>
      </c>
      <c r="E536" s="11" t="n">
        <f>1984</f>
        <v>1984.0</v>
      </c>
      <c r="F536" s="10" t="s">
        <v>19</v>
      </c>
      <c r="G536" s="11" t="n">
        <f>6762438500</f>
        <v>6.7624385E9</v>
      </c>
      <c r="H536" s="10"/>
      <c r="I536" s="11" t="str">
        <f>"－"</f>
        <v>－</v>
      </c>
      <c r="J536" s="10"/>
      <c r="K536" s="11" t="n">
        <f>33381</f>
        <v>33381.0</v>
      </c>
    </row>
    <row r="537">
      <c r="A537" s="8" t="s">
        <v>41</v>
      </c>
      <c r="B537" s="9" t="s">
        <v>83</v>
      </c>
      <c r="C537" s="9" t="s">
        <v>84</v>
      </c>
      <c r="D537" s="10"/>
      <c r="E537" s="11" t="n">
        <f>2559</f>
        <v>2559.0</v>
      </c>
      <c r="F537" s="10"/>
      <c r="G537" s="11" t="n">
        <f>8803654500</f>
        <v>8.8036545E9</v>
      </c>
      <c r="H537" s="10"/>
      <c r="I537" s="11" t="str">
        <f>"－"</f>
        <v>－</v>
      </c>
      <c r="J537" s="10"/>
      <c r="K537" s="11" t="n">
        <f>33212</f>
        <v>33212.0</v>
      </c>
    </row>
    <row r="538">
      <c r="A538" s="8" t="s">
        <v>42</v>
      </c>
      <c r="B538" s="9" t="s">
        <v>83</v>
      </c>
      <c r="C538" s="9" t="s">
        <v>84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43</v>
      </c>
      <c r="B539" s="9" t="s">
        <v>83</v>
      </c>
      <c r="C539" s="9" t="s">
        <v>84</v>
      </c>
      <c r="D539" s="10"/>
      <c r="E539" s="11"/>
      <c r="F539" s="10"/>
      <c r="G539" s="11"/>
      <c r="H539" s="10"/>
      <c r="I539" s="11"/>
      <c r="J539" s="10"/>
      <c r="K539" s="11"/>
    </row>
    <row r="540">
      <c r="A540" s="8" t="s">
        <v>44</v>
      </c>
      <c r="B540" s="9" t="s">
        <v>83</v>
      </c>
      <c r="C540" s="9" t="s">
        <v>84</v>
      </c>
      <c r="D540" s="10"/>
      <c r="E540" s="11" t="n">
        <f>2604</f>
        <v>2604.0</v>
      </c>
      <c r="F540" s="10"/>
      <c r="G540" s="11" t="n">
        <f>8977454500</f>
        <v>8.9774545E9</v>
      </c>
      <c r="H540" s="10"/>
      <c r="I540" s="11" t="str">
        <f>"－"</f>
        <v>－</v>
      </c>
      <c r="J540" s="10"/>
      <c r="K540" s="11" t="n">
        <f>33022</f>
        <v>33022.0</v>
      </c>
    </row>
    <row r="541">
      <c r="A541" s="8" t="s">
        <v>45</v>
      </c>
      <c r="B541" s="9" t="s">
        <v>83</v>
      </c>
      <c r="C541" s="9" t="s">
        <v>84</v>
      </c>
      <c r="D541" s="10"/>
      <c r="E541" s="11" t="n">
        <f>3305</f>
        <v>3305.0</v>
      </c>
      <c r="F541" s="10"/>
      <c r="G541" s="11" t="n">
        <f>11163669000</f>
        <v>1.1163669E10</v>
      </c>
      <c r="H541" s="10"/>
      <c r="I541" s="11" t="str">
        <f>"－"</f>
        <v>－</v>
      </c>
      <c r="J541" s="10"/>
      <c r="K541" s="11" t="n">
        <f>32545</f>
        <v>32545.0</v>
      </c>
    </row>
    <row r="542">
      <c r="A542" s="8" t="s">
        <v>46</v>
      </c>
      <c r="B542" s="9" t="s">
        <v>83</v>
      </c>
      <c r="C542" s="9" t="s">
        <v>84</v>
      </c>
      <c r="D542" s="10"/>
      <c r="E542" s="11" t="n">
        <f>2947</f>
        <v>2947.0</v>
      </c>
      <c r="F542" s="10"/>
      <c r="G542" s="11" t="n">
        <f>9845515500</f>
        <v>9.8455155E9</v>
      </c>
      <c r="H542" s="10"/>
      <c r="I542" s="11" t="str">
        <f>"－"</f>
        <v>－</v>
      </c>
      <c r="J542" s="10"/>
      <c r="K542" s="11" t="n">
        <f>32273</f>
        <v>32273.0</v>
      </c>
    </row>
    <row r="543">
      <c r="A543" s="8" t="s">
        <v>47</v>
      </c>
      <c r="B543" s="9" t="s">
        <v>83</v>
      </c>
      <c r="C543" s="9" t="s">
        <v>84</v>
      </c>
      <c r="D543" s="10"/>
      <c r="E543" s="11" t="n">
        <f>2180</f>
        <v>2180.0</v>
      </c>
      <c r="F543" s="10"/>
      <c r="G543" s="11" t="n">
        <f>7201672500</f>
        <v>7.2016725E9</v>
      </c>
      <c r="H543" s="10"/>
      <c r="I543" s="11" t="str">
        <f>"－"</f>
        <v>－</v>
      </c>
      <c r="J543" s="10"/>
      <c r="K543" s="11" t="n">
        <f>32086</f>
        <v>32086.0</v>
      </c>
    </row>
    <row r="544">
      <c r="A544" s="8" t="s">
        <v>48</v>
      </c>
      <c r="B544" s="9" t="s">
        <v>83</v>
      </c>
      <c r="C544" s="9" t="s">
        <v>84</v>
      </c>
      <c r="D544" s="10"/>
      <c r="E544" s="11" t="n">
        <f>2158</f>
        <v>2158.0</v>
      </c>
      <c r="F544" s="10"/>
      <c r="G544" s="11" t="n">
        <f>7131433500</f>
        <v>7.1314335E9</v>
      </c>
      <c r="H544" s="10"/>
      <c r="I544" s="11" t="str">
        <f>"－"</f>
        <v>－</v>
      </c>
      <c r="J544" s="10"/>
      <c r="K544" s="11" t="n">
        <f>31858</f>
        <v>31858.0</v>
      </c>
    </row>
    <row r="545">
      <c r="A545" s="8" t="s">
        <v>49</v>
      </c>
      <c r="B545" s="9" t="s">
        <v>83</v>
      </c>
      <c r="C545" s="9" t="s">
        <v>84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16</v>
      </c>
      <c r="B546" s="9" t="s">
        <v>85</v>
      </c>
      <c r="C546" s="9" t="s">
        <v>86</v>
      </c>
      <c r="D546" s="10"/>
      <c r="E546" s="11" t="n">
        <f>230</f>
        <v>230.0</v>
      </c>
      <c r="F546" s="10"/>
      <c r="G546" s="11" t="n">
        <f>255971520</f>
        <v>2.5597152E8</v>
      </c>
      <c r="H546" s="10" t="s">
        <v>52</v>
      </c>
      <c r="I546" s="11" t="str">
        <f>"－"</f>
        <v>－</v>
      </c>
      <c r="J546" s="10"/>
      <c r="K546" s="11" t="n">
        <f>1702</f>
        <v>1702.0</v>
      </c>
    </row>
    <row r="547">
      <c r="A547" s="8" t="s">
        <v>20</v>
      </c>
      <c r="B547" s="9" t="s">
        <v>85</v>
      </c>
      <c r="C547" s="9" t="s">
        <v>86</v>
      </c>
      <c r="D547" s="10"/>
      <c r="E547" s="11"/>
      <c r="F547" s="10"/>
      <c r="G547" s="11"/>
      <c r="H547" s="10"/>
      <c r="I547" s="11"/>
      <c r="J547" s="10"/>
      <c r="K547" s="11"/>
    </row>
    <row r="548">
      <c r="A548" s="8" t="s">
        <v>21</v>
      </c>
      <c r="B548" s="9" t="s">
        <v>85</v>
      </c>
      <c r="C548" s="9" t="s">
        <v>86</v>
      </c>
      <c r="D548" s="10"/>
      <c r="E548" s="11"/>
      <c r="F548" s="10"/>
      <c r="G548" s="11"/>
      <c r="H548" s="10"/>
      <c r="I548" s="11"/>
      <c r="J548" s="10"/>
      <c r="K548" s="11"/>
    </row>
    <row r="549">
      <c r="A549" s="8" t="s">
        <v>22</v>
      </c>
      <c r="B549" s="9" t="s">
        <v>85</v>
      </c>
      <c r="C549" s="9" t="s">
        <v>86</v>
      </c>
      <c r="D549" s="10"/>
      <c r="E549" s="11"/>
      <c r="F549" s="10"/>
      <c r="G549" s="11"/>
      <c r="H549" s="10"/>
      <c r="I549" s="11"/>
      <c r="J549" s="10"/>
      <c r="K549" s="11"/>
    </row>
    <row r="550">
      <c r="A550" s="8" t="s">
        <v>23</v>
      </c>
      <c r="B550" s="9" t="s">
        <v>85</v>
      </c>
      <c r="C550" s="9" t="s">
        <v>86</v>
      </c>
      <c r="D550" s="10" t="s">
        <v>19</v>
      </c>
      <c r="E550" s="11" t="str">
        <f>"－"</f>
        <v>－</v>
      </c>
      <c r="F550" s="10" t="s">
        <v>19</v>
      </c>
      <c r="G550" s="11" t="str">
        <f>"－"</f>
        <v>－</v>
      </c>
      <c r="H550" s="10"/>
      <c r="I550" s="11" t="str">
        <f>"－"</f>
        <v>－</v>
      </c>
      <c r="J550" s="10" t="s">
        <v>19</v>
      </c>
      <c r="K550" s="11" t="n">
        <f>1453</f>
        <v>1453.0</v>
      </c>
    </row>
    <row r="551">
      <c r="A551" s="8" t="s">
        <v>24</v>
      </c>
      <c r="B551" s="9" t="s">
        <v>85</v>
      </c>
      <c r="C551" s="9" t="s">
        <v>86</v>
      </c>
      <c r="D551" s="10"/>
      <c r="E551" s="11" t="n">
        <f>20</f>
        <v>20.0</v>
      </c>
      <c r="F551" s="10"/>
      <c r="G551" s="11" t="n">
        <f>23436000</f>
        <v>2.3436E7</v>
      </c>
      <c r="H551" s="10"/>
      <c r="I551" s="11" t="str">
        <f>"－"</f>
        <v>－</v>
      </c>
      <c r="J551" s="10"/>
      <c r="K551" s="11" t="n">
        <f>1453</f>
        <v>1453.0</v>
      </c>
    </row>
    <row r="552">
      <c r="A552" s="8" t="s">
        <v>25</v>
      </c>
      <c r="B552" s="9" t="s">
        <v>85</v>
      </c>
      <c r="C552" s="9" t="s">
        <v>86</v>
      </c>
      <c r="D552" s="10" t="s">
        <v>37</v>
      </c>
      <c r="E552" s="11" t="n">
        <f>2100</f>
        <v>2100.0</v>
      </c>
      <c r="F552" s="10" t="s">
        <v>37</v>
      </c>
      <c r="G552" s="11" t="n">
        <f>2356544400</f>
        <v>2.3565444E9</v>
      </c>
      <c r="H552" s="10"/>
      <c r="I552" s="11" t="str">
        <f>"－"</f>
        <v>－</v>
      </c>
      <c r="J552" s="10"/>
      <c r="K552" s="11" t="n">
        <f>3553</f>
        <v>3553.0</v>
      </c>
    </row>
    <row r="553">
      <c r="A553" s="8" t="s">
        <v>26</v>
      </c>
      <c r="B553" s="9" t="s">
        <v>85</v>
      </c>
      <c r="C553" s="9" t="s">
        <v>86</v>
      </c>
      <c r="D553" s="10"/>
      <c r="E553" s="11" t="n">
        <f>2</f>
        <v>2.0</v>
      </c>
      <c r="F553" s="10"/>
      <c r="G553" s="11" t="n">
        <f>2351040</f>
        <v>2351040.0</v>
      </c>
      <c r="H553" s="10"/>
      <c r="I553" s="11" t="str">
        <f>"－"</f>
        <v>－</v>
      </c>
      <c r="J553" s="10"/>
      <c r="K553" s="11" t="n">
        <f>3553</f>
        <v>3553.0</v>
      </c>
    </row>
    <row r="554">
      <c r="A554" s="8" t="s">
        <v>27</v>
      </c>
      <c r="B554" s="9" t="s">
        <v>85</v>
      </c>
      <c r="C554" s="9" t="s">
        <v>86</v>
      </c>
      <c r="D554" s="10"/>
      <c r="E554" s="11"/>
      <c r="F554" s="10"/>
      <c r="G554" s="11"/>
      <c r="H554" s="10"/>
      <c r="I554" s="11"/>
      <c r="J554" s="10"/>
      <c r="K554" s="11"/>
    </row>
    <row r="555">
      <c r="A555" s="8" t="s">
        <v>28</v>
      </c>
      <c r="B555" s="9" t="s">
        <v>85</v>
      </c>
      <c r="C555" s="9" t="s">
        <v>86</v>
      </c>
      <c r="D555" s="10"/>
      <c r="E555" s="11"/>
      <c r="F555" s="10"/>
      <c r="G555" s="11"/>
      <c r="H555" s="10"/>
      <c r="I555" s="11"/>
      <c r="J555" s="10"/>
      <c r="K555" s="11"/>
    </row>
    <row r="556">
      <c r="A556" s="8" t="s">
        <v>29</v>
      </c>
      <c r="B556" s="9" t="s">
        <v>85</v>
      </c>
      <c r="C556" s="9" t="s">
        <v>86</v>
      </c>
      <c r="D556" s="10"/>
      <c r="E556" s="11" t="n">
        <f>2</f>
        <v>2.0</v>
      </c>
      <c r="F556" s="10"/>
      <c r="G556" s="11" t="n">
        <f>2358480</f>
        <v>2358480.0</v>
      </c>
      <c r="H556" s="10"/>
      <c r="I556" s="11" t="str">
        <f>"－"</f>
        <v>－</v>
      </c>
      <c r="J556" s="10"/>
      <c r="K556" s="11" t="n">
        <f>3555</f>
        <v>3555.0</v>
      </c>
    </row>
    <row r="557">
      <c r="A557" s="8" t="s">
        <v>30</v>
      </c>
      <c r="B557" s="9" t="s">
        <v>85</v>
      </c>
      <c r="C557" s="9" t="s">
        <v>86</v>
      </c>
      <c r="D557" s="10"/>
      <c r="E557" s="11" t="n">
        <f>70</f>
        <v>70.0</v>
      </c>
      <c r="F557" s="10"/>
      <c r="G557" s="11" t="n">
        <f>79296000</f>
        <v>7.9296E7</v>
      </c>
      <c r="H557" s="10"/>
      <c r="I557" s="11" t="str">
        <f>"－"</f>
        <v>－</v>
      </c>
      <c r="J557" s="10"/>
      <c r="K557" s="11" t="n">
        <f>3545</f>
        <v>3545.0</v>
      </c>
    </row>
    <row r="558">
      <c r="A558" s="8" t="s">
        <v>31</v>
      </c>
      <c r="B558" s="9" t="s">
        <v>85</v>
      </c>
      <c r="C558" s="9" t="s">
        <v>86</v>
      </c>
      <c r="D558" s="10"/>
      <c r="E558" s="11" t="str">
        <f>"－"</f>
        <v>－</v>
      </c>
      <c r="F558" s="10"/>
      <c r="G558" s="11" t="str">
        <f>"－"</f>
        <v>－</v>
      </c>
      <c r="H558" s="10"/>
      <c r="I558" s="11" t="str">
        <f>"－"</f>
        <v>－</v>
      </c>
      <c r="J558" s="10"/>
      <c r="K558" s="11" t="n">
        <f>3545</f>
        <v>3545.0</v>
      </c>
    </row>
    <row r="559">
      <c r="A559" s="8" t="s">
        <v>32</v>
      </c>
      <c r="B559" s="9" t="s">
        <v>85</v>
      </c>
      <c r="C559" s="9" t="s">
        <v>86</v>
      </c>
      <c r="D559" s="10"/>
      <c r="E559" s="11" t="n">
        <f>80</f>
        <v>80.0</v>
      </c>
      <c r="F559" s="10"/>
      <c r="G559" s="11" t="n">
        <f>89942160</f>
        <v>8.994216E7</v>
      </c>
      <c r="H559" s="10"/>
      <c r="I559" s="11" t="str">
        <f>"－"</f>
        <v>－</v>
      </c>
      <c r="J559" s="10"/>
      <c r="K559" s="11" t="n">
        <f>3565</f>
        <v>3565.0</v>
      </c>
    </row>
    <row r="560">
      <c r="A560" s="8" t="s">
        <v>33</v>
      </c>
      <c r="B560" s="9" t="s">
        <v>85</v>
      </c>
      <c r="C560" s="9" t="s">
        <v>86</v>
      </c>
      <c r="D560" s="10"/>
      <c r="E560" s="11" t="str">
        <f>"－"</f>
        <v>－</v>
      </c>
      <c r="F560" s="10"/>
      <c r="G560" s="11" t="str">
        <f>"－"</f>
        <v>－</v>
      </c>
      <c r="H560" s="10"/>
      <c r="I560" s="11" t="str">
        <f>"－"</f>
        <v>－</v>
      </c>
      <c r="J560" s="10"/>
      <c r="K560" s="11" t="n">
        <f>3565</f>
        <v>3565.0</v>
      </c>
    </row>
    <row r="561">
      <c r="A561" s="8" t="s">
        <v>34</v>
      </c>
      <c r="B561" s="9" t="s">
        <v>85</v>
      </c>
      <c r="C561" s="9" t="s">
        <v>86</v>
      </c>
      <c r="D561" s="10"/>
      <c r="E561" s="11"/>
      <c r="F561" s="10"/>
      <c r="G561" s="11"/>
      <c r="H561" s="10"/>
      <c r="I561" s="11"/>
      <c r="J561" s="10"/>
      <c r="K561" s="11"/>
    </row>
    <row r="562">
      <c r="A562" s="8" t="s">
        <v>35</v>
      </c>
      <c r="B562" s="9" t="s">
        <v>85</v>
      </c>
      <c r="C562" s="9" t="s">
        <v>86</v>
      </c>
      <c r="D562" s="10"/>
      <c r="E562" s="11"/>
      <c r="F562" s="10"/>
      <c r="G562" s="11"/>
      <c r="H562" s="10"/>
      <c r="I562" s="11"/>
      <c r="J562" s="10"/>
      <c r="K562" s="11"/>
    </row>
    <row r="563">
      <c r="A563" s="8" t="s">
        <v>36</v>
      </c>
      <c r="B563" s="9" t="s">
        <v>85</v>
      </c>
      <c r="C563" s="9" t="s">
        <v>86</v>
      </c>
      <c r="D563" s="10"/>
      <c r="E563" s="11" t="str">
        <f>"－"</f>
        <v>－</v>
      </c>
      <c r="F563" s="10"/>
      <c r="G563" s="11" t="str">
        <f>"－"</f>
        <v>－</v>
      </c>
      <c r="H563" s="10"/>
      <c r="I563" s="11" t="str">
        <f>"－"</f>
        <v>－</v>
      </c>
      <c r="J563" s="10"/>
      <c r="K563" s="11" t="n">
        <f>3565</f>
        <v>3565.0</v>
      </c>
    </row>
    <row r="564">
      <c r="A564" s="8" t="s">
        <v>38</v>
      </c>
      <c r="B564" s="9" t="s">
        <v>85</v>
      </c>
      <c r="C564" s="9" t="s">
        <v>86</v>
      </c>
      <c r="D564" s="10"/>
      <c r="E564" s="11" t="str">
        <f>"－"</f>
        <v>－</v>
      </c>
      <c r="F564" s="10"/>
      <c r="G564" s="11" t="str">
        <f>"－"</f>
        <v>－</v>
      </c>
      <c r="H564" s="10"/>
      <c r="I564" s="11" t="str">
        <f>"－"</f>
        <v>－</v>
      </c>
      <c r="J564" s="10"/>
      <c r="K564" s="11" t="n">
        <f>3565</f>
        <v>3565.0</v>
      </c>
    </row>
    <row r="565">
      <c r="A565" s="8" t="s">
        <v>39</v>
      </c>
      <c r="B565" s="9" t="s">
        <v>85</v>
      </c>
      <c r="C565" s="9" t="s">
        <v>86</v>
      </c>
      <c r="D565" s="10"/>
      <c r="E565" s="11" t="str">
        <f>"－"</f>
        <v>－</v>
      </c>
      <c r="F565" s="10"/>
      <c r="G565" s="11" t="str">
        <f>"－"</f>
        <v>－</v>
      </c>
      <c r="H565" s="10"/>
      <c r="I565" s="11" t="str">
        <f>"－"</f>
        <v>－</v>
      </c>
      <c r="J565" s="10"/>
      <c r="K565" s="11" t="n">
        <f>3565</f>
        <v>3565.0</v>
      </c>
    </row>
    <row r="566">
      <c r="A566" s="8" t="s">
        <v>40</v>
      </c>
      <c r="B566" s="9" t="s">
        <v>85</v>
      </c>
      <c r="C566" s="9" t="s">
        <v>86</v>
      </c>
      <c r="D566" s="10"/>
      <c r="E566" s="11" t="str">
        <f>"－"</f>
        <v>－</v>
      </c>
      <c r="F566" s="10"/>
      <c r="G566" s="11" t="str">
        <f>"－"</f>
        <v>－</v>
      </c>
      <c r="H566" s="10"/>
      <c r="I566" s="11" t="str">
        <f>"－"</f>
        <v>－</v>
      </c>
      <c r="J566" s="10"/>
      <c r="K566" s="11" t="n">
        <f>3565</f>
        <v>3565.0</v>
      </c>
    </row>
    <row r="567">
      <c r="A567" s="8" t="s">
        <v>41</v>
      </c>
      <c r="B567" s="9" t="s">
        <v>85</v>
      </c>
      <c r="C567" s="9" t="s">
        <v>86</v>
      </c>
      <c r="D567" s="10"/>
      <c r="E567" s="11" t="str">
        <f>"－"</f>
        <v>－</v>
      </c>
      <c r="F567" s="10"/>
      <c r="G567" s="11" t="str">
        <f>"－"</f>
        <v>－</v>
      </c>
      <c r="H567" s="10"/>
      <c r="I567" s="11" t="str">
        <f>"－"</f>
        <v>－</v>
      </c>
      <c r="J567" s="10"/>
      <c r="K567" s="11" t="n">
        <f>3565</f>
        <v>3565.0</v>
      </c>
    </row>
    <row r="568">
      <c r="A568" s="8" t="s">
        <v>42</v>
      </c>
      <c r="B568" s="9" t="s">
        <v>85</v>
      </c>
      <c r="C568" s="9" t="s">
        <v>86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43</v>
      </c>
      <c r="B569" s="9" t="s">
        <v>85</v>
      </c>
      <c r="C569" s="9" t="s">
        <v>86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44</v>
      </c>
      <c r="B570" s="9" t="s">
        <v>85</v>
      </c>
      <c r="C570" s="9" t="s">
        <v>86</v>
      </c>
      <c r="D570" s="10"/>
      <c r="E570" s="11" t="n">
        <f>130</f>
        <v>130.0</v>
      </c>
      <c r="F570" s="10"/>
      <c r="G570" s="11" t="n">
        <f>153276720</f>
        <v>1.5327672E8</v>
      </c>
      <c r="H570" s="10"/>
      <c r="I570" s="11" t="str">
        <f>"－"</f>
        <v>－</v>
      </c>
      <c r="J570" s="10"/>
      <c r="K570" s="11" t="n">
        <f>3695</f>
        <v>3695.0</v>
      </c>
    </row>
    <row r="571">
      <c r="A571" s="8" t="s">
        <v>45</v>
      </c>
      <c r="B571" s="9" t="s">
        <v>85</v>
      </c>
      <c r="C571" s="9" t="s">
        <v>86</v>
      </c>
      <c r="D571" s="10"/>
      <c r="E571" s="11" t="str">
        <f>"－"</f>
        <v>－</v>
      </c>
      <c r="F571" s="10"/>
      <c r="G571" s="11" t="str">
        <f>"－"</f>
        <v>－</v>
      </c>
      <c r="H571" s="10"/>
      <c r="I571" s="11" t="str">
        <f>"－"</f>
        <v>－</v>
      </c>
      <c r="J571" s="10"/>
      <c r="K571" s="11" t="n">
        <f>3695</f>
        <v>3695.0</v>
      </c>
    </row>
    <row r="572">
      <c r="A572" s="8" t="s">
        <v>46</v>
      </c>
      <c r="B572" s="9" t="s">
        <v>85</v>
      </c>
      <c r="C572" s="9" t="s">
        <v>86</v>
      </c>
      <c r="D572" s="10"/>
      <c r="E572" s="11" t="n">
        <f>20</f>
        <v>20.0</v>
      </c>
      <c r="F572" s="10"/>
      <c r="G572" s="11" t="n">
        <f>21772800</f>
        <v>2.17728E7</v>
      </c>
      <c r="H572" s="10"/>
      <c r="I572" s="11" t="str">
        <f>"－"</f>
        <v>－</v>
      </c>
      <c r="J572" s="10"/>
      <c r="K572" s="11" t="n">
        <f>3715</f>
        <v>3715.0</v>
      </c>
    </row>
    <row r="573">
      <c r="A573" s="8" t="s">
        <v>47</v>
      </c>
      <c r="B573" s="9" t="s">
        <v>85</v>
      </c>
      <c r="C573" s="9" t="s">
        <v>86</v>
      </c>
      <c r="D573" s="10"/>
      <c r="E573" s="11" t="str">
        <f>"－"</f>
        <v>－</v>
      </c>
      <c r="F573" s="10"/>
      <c r="G573" s="11" t="str">
        <f>"－"</f>
        <v>－</v>
      </c>
      <c r="H573" s="10"/>
      <c r="I573" s="11" t="str">
        <f>"－"</f>
        <v>－</v>
      </c>
      <c r="J573" s="10"/>
      <c r="K573" s="11" t="n">
        <f>3715</f>
        <v>3715.0</v>
      </c>
    </row>
    <row r="574">
      <c r="A574" s="8" t="s">
        <v>48</v>
      </c>
      <c r="B574" s="9" t="s">
        <v>85</v>
      </c>
      <c r="C574" s="9" t="s">
        <v>86</v>
      </c>
      <c r="D574" s="10"/>
      <c r="E574" s="11" t="n">
        <f>48</f>
        <v>48.0</v>
      </c>
      <c r="F574" s="10"/>
      <c r="G574" s="11" t="n">
        <f>55014048</f>
        <v>5.5014048E7</v>
      </c>
      <c r="H574" s="10"/>
      <c r="I574" s="11" t="str">
        <f>"－"</f>
        <v>－</v>
      </c>
      <c r="J574" s="10" t="s">
        <v>37</v>
      </c>
      <c r="K574" s="11" t="n">
        <f>3763</f>
        <v>3763.0</v>
      </c>
    </row>
    <row r="575">
      <c r="A575" s="8" t="s">
        <v>49</v>
      </c>
      <c r="B575" s="9" t="s">
        <v>85</v>
      </c>
      <c r="C575" s="9" t="s">
        <v>86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16</v>
      </c>
      <c r="B576" s="9" t="s">
        <v>87</v>
      </c>
      <c r="C576" s="9" t="s">
        <v>88</v>
      </c>
      <c r="D576" s="10" t="s">
        <v>19</v>
      </c>
      <c r="E576" s="11" t="str">
        <f>"－"</f>
        <v>－</v>
      </c>
      <c r="F576" s="10" t="s">
        <v>19</v>
      </c>
      <c r="G576" s="11" t="str">
        <f>"－"</f>
        <v>－</v>
      </c>
      <c r="H576" s="10" t="s">
        <v>52</v>
      </c>
      <c r="I576" s="11" t="str">
        <f>"－"</f>
        <v>－</v>
      </c>
      <c r="J576" s="10" t="s">
        <v>37</v>
      </c>
      <c r="K576" s="11" t="n">
        <f>667</f>
        <v>667.0</v>
      </c>
    </row>
    <row r="577">
      <c r="A577" s="8" t="s">
        <v>20</v>
      </c>
      <c r="B577" s="9" t="s">
        <v>87</v>
      </c>
      <c r="C577" s="9" t="s">
        <v>88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21</v>
      </c>
      <c r="B578" s="9" t="s">
        <v>87</v>
      </c>
      <c r="C578" s="9" t="s">
        <v>88</v>
      </c>
      <c r="D578" s="10"/>
      <c r="E578" s="11"/>
      <c r="F578" s="10"/>
      <c r="G578" s="11"/>
      <c r="H578" s="10"/>
      <c r="I578" s="11"/>
      <c r="J578" s="10"/>
      <c r="K578" s="11"/>
    </row>
    <row r="579">
      <c r="A579" s="8" t="s">
        <v>22</v>
      </c>
      <c r="B579" s="9" t="s">
        <v>87</v>
      </c>
      <c r="C579" s="9" t="s">
        <v>88</v>
      </c>
      <c r="D579" s="10"/>
      <c r="E579" s="11"/>
      <c r="F579" s="10"/>
      <c r="G579" s="11"/>
      <c r="H579" s="10"/>
      <c r="I579" s="11"/>
      <c r="J579" s="10"/>
      <c r="K579" s="11"/>
    </row>
    <row r="580">
      <c r="A580" s="8" t="s">
        <v>23</v>
      </c>
      <c r="B580" s="9" t="s">
        <v>87</v>
      </c>
      <c r="C580" s="9" t="s">
        <v>88</v>
      </c>
      <c r="D580" s="10"/>
      <c r="E580" s="11" t="str">
        <f>"－"</f>
        <v>－</v>
      </c>
      <c r="F580" s="10"/>
      <c r="G580" s="11" t="str">
        <f>"－"</f>
        <v>－</v>
      </c>
      <c r="H580" s="10"/>
      <c r="I580" s="11" t="str">
        <f>"－"</f>
        <v>－</v>
      </c>
      <c r="J580" s="10"/>
      <c r="K580" s="11" t="n">
        <f>617</f>
        <v>617.0</v>
      </c>
    </row>
    <row r="581">
      <c r="A581" s="8" t="s">
        <v>24</v>
      </c>
      <c r="B581" s="9" t="s">
        <v>87</v>
      </c>
      <c r="C581" s="9" t="s">
        <v>88</v>
      </c>
      <c r="D581" s="10"/>
      <c r="E581" s="11" t="str">
        <f>"－"</f>
        <v>－</v>
      </c>
      <c r="F581" s="10"/>
      <c r="G581" s="11" t="str">
        <f>"－"</f>
        <v>－</v>
      </c>
      <c r="H581" s="10"/>
      <c r="I581" s="11" t="str">
        <f>"－"</f>
        <v>－</v>
      </c>
      <c r="J581" s="10"/>
      <c r="K581" s="11" t="n">
        <f>617</f>
        <v>617.0</v>
      </c>
    </row>
    <row r="582">
      <c r="A582" s="8" t="s">
        <v>25</v>
      </c>
      <c r="B582" s="9" t="s">
        <v>87</v>
      </c>
      <c r="C582" s="9" t="s">
        <v>88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617</f>
        <v>617.0</v>
      </c>
    </row>
    <row r="583">
      <c r="A583" s="8" t="s">
        <v>26</v>
      </c>
      <c r="B583" s="9" t="s">
        <v>87</v>
      </c>
      <c r="C583" s="9" t="s">
        <v>88</v>
      </c>
      <c r="D583" s="10"/>
      <c r="E583" s="11" t="str">
        <f>"－"</f>
        <v>－</v>
      </c>
      <c r="F583" s="10"/>
      <c r="G583" s="11" t="str">
        <f>"－"</f>
        <v>－</v>
      </c>
      <c r="H583" s="10"/>
      <c r="I583" s="11" t="str">
        <f>"－"</f>
        <v>－</v>
      </c>
      <c r="J583" s="10"/>
      <c r="K583" s="11" t="n">
        <f>617</f>
        <v>617.0</v>
      </c>
    </row>
    <row r="584">
      <c r="A584" s="8" t="s">
        <v>27</v>
      </c>
      <c r="B584" s="9" t="s">
        <v>87</v>
      </c>
      <c r="C584" s="9" t="s">
        <v>88</v>
      </c>
      <c r="D584" s="10"/>
      <c r="E584" s="11"/>
      <c r="F584" s="10"/>
      <c r="G584" s="11"/>
      <c r="H584" s="10"/>
      <c r="I584" s="11"/>
      <c r="J584" s="10"/>
      <c r="K584" s="11"/>
    </row>
    <row r="585">
      <c r="A585" s="8" t="s">
        <v>28</v>
      </c>
      <c r="B585" s="9" t="s">
        <v>87</v>
      </c>
      <c r="C585" s="9" t="s">
        <v>88</v>
      </c>
      <c r="D585" s="10"/>
      <c r="E585" s="11"/>
      <c r="F585" s="10"/>
      <c r="G585" s="11"/>
      <c r="H585" s="10"/>
      <c r="I585" s="11"/>
      <c r="J585" s="10"/>
      <c r="K585" s="11"/>
    </row>
    <row r="586">
      <c r="A586" s="8" t="s">
        <v>29</v>
      </c>
      <c r="B586" s="9" t="s">
        <v>87</v>
      </c>
      <c r="C586" s="9" t="s">
        <v>88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617</f>
        <v>617.0</v>
      </c>
    </row>
    <row r="587">
      <c r="A587" s="8" t="s">
        <v>30</v>
      </c>
      <c r="B587" s="9" t="s">
        <v>87</v>
      </c>
      <c r="C587" s="9" t="s">
        <v>88</v>
      </c>
      <c r="D587" s="10"/>
      <c r="E587" s="11" t="str">
        <f>"－"</f>
        <v>－</v>
      </c>
      <c r="F587" s="10"/>
      <c r="G587" s="11" t="str">
        <f>"－"</f>
        <v>－</v>
      </c>
      <c r="H587" s="10"/>
      <c r="I587" s="11" t="str">
        <f>"－"</f>
        <v>－</v>
      </c>
      <c r="J587" s="10"/>
      <c r="K587" s="11" t="n">
        <f>617</f>
        <v>617.0</v>
      </c>
    </row>
    <row r="588">
      <c r="A588" s="8" t="s">
        <v>31</v>
      </c>
      <c r="B588" s="9" t="s">
        <v>87</v>
      </c>
      <c r="C588" s="9" t="s">
        <v>88</v>
      </c>
      <c r="D588" s="10"/>
      <c r="E588" s="11" t="n">
        <f>2</f>
        <v>2.0</v>
      </c>
      <c r="F588" s="10"/>
      <c r="G588" s="11" t="n">
        <f>1964160</f>
        <v>1964160.0</v>
      </c>
      <c r="H588" s="10"/>
      <c r="I588" s="11" t="str">
        <f>"－"</f>
        <v>－</v>
      </c>
      <c r="J588" s="10"/>
      <c r="K588" s="11" t="n">
        <f>617</f>
        <v>617.0</v>
      </c>
    </row>
    <row r="589">
      <c r="A589" s="8" t="s">
        <v>32</v>
      </c>
      <c r="B589" s="9" t="s">
        <v>87</v>
      </c>
      <c r="C589" s="9" t="s">
        <v>88</v>
      </c>
      <c r="D589" s="10"/>
      <c r="E589" s="11" t="n">
        <f>14</f>
        <v>14.0</v>
      </c>
      <c r="F589" s="10"/>
      <c r="G589" s="11" t="n">
        <f>13359360</f>
        <v>1.335936E7</v>
      </c>
      <c r="H589" s="10"/>
      <c r="I589" s="11" t="str">
        <f>"－"</f>
        <v>－</v>
      </c>
      <c r="J589" s="10" t="s">
        <v>19</v>
      </c>
      <c r="K589" s="11" t="n">
        <f>610</f>
        <v>610.0</v>
      </c>
    </row>
    <row r="590">
      <c r="A590" s="8" t="s">
        <v>33</v>
      </c>
      <c r="B590" s="9" t="s">
        <v>87</v>
      </c>
      <c r="C590" s="9" t="s">
        <v>88</v>
      </c>
      <c r="D590" s="10"/>
      <c r="E590" s="11" t="str">
        <f>"－"</f>
        <v>－</v>
      </c>
      <c r="F590" s="10"/>
      <c r="G590" s="11" t="str">
        <f>"－"</f>
        <v>－</v>
      </c>
      <c r="H590" s="10"/>
      <c r="I590" s="11" t="str">
        <f>"－"</f>
        <v>－</v>
      </c>
      <c r="J590" s="10"/>
      <c r="K590" s="11" t="n">
        <f>610</f>
        <v>610.0</v>
      </c>
    </row>
    <row r="591">
      <c r="A591" s="8" t="s">
        <v>34</v>
      </c>
      <c r="B591" s="9" t="s">
        <v>87</v>
      </c>
      <c r="C591" s="9" t="s">
        <v>88</v>
      </c>
      <c r="D591" s="10"/>
      <c r="E591" s="11"/>
      <c r="F591" s="10"/>
      <c r="G591" s="11"/>
      <c r="H591" s="10"/>
      <c r="I591" s="11"/>
      <c r="J591" s="10"/>
      <c r="K591" s="11"/>
    </row>
    <row r="592">
      <c r="A592" s="8" t="s">
        <v>35</v>
      </c>
      <c r="B592" s="9" t="s">
        <v>87</v>
      </c>
      <c r="C592" s="9" t="s">
        <v>88</v>
      </c>
      <c r="D592" s="10"/>
      <c r="E592" s="11"/>
      <c r="F592" s="10"/>
      <c r="G592" s="11"/>
      <c r="H592" s="10"/>
      <c r="I592" s="11"/>
      <c r="J592" s="10"/>
      <c r="K592" s="11"/>
    </row>
    <row r="593">
      <c r="A593" s="8" t="s">
        <v>36</v>
      </c>
      <c r="B593" s="9" t="s">
        <v>87</v>
      </c>
      <c r="C593" s="9" t="s">
        <v>88</v>
      </c>
      <c r="D593" s="10" t="s">
        <v>37</v>
      </c>
      <c r="E593" s="11" t="n">
        <f>85</f>
        <v>85.0</v>
      </c>
      <c r="F593" s="10" t="s">
        <v>37</v>
      </c>
      <c r="G593" s="11" t="n">
        <f>85179000</f>
        <v>8.5179E7</v>
      </c>
      <c r="H593" s="10"/>
      <c r="I593" s="11" t="str">
        <f>"－"</f>
        <v>－</v>
      </c>
      <c r="J593" s="10"/>
      <c r="K593" s="11" t="n">
        <f>630</f>
        <v>630.0</v>
      </c>
    </row>
    <row r="594">
      <c r="A594" s="8" t="s">
        <v>38</v>
      </c>
      <c r="B594" s="9" t="s">
        <v>87</v>
      </c>
      <c r="C594" s="9" t="s">
        <v>88</v>
      </c>
      <c r="D594" s="10"/>
      <c r="E594" s="11" t="str">
        <f>"－"</f>
        <v>－</v>
      </c>
      <c r="F594" s="10"/>
      <c r="G594" s="11" t="str">
        <f>"－"</f>
        <v>－</v>
      </c>
      <c r="H594" s="10"/>
      <c r="I594" s="11" t="str">
        <f>"－"</f>
        <v>－</v>
      </c>
      <c r="J594" s="10"/>
      <c r="K594" s="11" t="n">
        <f>630</f>
        <v>630.0</v>
      </c>
    </row>
    <row r="595">
      <c r="A595" s="8" t="s">
        <v>39</v>
      </c>
      <c r="B595" s="9" t="s">
        <v>87</v>
      </c>
      <c r="C595" s="9" t="s">
        <v>88</v>
      </c>
      <c r="D595" s="10"/>
      <c r="E595" s="11" t="str">
        <f>"－"</f>
        <v>－</v>
      </c>
      <c r="F595" s="10"/>
      <c r="G595" s="11" t="str">
        <f>"－"</f>
        <v>－</v>
      </c>
      <c r="H595" s="10"/>
      <c r="I595" s="11" t="str">
        <f>"－"</f>
        <v>－</v>
      </c>
      <c r="J595" s="10"/>
      <c r="K595" s="11" t="n">
        <f>630</f>
        <v>630.0</v>
      </c>
    </row>
    <row r="596">
      <c r="A596" s="8" t="s">
        <v>40</v>
      </c>
      <c r="B596" s="9" t="s">
        <v>87</v>
      </c>
      <c r="C596" s="9" t="s">
        <v>88</v>
      </c>
      <c r="D596" s="10"/>
      <c r="E596" s="11" t="str">
        <f>"－"</f>
        <v>－</v>
      </c>
      <c r="F596" s="10"/>
      <c r="G596" s="11" t="str">
        <f>"－"</f>
        <v>－</v>
      </c>
      <c r="H596" s="10"/>
      <c r="I596" s="11" t="str">
        <f>"－"</f>
        <v>－</v>
      </c>
      <c r="J596" s="10"/>
      <c r="K596" s="11" t="n">
        <f>630</f>
        <v>630.0</v>
      </c>
    </row>
    <row r="597">
      <c r="A597" s="8" t="s">
        <v>41</v>
      </c>
      <c r="B597" s="9" t="s">
        <v>87</v>
      </c>
      <c r="C597" s="9" t="s">
        <v>88</v>
      </c>
      <c r="D597" s="10"/>
      <c r="E597" s="11" t="str">
        <f>"－"</f>
        <v>－</v>
      </c>
      <c r="F597" s="10"/>
      <c r="G597" s="11" t="str">
        <f>"－"</f>
        <v>－</v>
      </c>
      <c r="H597" s="10"/>
      <c r="I597" s="11" t="str">
        <f>"－"</f>
        <v>－</v>
      </c>
      <c r="J597" s="10"/>
      <c r="K597" s="11" t="n">
        <f>630</f>
        <v>630.0</v>
      </c>
    </row>
    <row r="598">
      <c r="A598" s="8" t="s">
        <v>42</v>
      </c>
      <c r="B598" s="9" t="s">
        <v>87</v>
      </c>
      <c r="C598" s="9" t="s">
        <v>88</v>
      </c>
      <c r="D598" s="10"/>
      <c r="E598" s="11"/>
      <c r="F598" s="10"/>
      <c r="G598" s="11"/>
      <c r="H598" s="10"/>
      <c r="I598" s="11"/>
      <c r="J598" s="10"/>
      <c r="K598" s="11"/>
    </row>
    <row r="599">
      <c r="A599" s="8" t="s">
        <v>43</v>
      </c>
      <c r="B599" s="9" t="s">
        <v>87</v>
      </c>
      <c r="C599" s="9" t="s">
        <v>88</v>
      </c>
      <c r="D599" s="10"/>
      <c r="E599" s="11"/>
      <c r="F599" s="10"/>
      <c r="G599" s="11"/>
      <c r="H599" s="10"/>
      <c r="I599" s="11"/>
      <c r="J599" s="10"/>
      <c r="K599" s="11"/>
    </row>
    <row r="600">
      <c r="A600" s="8" t="s">
        <v>44</v>
      </c>
      <c r="B600" s="9" t="s">
        <v>87</v>
      </c>
      <c r="C600" s="9" t="s">
        <v>88</v>
      </c>
      <c r="D600" s="10"/>
      <c r="E600" s="11" t="n">
        <f>7</f>
        <v>7.0</v>
      </c>
      <c r="F600" s="10"/>
      <c r="G600" s="11" t="n">
        <f>6702696</f>
        <v>6702696.0</v>
      </c>
      <c r="H600" s="10"/>
      <c r="I600" s="11" t="str">
        <f>"－"</f>
        <v>－</v>
      </c>
      <c r="J600" s="10"/>
      <c r="K600" s="11" t="n">
        <f>632</f>
        <v>632.0</v>
      </c>
    </row>
    <row r="601">
      <c r="A601" s="8" t="s">
        <v>45</v>
      </c>
      <c r="B601" s="9" t="s">
        <v>87</v>
      </c>
      <c r="C601" s="9" t="s">
        <v>88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630</f>
        <v>630.0</v>
      </c>
    </row>
    <row r="602">
      <c r="A602" s="8" t="s">
        <v>46</v>
      </c>
      <c r="B602" s="9" t="s">
        <v>87</v>
      </c>
      <c r="C602" s="9" t="s">
        <v>88</v>
      </c>
      <c r="D602" s="10"/>
      <c r="E602" s="11" t="n">
        <f>20</f>
        <v>20.0</v>
      </c>
      <c r="F602" s="10"/>
      <c r="G602" s="11" t="n">
        <f>19219200</f>
        <v>1.92192E7</v>
      </c>
      <c r="H602" s="10"/>
      <c r="I602" s="11" t="str">
        <f>"－"</f>
        <v>－</v>
      </c>
      <c r="J602" s="10"/>
      <c r="K602" s="11" t="n">
        <f>630</f>
        <v>630.0</v>
      </c>
    </row>
    <row r="603">
      <c r="A603" s="8" t="s">
        <v>47</v>
      </c>
      <c r="B603" s="9" t="s">
        <v>87</v>
      </c>
      <c r="C603" s="9" t="s">
        <v>88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630</f>
        <v>630.0</v>
      </c>
    </row>
    <row r="604">
      <c r="A604" s="8" t="s">
        <v>48</v>
      </c>
      <c r="B604" s="9" t="s">
        <v>87</v>
      </c>
      <c r="C604" s="9" t="s">
        <v>88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630</f>
        <v>630.0</v>
      </c>
    </row>
    <row r="605">
      <c r="A605" s="8" t="s">
        <v>49</v>
      </c>
      <c r="B605" s="9" t="s">
        <v>87</v>
      </c>
      <c r="C605" s="9" t="s">
        <v>88</v>
      </c>
      <c r="D605" s="10"/>
      <c r="E605" s="11"/>
      <c r="F605" s="10"/>
      <c r="G605" s="11"/>
      <c r="H605" s="10"/>
      <c r="I605" s="11"/>
      <c r="J605" s="10"/>
      <c r="K605" s="11"/>
    </row>
    <row r="606">
      <c r="A606" s="8" t="s">
        <v>16</v>
      </c>
      <c r="B606" s="9" t="s">
        <v>89</v>
      </c>
      <c r="C606" s="9" t="s">
        <v>90</v>
      </c>
      <c r="D606" s="10" t="s">
        <v>52</v>
      </c>
      <c r="E606" s="11" t="str">
        <f>"－"</f>
        <v>－</v>
      </c>
      <c r="F606" s="10" t="s">
        <v>52</v>
      </c>
      <c r="G606" s="11" t="str">
        <f>"－"</f>
        <v>－</v>
      </c>
      <c r="H606" s="10" t="s">
        <v>52</v>
      </c>
      <c r="I606" s="11" t="str">
        <f>"－"</f>
        <v>－</v>
      </c>
      <c r="J606" s="10" t="s">
        <v>37</v>
      </c>
      <c r="K606" s="11" t="n">
        <f>1340</f>
        <v>1340.0</v>
      </c>
    </row>
    <row r="607">
      <c r="A607" s="8" t="s">
        <v>20</v>
      </c>
      <c r="B607" s="9" t="s">
        <v>89</v>
      </c>
      <c r="C607" s="9" t="s">
        <v>90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21</v>
      </c>
      <c r="B608" s="9" t="s">
        <v>89</v>
      </c>
      <c r="C608" s="9" t="s">
        <v>90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22</v>
      </c>
      <c r="B609" s="9" t="s">
        <v>89</v>
      </c>
      <c r="C609" s="9" t="s">
        <v>90</v>
      </c>
      <c r="D609" s="10"/>
      <c r="E609" s="11"/>
      <c r="F609" s="10"/>
      <c r="G609" s="11"/>
      <c r="H609" s="10"/>
      <c r="I609" s="11"/>
      <c r="J609" s="10"/>
      <c r="K609" s="11"/>
    </row>
    <row r="610">
      <c r="A610" s="8" t="s">
        <v>23</v>
      </c>
      <c r="B610" s="9" t="s">
        <v>89</v>
      </c>
      <c r="C610" s="9" t="s">
        <v>90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 t="s">
        <v>19</v>
      </c>
      <c r="K610" s="11" t="n">
        <f>1311</f>
        <v>1311.0</v>
      </c>
    </row>
    <row r="611">
      <c r="A611" s="8" t="s">
        <v>24</v>
      </c>
      <c r="B611" s="9" t="s">
        <v>89</v>
      </c>
      <c r="C611" s="9" t="s">
        <v>90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1311</f>
        <v>1311.0</v>
      </c>
    </row>
    <row r="612">
      <c r="A612" s="8" t="s">
        <v>25</v>
      </c>
      <c r="B612" s="9" t="s">
        <v>89</v>
      </c>
      <c r="C612" s="9" t="s">
        <v>90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1311</f>
        <v>1311.0</v>
      </c>
    </row>
    <row r="613">
      <c r="A613" s="8" t="s">
        <v>26</v>
      </c>
      <c r="B613" s="9" t="s">
        <v>89</v>
      </c>
      <c r="C613" s="9" t="s">
        <v>90</v>
      </c>
      <c r="D613" s="10"/>
      <c r="E613" s="11" t="str">
        <f>"－"</f>
        <v>－</v>
      </c>
      <c r="F613" s="10"/>
      <c r="G613" s="11" t="str">
        <f>"－"</f>
        <v>－</v>
      </c>
      <c r="H613" s="10"/>
      <c r="I613" s="11" t="str">
        <f>"－"</f>
        <v>－</v>
      </c>
      <c r="J613" s="10"/>
      <c r="K613" s="11" t="n">
        <f>1311</f>
        <v>1311.0</v>
      </c>
    </row>
    <row r="614">
      <c r="A614" s="8" t="s">
        <v>27</v>
      </c>
      <c r="B614" s="9" t="s">
        <v>89</v>
      </c>
      <c r="C614" s="9" t="s">
        <v>90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28</v>
      </c>
      <c r="B615" s="9" t="s">
        <v>89</v>
      </c>
      <c r="C615" s="9" t="s">
        <v>90</v>
      </c>
      <c r="D615" s="10"/>
      <c r="E615" s="11"/>
      <c r="F615" s="10"/>
      <c r="G615" s="11"/>
      <c r="H615" s="10"/>
      <c r="I615" s="11"/>
      <c r="J615" s="10"/>
      <c r="K615" s="11"/>
    </row>
    <row r="616">
      <c r="A616" s="8" t="s">
        <v>29</v>
      </c>
      <c r="B616" s="9" t="s">
        <v>89</v>
      </c>
      <c r="C616" s="9" t="s">
        <v>90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1311</f>
        <v>1311.0</v>
      </c>
    </row>
    <row r="617">
      <c r="A617" s="8" t="s">
        <v>30</v>
      </c>
      <c r="B617" s="9" t="s">
        <v>89</v>
      </c>
      <c r="C617" s="9" t="s">
        <v>90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1311</f>
        <v>1311.0</v>
      </c>
    </row>
    <row r="618">
      <c r="A618" s="8" t="s">
        <v>31</v>
      </c>
      <c r="B618" s="9" t="s">
        <v>89</v>
      </c>
      <c r="C618" s="9" t="s">
        <v>90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1311</f>
        <v>1311.0</v>
      </c>
    </row>
    <row r="619">
      <c r="A619" s="8" t="s">
        <v>32</v>
      </c>
      <c r="B619" s="9" t="s">
        <v>89</v>
      </c>
      <c r="C619" s="9" t="s">
        <v>90</v>
      </c>
      <c r="D619" s="10"/>
      <c r="E619" s="11" t="str">
        <f>"－"</f>
        <v>－</v>
      </c>
      <c r="F619" s="10"/>
      <c r="G619" s="11" t="str">
        <f>"－"</f>
        <v>－</v>
      </c>
      <c r="H619" s="10"/>
      <c r="I619" s="11" t="str">
        <f>"－"</f>
        <v>－</v>
      </c>
      <c r="J619" s="10"/>
      <c r="K619" s="11" t="n">
        <f>1311</f>
        <v>1311.0</v>
      </c>
    </row>
    <row r="620">
      <c r="A620" s="8" t="s">
        <v>33</v>
      </c>
      <c r="B620" s="9" t="s">
        <v>89</v>
      </c>
      <c r="C620" s="9" t="s">
        <v>90</v>
      </c>
      <c r="D620" s="10"/>
      <c r="E620" s="11" t="str">
        <f>"－"</f>
        <v>－</v>
      </c>
      <c r="F620" s="10"/>
      <c r="G620" s="11" t="str">
        <f>"－"</f>
        <v>－</v>
      </c>
      <c r="H620" s="10"/>
      <c r="I620" s="11" t="str">
        <f>"－"</f>
        <v>－</v>
      </c>
      <c r="J620" s="10"/>
      <c r="K620" s="11" t="n">
        <f>1311</f>
        <v>1311.0</v>
      </c>
    </row>
    <row r="621">
      <c r="A621" s="8" t="s">
        <v>34</v>
      </c>
      <c r="B621" s="9" t="s">
        <v>89</v>
      </c>
      <c r="C621" s="9" t="s">
        <v>90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35</v>
      </c>
      <c r="B622" s="9" t="s">
        <v>89</v>
      </c>
      <c r="C622" s="9" t="s">
        <v>90</v>
      </c>
      <c r="D622" s="10"/>
      <c r="E622" s="11"/>
      <c r="F622" s="10"/>
      <c r="G622" s="11"/>
      <c r="H622" s="10"/>
      <c r="I622" s="11"/>
      <c r="J622" s="10"/>
      <c r="K622" s="11"/>
    </row>
    <row r="623">
      <c r="A623" s="8" t="s">
        <v>36</v>
      </c>
      <c r="B623" s="9" t="s">
        <v>89</v>
      </c>
      <c r="C623" s="9" t="s">
        <v>90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1311</f>
        <v>1311.0</v>
      </c>
    </row>
    <row r="624">
      <c r="A624" s="8" t="s">
        <v>38</v>
      </c>
      <c r="B624" s="9" t="s">
        <v>89</v>
      </c>
      <c r="C624" s="9" t="s">
        <v>90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1311</f>
        <v>1311.0</v>
      </c>
    </row>
    <row r="625">
      <c r="A625" s="8" t="s">
        <v>39</v>
      </c>
      <c r="B625" s="9" t="s">
        <v>89</v>
      </c>
      <c r="C625" s="9" t="s">
        <v>90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1311</f>
        <v>1311.0</v>
      </c>
    </row>
    <row r="626">
      <c r="A626" s="8" t="s">
        <v>40</v>
      </c>
      <c r="B626" s="9" t="s">
        <v>89</v>
      </c>
      <c r="C626" s="9" t="s">
        <v>90</v>
      </c>
      <c r="D626" s="10"/>
      <c r="E626" s="11" t="str">
        <f>"－"</f>
        <v>－</v>
      </c>
      <c r="F626" s="10"/>
      <c r="G626" s="11" t="str">
        <f>"－"</f>
        <v>－</v>
      </c>
      <c r="H626" s="10"/>
      <c r="I626" s="11" t="str">
        <f>"－"</f>
        <v>－</v>
      </c>
      <c r="J626" s="10"/>
      <c r="K626" s="11" t="n">
        <f>1311</f>
        <v>1311.0</v>
      </c>
    </row>
    <row r="627">
      <c r="A627" s="8" t="s">
        <v>41</v>
      </c>
      <c r="B627" s="9" t="s">
        <v>89</v>
      </c>
      <c r="C627" s="9" t="s">
        <v>90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/>
      <c r="K627" s="11" t="n">
        <f>1311</f>
        <v>1311.0</v>
      </c>
    </row>
    <row r="628">
      <c r="A628" s="8" t="s">
        <v>42</v>
      </c>
      <c r="B628" s="9" t="s">
        <v>89</v>
      </c>
      <c r="C628" s="9" t="s">
        <v>90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43</v>
      </c>
      <c r="B629" s="9" t="s">
        <v>89</v>
      </c>
      <c r="C629" s="9" t="s">
        <v>90</v>
      </c>
      <c r="D629" s="10"/>
      <c r="E629" s="11"/>
      <c r="F629" s="10"/>
      <c r="G629" s="11"/>
      <c r="H629" s="10"/>
      <c r="I629" s="11"/>
      <c r="J629" s="10"/>
      <c r="K629" s="11"/>
    </row>
    <row r="630">
      <c r="A630" s="8" t="s">
        <v>44</v>
      </c>
      <c r="B630" s="9" t="s">
        <v>89</v>
      </c>
      <c r="C630" s="9" t="s">
        <v>90</v>
      </c>
      <c r="D630" s="10"/>
      <c r="E630" s="11" t="str">
        <f>"－"</f>
        <v>－</v>
      </c>
      <c r="F630" s="10"/>
      <c r="G630" s="11" t="str">
        <f>"－"</f>
        <v>－</v>
      </c>
      <c r="H630" s="10"/>
      <c r="I630" s="11" t="str">
        <f>"－"</f>
        <v>－</v>
      </c>
      <c r="J630" s="10"/>
      <c r="K630" s="11" t="n">
        <f>1311</f>
        <v>1311.0</v>
      </c>
    </row>
    <row r="631">
      <c r="A631" s="8" t="s">
        <v>45</v>
      </c>
      <c r="B631" s="9" t="s">
        <v>89</v>
      </c>
      <c r="C631" s="9" t="s">
        <v>90</v>
      </c>
      <c r="D631" s="10"/>
      <c r="E631" s="11" t="str">
        <f>"－"</f>
        <v>－</v>
      </c>
      <c r="F631" s="10"/>
      <c r="G631" s="11" t="str">
        <f>"－"</f>
        <v>－</v>
      </c>
      <c r="H631" s="10"/>
      <c r="I631" s="11" t="str">
        <f>"－"</f>
        <v>－</v>
      </c>
      <c r="J631" s="10"/>
      <c r="K631" s="11" t="n">
        <f>1311</f>
        <v>1311.0</v>
      </c>
    </row>
    <row r="632">
      <c r="A632" s="8" t="s">
        <v>46</v>
      </c>
      <c r="B632" s="9" t="s">
        <v>89</v>
      </c>
      <c r="C632" s="9" t="s">
        <v>90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1311</f>
        <v>1311.0</v>
      </c>
    </row>
    <row r="633">
      <c r="A633" s="8" t="s">
        <v>47</v>
      </c>
      <c r="B633" s="9" t="s">
        <v>89</v>
      </c>
      <c r="C633" s="9" t="s">
        <v>90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1311</f>
        <v>1311.0</v>
      </c>
    </row>
    <row r="634">
      <c r="A634" s="8" t="s">
        <v>48</v>
      </c>
      <c r="B634" s="9" t="s">
        <v>89</v>
      </c>
      <c r="C634" s="9" t="s">
        <v>90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1311</f>
        <v>1311.0</v>
      </c>
    </row>
    <row r="635">
      <c r="A635" s="8" t="s">
        <v>49</v>
      </c>
      <c r="B635" s="9" t="s">
        <v>89</v>
      </c>
      <c r="C635" s="9" t="s">
        <v>90</v>
      </c>
      <c r="D635" s="10"/>
      <c r="E635" s="11"/>
      <c r="F635" s="10"/>
      <c r="G635" s="11"/>
      <c r="H635" s="10"/>
      <c r="I635" s="11"/>
      <c r="J635" s="10"/>
      <c r="K635" s="11"/>
    </row>
    <row r="636">
      <c r="A636" s="8" t="s">
        <v>16</v>
      </c>
      <c r="B636" s="9" t="s">
        <v>91</v>
      </c>
      <c r="C636" s="9" t="s">
        <v>92</v>
      </c>
      <c r="D636" s="10" t="s">
        <v>37</v>
      </c>
      <c r="E636" s="11" t="n">
        <f>40</f>
        <v>40.0</v>
      </c>
      <c r="F636" s="10" t="s">
        <v>37</v>
      </c>
      <c r="G636" s="11" t="n">
        <f>14571600</f>
        <v>1.45716E7</v>
      </c>
      <c r="H636" s="10" t="s">
        <v>52</v>
      </c>
      <c r="I636" s="11" t="str">
        <f>"－"</f>
        <v>－</v>
      </c>
      <c r="J636" s="10" t="s">
        <v>37</v>
      </c>
      <c r="K636" s="11" t="n">
        <f>88</f>
        <v>88.0</v>
      </c>
    </row>
    <row r="637">
      <c r="A637" s="8" t="s">
        <v>20</v>
      </c>
      <c r="B637" s="9" t="s">
        <v>91</v>
      </c>
      <c r="C637" s="9" t="s">
        <v>92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21</v>
      </c>
      <c r="B638" s="9" t="s">
        <v>91</v>
      </c>
      <c r="C638" s="9" t="s">
        <v>92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22</v>
      </c>
      <c r="B639" s="9" t="s">
        <v>91</v>
      </c>
      <c r="C639" s="9" t="s">
        <v>92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23</v>
      </c>
      <c r="B640" s="9" t="s">
        <v>91</v>
      </c>
      <c r="C640" s="9" t="s">
        <v>92</v>
      </c>
      <c r="D640" s="10" t="s">
        <v>19</v>
      </c>
      <c r="E640" s="11" t="str">
        <f>"－"</f>
        <v>－</v>
      </c>
      <c r="F640" s="10" t="s">
        <v>19</v>
      </c>
      <c r="G640" s="11" t="str">
        <f>"－"</f>
        <v>－</v>
      </c>
      <c r="H640" s="10"/>
      <c r="I640" s="11" t="str">
        <f>"－"</f>
        <v>－</v>
      </c>
      <c r="J640" s="10" t="s">
        <v>19</v>
      </c>
      <c r="K640" s="11" t="n">
        <f>78</f>
        <v>78.0</v>
      </c>
    </row>
    <row r="641">
      <c r="A641" s="8" t="s">
        <v>24</v>
      </c>
      <c r="B641" s="9" t="s">
        <v>91</v>
      </c>
      <c r="C641" s="9" t="s">
        <v>92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78</f>
        <v>78.0</v>
      </c>
    </row>
    <row r="642">
      <c r="A642" s="8" t="s">
        <v>25</v>
      </c>
      <c r="B642" s="9" t="s">
        <v>91</v>
      </c>
      <c r="C642" s="9" t="s">
        <v>92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78</f>
        <v>78.0</v>
      </c>
    </row>
    <row r="643">
      <c r="A643" s="8" t="s">
        <v>26</v>
      </c>
      <c r="B643" s="9" t="s">
        <v>91</v>
      </c>
      <c r="C643" s="9" t="s">
        <v>92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78</f>
        <v>78.0</v>
      </c>
    </row>
    <row r="644">
      <c r="A644" s="8" t="s">
        <v>27</v>
      </c>
      <c r="B644" s="9" t="s">
        <v>91</v>
      </c>
      <c r="C644" s="9" t="s">
        <v>92</v>
      </c>
      <c r="D644" s="10"/>
      <c r="E644" s="11"/>
      <c r="F644" s="10"/>
      <c r="G644" s="11"/>
      <c r="H644" s="10"/>
      <c r="I644" s="11"/>
      <c r="J644" s="10"/>
      <c r="K644" s="11"/>
    </row>
    <row r="645">
      <c r="A645" s="8" t="s">
        <v>28</v>
      </c>
      <c r="B645" s="9" t="s">
        <v>91</v>
      </c>
      <c r="C645" s="9" t="s">
        <v>92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29</v>
      </c>
      <c r="B646" s="9" t="s">
        <v>91</v>
      </c>
      <c r="C646" s="9" t="s">
        <v>92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78</f>
        <v>78.0</v>
      </c>
    </row>
    <row r="647">
      <c r="A647" s="8" t="s">
        <v>30</v>
      </c>
      <c r="B647" s="9" t="s">
        <v>91</v>
      </c>
      <c r="C647" s="9" t="s">
        <v>92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78</f>
        <v>78.0</v>
      </c>
    </row>
    <row r="648">
      <c r="A648" s="8" t="s">
        <v>31</v>
      </c>
      <c r="B648" s="9" t="s">
        <v>91</v>
      </c>
      <c r="C648" s="9" t="s">
        <v>92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78</f>
        <v>78.0</v>
      </c>
    </row>
    <row r="649">
      <c r="A649" s="8" t="s">
        <v>32</v>
      </c>
      <c r="B649" s="9" t="s">
        <v>91</v>
      </c>
      <c r="C649" s="9" t="s">
        <v>92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78</f>
        <v>78.0</v>
      </c>
    </row>
    <row r="650">
      <c r="A650" s="8" t="s">
        <v>33</v>
      </c>
      <c r="B650" s="9" t="s">
        <v>91</v>
      </c>
      <c r="C650" s="9" t="s">
        <v>92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78</f>
        <v>78.0</v>
      </c>
    </row>
    <row r="651">
      <c r="A651" s="8" t="s">
        <v>34</v>
      </c>
      <c r="B651" s="9" t="s">
        <v>91</v>
      </c>
      <c r="C651" s="9" t="s">
        <v>92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35</v>
      </c>
      <c r="B652" s="9" t="s">
        <v>91</v>
      </c>
      <c r="C652" s="9" t="s">
        <v>92</v>
      </c>
      <c r="D652" s="10"/>
      <c r="E652" s="11"/>
      <c r="F652" s="10"/>
      <c r="G652" s="11"/>
      <c r="H652" s="10"/>
      <c r="I652" s="11"/>
      <c r="J652" s="10"/>
      <c r="K652" s="11"/>
    </row>
    <row r="653">
      <c r="A653" s="8" t="s">
        <v>36</v>
      </c>
      <c r="B653" s="9" t="s">
        <v>91</v>
      </c>
      <c r="C653" s="9" t="s">
        <v>92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78</f>
        <v>78.0</v>
      </c>
    </row>
    <row r="654">
      <c r="A654" s="8" t="s">
        <v>38</v>
      </c>
      <c r="B654" s="9" t="s">
        <v>91</v>
      </c>
      <c r="C654" s="9" t="s">
        <v>92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78</f>
        <v>78.0</v>
      </c>
    </row>
    <row r="655">
      <c r="A655" s="8" t="s">
        <v>39</v>
      </c>
      <c r="B655" s="9" t="s">
        <v>91</v>
      </c>
      <c r="C655" s="9" t="s">
        <v>92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78</f>
        <v>78.0</v>
      </c>
    </row>
    <row r="656">
      <c r="A656" s="8" t="s">
        <v>40</v>
      </c>
      <c r="B656" s="9" t="s">
        <v>91</v>
      </c>
      <c r="C656" s="9" t="s">
        <v>92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78</f>
        <v>78.0</v>
      </c>
    </row>
    <row r="657">
      <c r="A657" s="8" t="s">
        <v>41</v>
      </c>
      <c r="B657" s="9" t="s">
        <v>91</v>
      </c>
      <c r="C657" s="9" t="s">
        <v>92</v>
      </c>
      <c r="D657" s="10"/>
      <c r="E657" s="11" t="str">
        <f>"－"</f>
        <v>－</v>
      </c>
      <c r="F657" s="10"/>
      <c r="G657" s="11" t="str">
        <f>"－"</f>
        <v>－</v>
      </c>
      <c r="H657" s="10"/>
      <c r="I657" s="11" t="str">
        <f>"－"</f>
        <v>－</v>
      </c>
      <c r="J657" s="10"/>
      <c r="K657" s="11" t="n">
        <f>78</f>
        <v>78.0</v>
      </c>
    </row>
    <row r="658">
      <c r="A658" s="8" t="s">
        <v>42</v>
      </c>
      <c r="B658" s="9" t="s">
        <v>91</v>
      </c>
      <c r="C658" s="9" t="s">
        <v>92</v>
      </c>
      <c r="D658" s="10"/>
      <c r="E658" s="11"/>
      <c r="F658" s="10"/>
      <c r="G658" s="11"/>
      <c r="H658" s="10"/>
      <c r="I658" s="11"/>
      <c r="J658" s="10"/>
      <c r="K658" s="11"/>
    </row>
    <row r="659">
      <c r="A659" s="8" t="s">
        <v>43</v>
      </c>
      <c r="B659" s="9" t="s">
        <v>91</v>
      </c>
      <c r="C659" s="9" t="s">
        <v>92</v>
      </c>
      <c r="D659" s="10"/>
      <c r="E659" s="11"/>
      <c r="F659" s="10"/>
      <c r="G659" s="11"/>
      <c r="H659" s="10"/>
      <c r="I659" s="11"/>
      <c r="J659" s="10"/>
      <c r="K659" s="11"/>
    </row>
    <row r="660">
      <c r="A660" s="8" t="s">
        <v>44</v>
      </c>
      <c r="B660" s="9" t="s">
        <v>91</v>
      </c>
      <c r="C660" s="9" t="s">
        <v>92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78</f>
        <v>78.0</v>
      </c>
    </row>
    <row r="661">
      <c r="A661" s="8" t="s">
        <v>45</v>
      </c>
      <c r="B661" s="9" t="s">
        <v>91</v>
      </c>
      <c r="C661" s="9" t="s">
        <v>92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78</f>
        <v>78.0</v>
      </c>
    </row>
    <row r="662">
      <c r="A662" s="8" t="s">
        <v>46</v>
      </c>
      <c r="B662" s="9" t="s">
        <v>91</v>
      </c>
      <c r="C662" s="9" t="s">
        <v>92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78</f>
        <v>78.0</v>
      </c>
    </row>
    <row r="663">
      <c r="A663" s="8" t="s">
        <v>47</v>
      </c>
      <c r="B663" s="9" t="s">
        <v>91</v>
      </c>
      <c r="C663" s="9" t="s">
        <v>92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78</f>
        <v>78.0</v>
      </c>
    </row>
    <row r="664">
      <c r="A664" s="8" t="s">
        <v>48</v>
      </c>
      <c r="B664" s="9" t="s">
        <v>91</v>
      </c>
      <c r="C664" s="9" t="s">
        <v>92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n">
        <f>78</f>
        <v>78.0</v>
      </c>
    </row>
    <row r="665">
      <c r="A665" s="8" t="s">
        <v>49</v>
      </c>
      <c r="B665" s="9" t="s">
        <v>91</v>
      </c>
      <c r="C665" s="9" t="s">
        <v>92</v>
      </c>
      <c r="D665" s="10"/>
      <c r="E665" s="11"/>
      <c r="F665" s="10"/>
      <c r="G665" s="11"/>
      <c r="H665" s="10"/>
      <c r="I665" s="11"/>
      <c r="J665" s="10"/>
      <c r="K665" s="11"/>
    </row>
    <row r="666">
      <c r="A666" s="8" t="s">
        <v>16</v>
      </c>
      <c r="B666" s="9" t="s">
        <v>93</v>
      </c>
      <c r="C666" s="9" t="s">
        <v>94</v>
      </c>
      <c r="D666" s="10" t="s">
        <v>19</v>
      </c>
      <c r="E666" s="11" t="str">
        <f>"－"</f>
        <v>－</v>
      </c>
      <c r="F666" s="10" t="s">
        <v>19</v>
      </c>
      <c r="G666" s="11" t="str">
        <f>"－"</f>
        <v>－</v>
      </c>
      <c r="H666" s="10" t="s">
        <v>52</v>
      </c>
      <c r="I666" s="11" t="str">
        <f>"－"</f>
        <v>－</v>
      </c>
      <c r="J666" s="10" t="s">
        <v>19</v>
      </c>
      <c r="K666" s="11" t="str">
        <f>"－"</f>
        <v>－</v>
      </c>
    </row>
    <row r="667">
      <c r="A667" s="8" t="s">
        <v>20</v>
      </c>
      <c r="B667" s="9" t="s">
        <v>93</v>
      </c>
      <c r="C667" s="9" t="s">
        <v>94</v>
      </c>
      <c r="D667" s="10"/>
      <c r="E667" s="11"/>
      <c r="F667" s="10"/>
      <c r="G667" s="11"/>
      <c r="H667" s="10"/>
      <c r="I667" s="11"/>
      <c r="J667" s="10"/>
      <c r="K667" s="11"/>
    </row>
    <row r="668">
      <c r="A668" s="8" t="s">
        <v>21</v>
      </c>
      <c r="B668" s="9" t="s">
        <v>93</v>
      </c>
      <c r="C668" s="9" t="s">
        <v>94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22</v>
      </c>
      <c r="B669" s="9" t="s">
        <v>93</v>
      </c>
      <c r="C669" s="9" t="s">
        <v>94</v>
      </c>
      <c r="D669" s="10"/>
      <c r="E669" s="11"/>
      <c r="F669" s="10"/>
      <c r="G669" s="11"/>
      <c r="H669" s="10"/>
      <c r="I669" s="11"/>
      <c r="J669" s="10"/>
      <c r="K669" s="11"/>
    </row>
    <row r="670">
      <c r="A670" s="8" t="s">
        <v>23</v>
      </c>
      <c r="B670" s="9" t="s">
        <v>93</v>
      </c>
      <c r="C670" s="9" t="s">
        <v>94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str">
        <f>"－"</f>
        <v>－</v>
      </c>
    </row>
    <row r="671">
      <c r="A671" s="8" t="s">
        <v>24</v>
      </c>
      <c r="B671" s="9" t="s">
        <v>93</v>
      </c>
      <c r="C671" s="9" t="s">
        <v>94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str">
        <f>"－"</f>
        <v>－</v>
      </c>
    </row>
    <row r="672">
      <c r="A672" s="8" t="s">
        <v>25</v>
      </c>
      <c r="B672" s="9" t="s">
        <v>93</v>
      </c>
      <c r="C672" s="9" t="s">
        <v>94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str">
        <f>"－"</f>
        <v>－</v>
      </c>
    </row>
    <row r="673">
      <c r="A673" s="8" t="s">
        <v>26</v>
      </c>
      <c r="B673" s="9" t="s">
        <v>93</v>
      </c>
      <c r="C673" s="9" t="s">
        <v>94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str">
        <f>"－"</f>
        <v>－</v>
      </c>
    </row>
    <row r="674">
      <c r="A674" s="8" t="s">
        <v>27</v>
      </c>
      <c r="B674" s="9" t="s">
        <v>93</v>
      </c>
      <c r="C674" s="9" t="s">
        <v>94</v>
      </c>
      <c r="D674" s="10"/>
      <c r="E674" s="11"/>
      <c r="F674" s="10"/>
      <c r="G674" s="11"/>
      <c r="H674" s="10"/>
      <c r="I674" s="11"/>
      <c r="J674" s="10"/>
      <c r="K674" s="11"/>
    </row>
    <row r="675">
      <c r="A675" s="8" t="s">
        <v>28</v>
      </c>
      <c r="B675" s="9" t="s">
        <v>93</v>
      </c>
      <c r="C675" s="9" t="s">
        <v>94</v>
      </c>
      <c r="D675" s="10"/>
      <c r="E675" s="11"/>
      <c r="F675" s="10"/>
      <c r="G675" s="11"/>
      <c r="H675" s="10"/>
      <c r="I675" s="11"/>
      <c r="J675" s="10"/>
      <c r="K675" s="11"/>
    </row>
    <row r="676">
      <c r="A676" s="8" t="s">
        <v>29</v>
      </c>
      <c r="B676" s="9" t="s">
        <v>93</v>
      </c>
      <c r="C676" s="9" t="s">
        <v>94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str">
        <f>"－"</f>
        <v>－</v>
      </c>
    </row>
    <row r="677">
      <c r="A677" s="8" t="s">
        <v>30</v>
      </c>
      <c r="B677" s="9" t="s">
        <v>93</v>
      </c>
      <c r="C677" s="9" t="s">
        <v>94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str">
        <f>"－"</f>
        <v>－</v>
      </c>
    </row>
    <row r="678">
      <c r="A678" s="8" t="s">
        <v>31</v>
      </c>
      <c r="B678" s="9" t="s">
        <v>93</v>
      </c>
      <c r="C678" s="9" t="s">
        <v>94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str">
        <f>"－"</f>
        <v>－</v>
      </c>
    </row>
    <row r="679">
      <c r="A679" s="8" t="s">
        <v>32</v>
      </c>
      <c r="B679" s="9" t="s">
        <v>93</v>
      </c>
      <c r="C679" s="9" t="s">
        <v>94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str">
        <f>"－"</f>
        <v>－</v>
      </c>
    </row>
    <row r="680">
      <c r="A680" s="8" t="s">
        <v>33</v>
      </c>
      <c r="B680" s="9" t="s">
        <v>93</v>
      </c>
      <c r="C680" s="9" t="s">
        <v>94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str">
        <f>"－"</f>
        <v>－</v>
      </c>
    </row>
    <row r="681">
      <c r="A681" s="8" t="s">
        <v>34</v>
      </c>
      <c r="B681" s="9" t="s">
        <v>93</v>
      </c>
      <c r="C681" s="9" t="s">
        <v>94</v>
      </c>
      <c r="D681" s="10"/>
      <c r="E681" s="11"/>
      <c r="F681" s="10"/>
      <c r="G681" s="11"/>
      <c r="H681" s="10"/>
      <c r="I681" s="11"/>
      <c r="J681" s="10"/>
      <c r="K681" s="11"/>
    </row>
    <row r="682">
      <c r="A682" s="8" t="s">
        <v>35</v>
      </c>
      <c r="B682" s="9" t="s">
        <v>93</v>
      </c>
      <c r="C682" s="9" t="s">
        <v>94</v>
      </c>
      <c r="D682" s="10"/>
      <c r="E682" s="11"/>
      <c r="F682" s="10"/>
      <c r="G682" s="11"/>
      <c r="H682" s="10"/>
      <c r="I682" s="11"/>
      <c r="J682" s="10"/>
      <c r="K682" s="11"/>
    </row>
    <row r="683">
      <c r="A683" s="8" t="s">
        <v>36</v>
      </c>
      <c r="B683" s="9" t="s">
        <v>93</v>
      </c>
      <c r="C683" s="9" t="s">
        <v>94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str">
        <f>"－"</f>
        <v>－</v>
      </c>
    </row>
    <row r="684">
      <c r="A684" s="8" t="s">
        <v>38</v>
      </c>
      <c r="B684" s="9" t="s">
        <v>93</v>
      </c>
      <c r="C684" s="9" t="s">
        <v>94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str">
        <f>"－"</f>
        <v>－</v>
      </c>
    </row>
    <row r="685">
      <c r="A685" s="8" t="s">
        <v>39</v>
      </c>
      <c r="B685" s="9" t="s">
        <v>93</v>
      </c>
      <c r="C685" s="9" t="s">
        <v>94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str">
        <f>"－"</f>
        <v>－</v>
      </c>
    </row>
    <row r="686">
      <c r="A686" s="8" t="s">
        <v>40</v>
      </c>
      <c r="B686" s="9" t="s">
        <v>93</v>
      </c>
      <c r="C686" s="9" t="s">
        <v>94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str">
        <f>"－"</f>
        <v>－</v>
      </c>
    </row>
    <row r="687">
      <c r="A687" s="8" t="s">
        <v>41</v>
      </c>
      <c r="B687" s="9" t="s">
        <v>93</v>
      </c>
      <c r="C687" s="9" t="s">
        <v>94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str">
        <f>"－"</f>
        <v>－</v>
      </c>
    </row>
    <row r="688">
      <c r="A688" s="8" t="s">
        <v>42</v>
      </c>
      <c r="B688" s="9" t="s">
        <v>93</v>
      </c>
      <c r="C688" s="9" t="s">
        <v>94</v>
      </c>
      <c r="D688" s="10"/>
      <c r="E688" s="11"/>
      <c r="F688" s="10"/>
      <c r="G688" s="11"/>
      <c r="H688" s="10"/>
      <c r="I688" s="11"/>
      <c r="J688" s="10"/>
      <c r="K688" s="11"/>
    </row>
    <row r="689">
      <c r="A689" s="8" t="s">
        <v>43</v>
      </c>
      <c r="B689" s="9" t="s">
        <v>93</v>
      </c>
      <c r="C689" s="9" t="s">
        <v>94</v>
      </c>
      <c r="D689" s="10"/>
      <c r="E689" s="11"/>
      <c r="F689" s="10"/>
      <c r="G689" s="11"/>
      <c r="H689" s="10"/>
      <c r="I689" s="11"/>
      <c r="J689" s="10"/>
      <c r="K689" s="11"/>
    </row>
    <row r="690">
      <c r="A690" s="8" t="s">
        <v>44</v>
      </c>
      <c r="B690" s="9" t="s">
        <v>93</v>
      </c>
      <c r="C690" s="9" t="s">
        <v>94</v>
      </c>
      <c r="D690" s="10"/>
      <c r="E690" s="11" t="n">
        <f>2</f>
        <v>2.0</v>
      </c>
      <c r="F690" s="10"/>
      <c r="G690" s="11" t="n">
        <f>588000</f>
        <v>588000.0</v>
      </c>
      <c r="H690" s="10"/>
      <c r="I690" s="11" t="str">
        <f>"－"</f>
        <v>－</v>
      </c>
      <c r="J690" s="10"/>
      <c r="K690" s="11" t="n">
        <f>2</f>
        <v>2.0</v>
      </c>
    </row>
    <row r="691">
      <c r="A691" s="8" t="s">
        <v>45</v>
      </c>
      <c r="B691" s="9" t="s">
        <v>93</v>
      </c>
      <c r="C691" s="9" t="s">
        <v>94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n">
        <f>2</f>
        <v>2.0</v>
      </c>
    </row>
    <row r="692">
      <c r="A692" s="8" t="s">
        <v>46</v>
      </c>
      <c r="B692" s="9" t="s">
        <v>93</v>
      </c>
      <c r="C692" s="9" t="s">
        <v>94</v>
      </c>
      <c r="D692" s="10" t="s">
        <v>37</v>
      </c>
      <c r="E692" s="11" t="n">
        <f>3</f>
        <v>3.0</v>
      </c>
      <c r="F692" s="10" t="s">
        <v>37</v>
      </c>
      <c r="G692" s="11" t="n">
        <f>884520</f>
        <v>884520.0</v>
      </c>
      <c r="H692" s="10"/>
      <c r="I692" s="11" t="str">
        <f>"－"</f>
        <v>－</v>
      </c>
      <c r="J692" s="10"/>
      <c r="K692" s="11" t="n">
        <f>5</f>
        <v>5.0</v>
      </c>
    </row>
    <row r="693">
      <c r="A693" s="8" t="s">
        <v>47</v>
      </c>
      <c r="B693" s="9" t="s">
        <v>93</v>
      </c>
      <c r="C693" s="9" t="s">
        <v>94</v>
      </c>
      <c r="D693" s="10"/>
      <c r="E693" s="11" t="n">
        <f>2</f>
        <v>2.0</v>
      </c>
      <c r="F693" s="10"/>
      <c r="G693" s="11" t="n">
        <f>570528</f>
        <v>570528.0</v>
      </c>
      <c r="H693" s="10"/>
      <c r="I693" s="11" t="str">
        <f>"－"</f>
        <v>－</v>
      </c>
      <c r="J693" s="10" t="s">
        <v>37</v>
      </c>
      <c r="K693" s="11" t="n">
        <f>7</f>
        <v>7.0</v>
      </c>
    </row>
    <row r="694">
      <c r="A694" s="8" t="s">
        <v>48</v>
      </c>
      <c r="B694" s="9" t="s">
        <v>93</v>
      </c>
      <c r="C694" s="9" t="s">
        <v>94</v>
      </c>
      <c r="D694" s="10"/>
      <c r="E694" s="11" t="str">
        <f>"－"</f>
        <v>－</v>
      </c>
      <c r="F694" s="10"/>
      <c r="G694" s="11" t="str">
        <f>"－"</f>
        <v>－</v>
      </c>
      <c r="H694" s="10"/>
      <c r="I694" s="11" t="str">
        <f>"－"</f>
        <v>－</v>
      </c>
      <c r="J694" s="10"/>
      <c r="K694" s="11" t="n">
        <f>7</f>
        <v>7.0</v>
      </c>
    </row>
    <row r="695">
      <c r="A695" s="8" t="s">
        <v>49</v>
      </c>
      <c r="B695" s="9" t="s">
        <v>93</v>
      </c>
      <c r="C695" s="9" t="s">
        <v>94</v>
      </c>
      <c r="D695" s="10"/>
      <c r="E695" s="11"/>
      <c r="F695" s="10"/>
      <c r="G695" s="11"/>
      <c r="H695" s="10"/>
      <c r="I695" s="11"/>
      <c r="J695" s="10"/>
      <c r="K695" s="11"/>
    </row>
    <row r="696">
      <c r="A696" s="8" t="s">
        <v>16</v>
      </c>
      <c r="B696" s="9" t="s">
        <v>95</v>
      </c>
      <c r="C696" s="9" t="s">
        <v>96</v>
      </c>
      <c r="D696" s="10" t="s">
        <v>19</v>
      </c>
      <c r="E696" s="11" t="str">
        <f>"－"</f>
        <v>－</v>
      </c>
      <c r="F696" s="10" t="s">
        <v>19</v>
      </c>
      <c r="G696" s="11" t="str">
        <f>"－"</f>
        <v>－</v>
      </c>
      <c r="H696" s="10" t="s">
        <v>52</v>
      </c>
      <c r="I696" s="11" t="str">
        <f>"－"</f>
        <v>－</v>
      </c>
      <c r="J696" s="10" t="s">
        <v>19</v>
      </c>
      <c r="K696" s="11" t="str">
        <f>"－"</f>
        <v>－</v>
      </c>
    </row>
    <row r="697">
      <c r="A697" s="8" t="s">
        <v>20</v>
      </c>
      <c r="B697" s="9" t="s">
        <v>95</v>
      </c>
      <c r="C697" s="9" t="s">
        <v>96</v>
      </c>
      <c r="D697" s="10"/>
      <c r="E697" s="11"/>
      <c r="F697" s="10"/>
      <c r="G697" s="11"/>
      <c r="H697" s="10"/>
      <c r="I697" s="11"/>
      <c r="J697" s="10"/>
      <c r="K697" s="11"/>
    </row>
    <row r="698">
      <c r="A698" s="8" t="s">
        <v>21</v>
      </c>
      <c r="B698" s="9" t="s">
        <v>95</v>
      </c>
      <c r="C698" s="9" t="s">
        <v>96</v>
      </c>
      <c r="D698" s="10"/>
      <c r="E698" s="11"/>
      <c r="F698" s="10"/>
      <c r="G698" s="11"/>
      <c r="H698" s="10"/>
      <c r="I698" s="11"/>
      <c r="J698" s="10"/>
      <c r="K698" s="11"/>
    </row>
    <row r="699">
      <c r="A699" s="8" t="s">
        <v>22</v>
      </c>
      <c r="B699" s="9" t="s">
        <v>95</v>
      </c>
      <c r="C699" s="9" t="s">
        <v>96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23</v>
      </c>
      <c r="B700" s="9" t="s">
        <v>95</v>
      </c>
      <c r="C700" s="9" t="s">
        <v>96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str">
        <f>"－"</f>
        <v>－</v>
      </c>
    </row>
    <row r="701">
      <c r="A701" s="8" t="s">
        <v>24</v>
      </c>
      <c r="B701" s="9" t="s">
        <v>95</v>
      </c>
      <c r="C701" s="9" t="s">
        <v>96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str">
        <f>"－"</f>
        <v>－</v>
      </c>
    </row>
    <row r="702">
      <c r="A702" s="8" t="s">
        <v>25</v>
      </c>
      <c r="B702" s="9" t="s">
        <v>95</v>
      </c>
      <c r="C702" s="9" t="s">
        <v>96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str">
        <f>"－"</f>
        <v>－</v>
      </c>
    </row>
    <row r="703">
      <c r="A703" s="8" t="s">
        <v>26</v>
      </c>
      <c r="B703" s="9" t="s">
        <v>95</v>
      </c>
      <c r="C703" s="9" t="s">
        <v>96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str">
        <f>"－"</f>
        <v>－</v>
      </c>
    </row>
    <row r="704">
      <c r="A704" s="8" t="s">
        <v>27</v>
      </c>
      <c r="B704" s="9" t="s">
        <v>95</v>
      </c>
      <c r="C704" s="9" t="s">
        <v>96</v>
      </c>
      <c r="D704" s="10"/>
      <c r="E704" s="11"/>
      <c r="F704" s="10"/>
      <c r="G704" s="11"/>
      <c r="H704" s="10"/>
      <c r="I704" s="11"/>
      <c r="J704" s="10"/>
      <c r="K704" s="11"/>
    </row>
    <row r="705">
      <c r="A705" s="8" t="s">
        <v>28</v>
      </c>
      <c r="B705" s="9" t="s">
        <v>95</v>
      </c>
      <c r="C705" s="9" t="s">
        <v>96</v>
      </c>
      <c r="D705" s="10"/>
      <c r="E705" s="11"/>
      <c r="F705" s="10"/>
      <c r="G705" s="11"/>
      <c r="H705" s="10"/>
      <c r="I705" s="11"/>
      <c r="J705" s="10"/>
      <c r="K705" s="11"/>
    </row>
    <row r="706">
      <c r="A706" s="8" t="s">
        <v>29</v>
      </c>
      <c r="B706" s="9" t="s">
        <v>95</v>
      </c>
      <c r="C706" s="9" t="s">
        <v>96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/>
      <c r="K706" s="11" t="str">
        <f>"－"</f>
        <v>－</v>
      </c>
    </row>
    <row r="707">
      <c r="A707" s="8" t="s">
        <v>30</v>
      </c>
      <c r="B707" s="9" t="s">
        <v>95</v>
      </c>
      <c r="C707" s="9" t="s">
        <v>96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str">
        <f>"－"</f>
        <v>－</v>
      </c>
    </row>
    <row r="708">
      <c r="A708" s="8" t="s">
        <v>31</v>
      </c>
      <c r="B708" s="9" t="s">
        <v>95</v>
      </c>
      <c r="C708" s="9" t="s">
        <v>96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str">
        <f>"－"</f>
        <v>－</v>
      </c>
    </row>
    <row r="709">
      <c r="A709" s="8" t="s">
        <v>32</v>
      </c>
      <c r="B709" s="9" t="s">
        <v>95</v>
      </c>
      <c r="C709" s="9" t="s">
        <v>96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33</v>
      </c>
      <c r="B710" s="9" t="s">
        <v>95</v>
      </c>
      <c r="C710" s="9" t="s">
        <v>96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34</v>
      </c>
      <c r="B711" s="9" t="s">
        <v>95</v>
      </c>
      <c r="C711" s="9" t="s">
        <v>96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35</v>
      </c>
      <c r="B712" s="9" t="s">
        <v>95</v>
      </c>
      <c r="C712" s="9" t="s">
        <v>96</v>
      </c>
      <c r="D712" s="10"/>
      <c r="E712" s="11"/>
      <c r="F712" s="10"/>
      <c r="G712" s="11"/>
      <c r="H712" s="10"/>
      <c r="I712" s="11"/>
      <c r="J712" s="10"/>
      <c r="K712" s="11"/>
    </row>
    <row r="713">
      <c r="A713" s="8" t="s">
        <v>36</v>
      </c>
      <c r="B713" s="9" t="s">
        <v>95</v>
      </c>
      <c r="C713" s="9" t="s">
        <v>96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str">
        <f>"－"</f>
        <v>－</v>
      </c>
    </row>
    <row r="714">
      <c r="A714" s="8" t="s">
        <v>38</v>
      </c>
      <c r="B714" s="9" t="s">
        <v>95</v>
      </c>
      <c r="C714" s="9" t="s">
        <v>96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str">
        <f>"－"</f>
        <v>－</v>
      </c>
    </row>
    <row r="715">
      <c r="A715" s="8" t="s">
        <v>39</v>
      </c>
      <c r="B715" s="9" t="s">
        <v>95</v>
      </c>
      <c r="C715" s="9" t="s">
        <v>96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str">
        <f>"－"</f>
        <v>－</v>
      </c>
    </row>
    <row r="716">
      <c r="A716" s="8" t="s">
        <v>40</v>
      </c>
      <c r="B716" s="9" t="s">
        <v>95</v>
      </c>
      <c r="C716" s="9" t="s">
        <v>96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41</v>
      </c>
      <c r="B717" s="9" t="s">
        <v>95</v>
      </c>
      <c r="C717" s="9" t="s">
        <v>96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42</v>
      </c>
      <c r="B718" s="9" t="s">
        <v>95</v>
      </c>
      <c r="C718" s="9" t="s">
        <v>96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43</v>
      </c>
      <c r="B719" s="9" t="s">
        <v>95</v>
      </c>
      <c r="C719" s="9" t="s">
        <v>96</v>
      </c>
      <c r="D719" s="10"/>
      <c r="E719" s="11"/>
      <c r="F719" s="10"/>
      <c r="G719" s="11"/>
      <c r="H719" s="10"/>
      <c r="I719" s="11"/>
      <c r="J719" s="10"/>
      <c r="K719" s="11"/>
    </row>
    <row r="720">
      <c r="A720" s="8" t="s">
        <v>44</v>
      </c>
      <c r="B720" s="9" t="s">
        <v>95</v>
      </c>
      <c r="C720" s="9" t="s">
        <v>96</v>
      </c>
      <c r="D720" s="10"/>
      <c r="E720" s="11" t="str">
        <f>"－"</f>
        <v>－</v>
      </c>
      <c r="F720" s="10"/>
      <c r="G720" s="11" t="str">
        <f>"－"</f>
        <v>－</v>
      </c>
      <c r="H720" s="10"/>
      <c r="I720" s="11" t="str">
        <f>"－"</f>
        <v>－</v>
      </c>
      <c r="J720" s="10"/>
      <c r="K720" s="11" t="str">
        <f>"－"</f>
        <v>－</v>
      </c>
    </row>
    <row r="721">
      <c r="A721" s="8" t="s">
        <v>45</v>
      </c>
      <c r="B721" s="9" t="s">
        <v>95</v>
      </c>
      <c r="C721" s="9" t="s">
        <v>96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str">
        <f>"－"</f>
        <v>－</v>
      </c>
    </row>
    <row r="722">
      <c r="A722" s="8" t="s">
        <v>46</v>
      </c>
      <c r="B722" s="9" t="s">
        <v>95</v>
      </c>
      <c r="C722" s="9" t="s">
        <v>96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str">
        <f>"－"</f>
        <v>－</v>
      </c>
    </row>
    <row r="723">
      <c r="A723" s="8" t="s">
        <v>47</v>
      </c>
      <c r="B723" s="9" t="s">
        <v>95</v>
      </c>
      <c r="C723" s="9" t="s">
        <v>96</v>
      </c>
      <c r="D723" s="10"/>
      <c r="E723" s="11" t="str">
        <f>"－"</f>
        <v>－</v>
      </c>
      <c r="F723" s="10"/>
      <c r="G723" s="11" t="str">
        <f>"－"</f>
        <v>－</v>
      </c>
      <c r="H723" s="10"/>
      <c r="I723" s="11" t="str">
        <f>"－"</f>
        <v>－</v>
      </c>
      <c r="J723" s="10"/>
      <c r="K723" s="11" t="str">
        <f>"－"</f>
        <v>－</v>
      </c>
    </row>
    <row r="724">
      <c r="A724" s="8" t="s">
        <v>48</v>
      </c>
      <c r="B724" s="9" t="s">
        <v>95</v>
      </c>
      <c r="C724" s="9" t="s">
        <v>96</v>
      </c>
      <c r="D724" s="10" t="s">
        <v>37</v>
      </c>
      <c r="E724" s="11" t="n">
        <f>50</f>
        <v>50.0</v>
      </c>
      <c r="F724" s="10" t="s">
        <v>37</v>
      </c>
      <c r="G724" s="11" t="n">
        <f>11592000</f>
        <v>1.1592E7</v>
      </c>
      <c r="H724" s="10"/>
      <c r="I724" s="11" t="str">
        <f>"－"</f>
        <v>－</v>
      </c>
      <c r="J724" s="10" t="s">
        <v>37</v>
      </c>
      <c r="K724" s="11" t="n">
        <f>50</f>
        <v>50.0</v>
      </c>
    </row>
    <row r="725">
      <c r="A725" s="8" t="s">
        <v>49</v>
      </c>
      <c r="B725" s="9" t="s">
        <v>95</v>
      </c>
      <c r="C725" s="9" t="s">
        <v>96</v>
      </c>
      <c r="D725" s="10"/>
      <c r="E725" s="11"/>
      <c r="F725" s="10"/>
      <c r="G725" s="11"/>
      <c r="H725" s="10"/>
      <c r="I725" s="11"/>
      <c r="J725" s="10"/>
      <c r="K725" s="11"/>
    </row>
    <row r="726">
      <c r="A726" s="8" t="s">
        <v>16</v>
      </c>
      <c r="B726" s="9" t="s">
        <v>97</v>
      </c>
      <c r="C726" s="9" t="s">
        <v>98</v>
      </c>
      <c r="D726" s="10" t="s">
        <v>19</v>
      </c>
      <c r="E726" s="11" t="str">
        <f>"－"</f>
        <v>－</v>
      </c>
      <c r="F726" s="10" t="s">
        <v>19</v>
      </c>
      <c r="G726" s="11" t="str">
        <f>"－"</f>
        <v>－</v>
      </c>
      <c r="H726" s="10" t="s">
        <v>52</v>
      </c>
      <c r="I726" s="11" t="str">
        <f>"－"</f>
        <v>－</v>
      </c>
      <c r="J726" s="10" t="s">
        <v>37</v>
      </c>
      <c r="K726" s="11" t="n">
        <f>10</f>
        <v>10.0</v>
      </c>
    </row>
    <row r="727">
      <c r="A727" s="8" t="s">
        <v>20</v>
      </c>
      <c r="B727" s="9" t="s">
        <v>97</v>
      </c>
      <c r="C727" s="9" t="s">
        <v>98</v>
      </c>
      <c r="D727" s="10"/>
      <c r="E727" s="11"/>
      <c r="F727" s="10"/>
      <c r="G727" s="11"/>
      <c r="H727" s="10"/>
      <c r="I727" s="11"/>
      <c r="J727" s="10"/>
      <c r="K727" s="11"/>
    </row>
    <row r="728">
      <c r="A728" s="8" t="s">
        <v>21</v>
      </c>
      <c r="B728" s="9" t="s">
        <v>97</v>
      </c>
      <c r="C728" s="9" t="s">
        <v>98</v>
      </c>
      <c r="D728" s="10"/>
      <c r="E728" s="11"/>
      <c r="F728" s="10"/>
      <c r="G728" s="11"/>
      <c r="H728" s="10"/>
      <c r="I728" s="11"/>
      <c r="J728" s="10"/>
      <c r="K728" s="11"/>
    </row>
    <row r="729">
      <c r="A729" s="8" t="s">
        <v>22</v>
      </c>
      <c r="B729" s="9" t="s">
        <v>97</v>
      </c>
      <c r="C729" s="9" t="s">
        <v>98</v>
      </c>
      <c r="D729" s="10"/>
      <c r="E729" s="11"/>
      <c r="F729" s="10"/>
      <c r="G729" s="11"/>
      <c r="H729" s="10"/>
      <c r="I729" s="11"/>
      <c r="J729" s="10"/>
      <c r="K729" s="11"/>
    </row>
    <row r="730">
      <c r="A730" s="8" t="s">
        <v>23</v>
      </c>
      <c r="B730" s="9" t="s">
        <v>97</v>
      </c>
      <c r="C730" s="9" t="s">
        <v>98</v>
      </c>
      <c r="D730" s="10"/>
      <c r="E730" s="11" t="str">
        <f>"－"</f>
        <v>－</v>
      </c>
      <c r="F730" s="10"/>
      <c r="G730" s="11" t="str">
        <f>"－"</f>
        <v>－</v>
      </c>
      <c r="H730" s="10"/>
      <c r="I730" s="11" t="str">
        <f>"－"</f>
        <v>－</v>
      </c>
      <c r="J730" s="10"/>
      <c r="K730" s="11" t="n">
        <f>10</f>
        <v>10.0</v>
      </c>
    </row>
    <row r="731">
      <c r="A731" s="8" t="s">
        <v>24</v>
      </c>
      <c r="B731" s="9" t="s">
        <v>97</v>
      </c>
      <c r="C731" s="9" t="s">
        <v>98</v>
      </c>
      <c r="D731" s="10"/>
      <c r="E731" s="11" t="str">
        <f>"－"</f>
        <v>－</v>
      </c>
      <c r="F731" s="10"/>
      <c r="G731" s="11" t="str">
        <f>"－"</f>
        <v>－</v>
      </c>
      <c r="H731" s="10"/>
      <c r="I731" s="11" t="str">
        <f>"－"</f>
        <v>－</v>
      </c>
      <c r="J731" s="10"/>
      <c r="K731" s="11" t="n">
        <f>10</f>
        <v>10.0</v>
      </c>
    </row>
    <row r="732">
      <c r="A732" s="8" t="s">
        <v>25</v>
      </c>
      <c r="B732" s="9" t="s">
        <v>97</v>
      </c>
      <c r="C732" s="9" t="s">
        <v>98</v>
      </c>
      <c r="D732" s="10"/>
      <c r="E732" s="11" t="str">
        <f>"－"</f>
        <v>－</v>
      </c>
      <c r="F732" s="10"/>
      <c r="G732" s="11" t="str">
        <f>"－"</f>
        <v>－</v>
      </c>
      <c r="H732" s="10"/>
      <c r="I732" s="11" t="str">
        <f>"－"</f>
        <v>－</v>
      </c>
      <c r="J732" s="10"/>
      <c r="K732" s="11" t="n">
        <f>10</f>
        <v>10.0</v>
      </c>
    </row>
    <row r="733">
      <c r="A733" s="8" t="s">
        <v>26</v>
      </c>
      <c r="B733" s="9" t="s">
        <v>97</v>
      </c>
      <c r="C733" s="9" t="s">
        <v>98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10</f>
        <v>10.0</v>
      </c>
    </row>
    <row r="734">
      <c r="A734" s="8" t="s">
        <v>27</v>
      </c>
      <c r="B734" s="9" t="s">
        <v>97</v>
      </c>
      <c r="C734" s="9" t="s">
        <v>98</v>
      </c>
      <c r="D734" s="10"/>
      <c r="E734" s="11"/>
      <c r="F734" s="10"/>
      <c r="G734" s="11"/>
      <c r="H734" s="10"/>
      <c r="I734" s="11"/>
      <c r="J734" s="10"/>
      <c r="K734" s="11"/>
    </row>
    <row r="735">
      <c r="A735" s="8" t="s">
        <v>28</v>
      </c>
      <c r="B735" s="9" t="s">
        <v>97</v>
      </c>
      <c r="C735" s="9" t="s">
        <v>98</v>
      </c>
      <c r="D735" s="10"/>
      <c r="E735" s="11"/>
      <c r="F735" s="10"/>
      <c r="G735" s="11"/>
      <c r="H735" s="10"/>
      <c r="I735" s="11"/>
      <c r="J735" s="10"/>
      <c r="K735" s="11"/>
    </row>
    <row r="736">
      <c r="A736" s="8" t="s">
        <v>29</v>
      </c>
      <c r="B736" s="9" t="s">
        <v>97</v>
      </c>
      <c r="C736" s="9" t="s">
        <v>98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n">
        <f>10</f>
        <v>10.0</v>
      </c>
    </row>
    <row r="737">
      <c r="A737" s="8" t="s">
        <v>30</v>
      </c>
      <c r="B737" s="9" t="s">
        <v>97</v>
      </c>
      <c r="C737" s="9" t="s">
        <v>98</v>
      </c>
      <c r="D737" s="10"/>
      <c r="E737" s="11" t="str">
        <f>"－"</f>
        <v>－</v>
      </c>
      <c r="F737" s="10"/>
      <c r="G737" s="11" t="str">
        <f>"－"</f>
        <v>－</v>
      </c>
      <c r="H737" s="10"/>
      <c r="I737" s="11" t="str">
        <f>"－"</f>
        <v>－</v>
      </c>
      <c r="J737" s="10"/>
      <c r="K737" s="11" t="n">
        <f>10</f>
        <v>10.0</v>
      </c>
    </row>
    <row r="738">
      <c r="A738" s="8" t="s">
        <v>31</v>
      </c>
      <c r="B738" s="9" t="s">
        <v>97</v>
      </c>
      <c r="C738" s="9" t="s">
        <v>98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n">
        <f>10</f>
        <v>10.0</v>
      </c>
    </row>
    <row r="739">
      <c r="A739" s="8" t="s">
        <v>32</v>
      </c>
      <c r="B739" s="9" t="s">
        <v>97</v>
      </c>
      <c r="C739" s="9" t="s">
        <v>98</v>
      </c>
      <c r="D739" s="10"/>
      <c r="E739" s="11" t="str">
        <f>"－"</f>
        <v>－</v>
      </c>
      <c r="F739" s="10"/>
      <c r="G739" s="11" t="str">
        <f>"－"</f>
        <v>－</v>
      </c>
      <c r="H739" s="10"/>
      <c r="I739" s="11" t="str">
        <f>"－"</f>
        <v>－</v>
      </c>
      <c r="J739" s="10"/>
      <c r="K739" s="11" t="n">
        <f>10</f>
        <v>10.0</v>
      </c>
    </row>
    <row r="740">
      <c r="A740" s="8" t="s">
        <v>33</v>
      </c>
      <c r="B740" s="9" t="s">
        <v>97</v>
      </c>
      <c r="C740" s="9" t="s">
        <v>98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n">
        <f>10</f>
        <v>10.0</v>
      </c>
    </row>
    <row r="741">
      <c r="A741" s="8" t="s">
        <v>34</v>
      </c>
      <c r="B741" s="9" t="s">
        <v>97</v>
      </c>
      <c r="C741" s="9" t="s">
        <v>98</v>
      </c>
      <c r="D741" s="10"/>
      <c r="E741" s="11"/>
      <c r="F741" s="10"/>
      <c r="G741" s="11"/>
      <c r="H741" s="10"/>
      <c r="I741" s="11"/>
      <c r="J741" s="10"/>
      <c r="K741" s="11"/>
    </row>
    <row r="742">
      <c r="A742" s="8" t="s">
        <v>35</v>
      </c>
      <c r="B742" s="9" t="s">
        <v>97</v>
      </c>
      <c r="C742" s="9" t="s">
        <v>98</v>
      </c>
      <c r="D742" s="10"/>
      <c r="E742" s="11"/>
      <c r="F742" s="10"/>
      <c r="G742" s="11"/>
      <c r="H742" s="10"/>
      <c r="I742" s="11"/>
      <c r="J742" s="10"/>
      <c r="K742" s="11"/>
    </row>
    <row r="743">
      <c r="A743" s="8" t="s">
        <v>36</v>
      </c>
      <c r="B743" s="9" t="s">
        <v>97</v>
      </c>
      <c r="C743" s="9" t="s">
        <v>98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 t="s">
        <v>19</v>
      </c>
      <c r="K743" s="11" t="str">
        <f>"－"</f>
        <v>－</v>
      </c>
    </row>
    <row r="744">
      <c r="A744" s="8" t="s">
        <v>38</v>
      </c>
      <c r="B744" s="9" t="s">
        <v>97</v>
      </c>
      <c r="C744" s="9" t="s">
        <v>98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str">
        <f>"－"</f>
        <v>－</v>
      </c>
    </row>
    <row r="745">
      <c r="A745" s="8" t="s">
        <v>39</v>
      </c>
      <c r="B745" s="9" t="s">
        <v>97</v>
      </c>
      <c r="C745" s="9" t="s">
        <v>98</v>
      </c>
      <c r="D745" s="10"/>
      <c r="E745" s="11" t="str">
        <f>"－"</f>
        <v>－</v>
      </c>
      <c r="F745" s="10"/>
      <c r="G745" s="11" t="str">
        <f>"－"</f>
        <v>－</v>
      </c>
      <c r="H745" s="10"/>
      <c r="I745" s="11" t="str">
        <f>"－"</f>
        <v>－</v>
      </c>
      <c r="J745" s="10"/>
      <c r="K745" s="11" t="str">
        <f>"－"</f>
        <v>－</v>
      </c>
    </row>
    <row r="746">
      <c r="A746" s="8" t="s">
        <v>40</v>
      </c>
      <c r="B746" s="9" t="s">
        <v>97</v>
      </c>
      <c r="C746" s="9" t="s">
        <v>98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str">
        <f>"－"</f>
        <v>－</v>
      </c>
    </row>
    <row r="747">
      <c r="A747" s="8" t="s">
        <v>41</v>
      </c>
      <c r="B747" s="9" t="s">
        <v>97</v>
      </c>
      <c r="C747" s="9" t="s">
        <v>98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str">
        <f>"－"</f>
        <v>－</v>
      </c>
    </row>
    <row r="748">
      <c r="A748" s="8" t="s">
        <v>42</v>
      </c>
      <c r="B748" s="9" t="s">
        <v>97</v>
      </c>
      <c r="C748" s="9" t="s">
        <v>98</v>
      </c>
      <c r="D748" s="10"/>
      <c r="E748" s="11"/>
      <c r="F748" s="10"/>
      <c r="G748" s="11"/>
      <c r="H748" s="10"/>
      <c r="I748" s="11"/>
      <c r="J748" s="10"/>
      <c r="K748" s="11"/>
    </row>
    <row r="749">
      <c r="A749" s="8" t="s">
        <v>43</v>
      </c>
      <c r="B749" s="9" t="s">
        <v>97</v>
      </c>
      <c r="C749" s="9" t="s">
        <v>98</v>
      </c>
      <c r="D749" s="10"/>
      <c r="E749" s="11"/>
      <c r="F749" s="10"/>
      <c r="G749" s="11"/>
      <c r="H749" s="10"/>
      <c r="I749" s="11"/>
      <c r="J749" s="10"/>
      <c r="K749" s="11"/>
    </row>
    <row r="750">
      <c r="A750" s="8" t="s">
        <v>44</v>
      </c>
      <c r="B750" s="9" t="s">
        <v>97</v>
      </c>
      <c r="C750" s="9" t="s">
        <v>98</v>
      </c>
      <c r="D750" s="10"/>
      <c r="E750" s="11" t="str">
        <f>"－"</f>
        <v>－</v>
      </c>
      <c r="F750" s="10"/>
      <c r="G750" s="11" t="str">
        <f>"－"</f>
        <v>－</v>
      </c>
      <c r="H750" s="10"/>
      <c r="I750" s="11" t="str">
        <f>"－"</f>
        <v>－</v>
      </c>
      <c r="J750" s="10"/>
      <c r="K750" s="11" t="str">
        <f>"－"</f>
        <v>－</v>
      </c>
    </row>
    <row r="751">
      <c r="A751" s="8" t="s">
        <v>45</v>
      </c>
      <c r="B751" s="9" t="s">
        <v>97</v>
      </c>
      <c r="C751" s="9" t="s">
        <v>98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46</v>
      </c>
      <c r="B752" s="9" t="s">
        <v>97</v>
      </c>
      <c r="C752" s="9" t="s">
        <v>98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str">
        <f>"－"</f>
        <v>－</v>
      </c>
    </row>
    <row r="753">
      <c r="A753" s="8" t="s">
        <v>47</v>
      </c>
      <c r="B753" s="9" t="s">
        <v>97</v>
      </c>
      <c r="C753" s="9" t="s">
        <v>98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str">
        <f>"－"</f>
        <v>－</v>
      </c>
    </row>
    <row r="754">
      <c r="A754" s="8" t="s">
        <v>48</v>
      </c>
      <c r="B754" s="9" t="s">
        <v>97</v>
      </c>
      <c r="C754" s="9" t="s">
        <v>98</v>
      </c>
      <c r="D754" s="10" t="s">
        <v>37</v>
      </c>
      <c r="E754" s="11" t="n">
        <f>10</f>
        <v>10.0</v>
      </c>
      <c r="F754" s="10" t="s">
        <v>37</v>
      </c>
      <c r="G754" s="11" t="n">
        <f>1014000</f>
        <v>1014000.0</v>
      </c>
      <c r="H754" s="10"/>
      <c r="I754" s="11" t="str">
        <f>"－"</f>
        <v>－</v>
      </c>
      <c r="J754" s="10"/>
      <c r="K754" s="11" t="n">
        <f>10</f>
        <v>10.0</v>
      </c>
    </row>
    <row r="755">
      <c r="A755" s="8" t="s">
        <v>49</v>
      </c>
      <c r="B755" s="9" t="s">
        <v>97</v>
      </c>
      <c r="C755" s="9" t="s">
        <v>98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16</v>
      </c>
      <c r="B756" s="9" t="s">
        <v>99</v>
      </c>
      <c r="C756" s="9" t="s">
        <v>100</v>
      </c>
      <c r="D756" s="10" t="s">
        <v>52</v>
      </c>
      <c r="E756" s="11" t="str">
        <f>"－"</f>
        <v>－</v>
      </c>
      <c r="F756" s="10" t="s">
        <v>52</v>
      </c>
      <c r="G756" s="11" t="str">
        <f>"－"</f>
        <v>－</v>
      </c>
      <c r="H756" s="10" t="s">
        <v>52</v>
      </c>
      <c r="I756" s="11" t="str">
        <f>"－"</f>
        <v>－</v>
      </c>
      <c r="J756" s="10" t="s">
        <v>52</v>
      </c>
      <c r="K756" s="11" t="str">
        <f>"－"</f>
        <v>－</v>
      </c>
    </row>
    <row r="757">
      <c r="A757" s="8" t="s">
        <v>20</v>
      </c>
      <c r="B757" s="9" t="s">
        <v>99</v>
      </c>
      <c r="C757" s="9" t="s">
        <v>100</v>
      </c>
      <c r="D757" s="10"/>
      <c r="E757" s="11"/>
      <c r="F757" s="10"/>
      <c r="G757" s="11"/>
      <c r="H757" s="10"/>
      <c r="I757" s="11"/>
      <c r="J757" s="10"/>
      <c r="K757" s="11"/>
    </row>
    <row r="758">
      <c r="A758" s="8" t="s">
        <v>21</v>
      </c>
      <c r="B758" s="9" t="s">
        <v>99</v>
      </c>
      <c r="C758" s="9" t="s">
        <v>100</v>
      </c>
      <c r="D758" s="10"/>
      <c r="E758" s="11"/>
      <c r="F758" s="10"/>
      <c r="G758" s="11"/>
      <c r="H758" s="10"/>
      <c r="I758" s="11"/>
      <c r="J758" s="10"/>
      <c r="K758" s="11"/>
    </row>
    <row r="759">
      <c r="A759" s="8" t="s">
        <v>22</v>
      </c>
      <c r="B759" s="9" t="s">
        <v>99</v>
      </c>
      <c r="C759" s="9" t="s">
        <v>100</v>
      </c>
      <c r="D759" s="10"/>
      <c r="E759" s="11"/>
      <c r="F759" s="10"/>
      <c r="G759" s="11"/>
      <c r="H759" s="10"/>
      <c r="I759" s="11"/>
      <c r="J759" s="10"/>
      <c r="K759" s="11"/>
    </row>
    <row r="760">
      <c r="A760" s="8" t="s">
        <v>23</v>
      </c>
      <c r="B760" s="9" t="s">
        <v>99</v>
      </c>
      <c r="C760" s="9" t="s">
        <v>100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24</v>
      </c>
      <c r="B761" s="9" t="s">
        <v>99</v>
      </c>
      <c r="C761" s="9" t="s">
        <v>100</v>
      </c>
      <c r="D761" s="10"/>
      <c r="E761" s="11" t="str">
        <f>"－"</f>
        <v>－</v>
      </c>
      <c r="F761" s="10"/>
      <c r="G761" s="11" t="str">
        <f>"－"</f>
        <v>－</v>
      </c>
      <c r="H761" s="10"/>
      <c r="I761" s="11" t="str">
        <f>"－"</f>
        <v>－</v>
      </c>
      <c r="J761" s="10"/>
      <c r="K761" s="11" t="str">
        <f>"－"</f>
        <v>－</v>
      </c>
    </row>
    <row r="762">
      <c r="A762" s="8" t="s">
        <v>25</v>
      </c>
      <c r="B762" s="9" t="s">
        <v>99</v>
      </c>
      <c r="C762" s="9" t="s">
        <v>100</v>
      </c>
      <c r="D762" s="10"/>
      <c r="E762" s="11" t="str">
        <f>"－"</f>
        <v>－</v>
      </c>
      <c r="F762" s="10"/>
      <c r="G762" s="11" t="str">
        <f>"－"</f>
        <v>－</v>
      </c>
      <c r="H762" s="10"/>
      <c r="I762" s="11" t="str">
        <f>"－"</f>
        <v>－</v>
      </c>
      <c r="J762" s="10"/>
      <c r="K762" s="11" t="str">
        <f>"－"</f>
        <v>－</v>
      </c>
    </row>
    <row r="763">
      <c r="A763" s="8" t="s">
        <v>26</v>
      </c>
      <c r="B763" s="9" t="s">
        <v>99</v>
      </c>
      <c r="C763" s="9" t="s">
        <v>100</v>
      </c>
      <c r="D763" s="10"/>
      <c r="E763" s="11" t="str">
        <f>"－"</f>
        <v>－</v>
      </c>
      <c r="F763" s="10"/>
      <c r="G763" s="11" t="str">
        <f>"－"</f>
        <v>－</v>
      </c>
      <c r="H763" s="10"/>
      <c r="I763" s="11" t="str">
        <f>"－"</f>
        <v>－</v>
      </c>
      <c r="J763" s="10"/>
      <c r="K763" s="11" t="str">
        <f>"－"</f>
        <v>－</v>
      </c>
    </row>
    <row r="764">
      <c r="A764" s="8" t="s">
        <v>27</v>
      </c>
      <c r="B764" s="9" t="s">
        <v>99</v>
      </c>
      <c r="C764" s="9" t="s">
        <v>100</v>
      </c>
      <c r="D764" s="10"/>
      <c r="E764" s="11"/>
      <c r="F764" s="10"/>
      <c r="G764" s="11"/>
      <c r="H764" s="10"/>
      <c r="I764" s="11"/>
      <c r="J764" s="10"/>
      <c r="K764" s="11"/>
    </row>
    <row r="765">
      <c r="A765" s="8" t="s">
        <v>28</v>
      </c>
      <c r="B765" s="9" t="s">
        <v>99</v>
      </c>
      <c r="C765" s="9" t="s">
        <v>100</v>
      </c>
      <c r="D765" s="10"/>
      <c r="E765" s="11"/>
      <c r="F765" s="10"/>
      <c r="G765" s="11"/>
      <c r="H765" s="10"/>
      <c r="I765" s="11"/>
      <c r="J765" s="10"/>
      <c r="K765" s="11"/>
    </row>
    <row r="766">
      <c r="A766" s="8" t="s">
        <v>29</v>
      </c>
      <c r="B766" s="9" t="s">
        <v>99</v>
      </c>
      <c r="C766" s="9" t="s">
        <v>100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30</v>
      </c>
      <c r="B767" s="9" t="s">
        <v>99</v>
      </c>
      <c r="C767" s="9" t="s">
        <v>100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31</v>
      </c>
      <c r="B768" s="9" t="s">
        <v>99</v>
      </c>
      <c r="C768" s="9" t="s">
        <v>100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/>
      <c r="K768" s="11" t="str">
        <f>"－"</f>
        <v>－</v>
      </c>
    </row>
    <row r="769">
      <c r="A769" s="8" t="s">
        <v>32</v>
      </c>
      <c r="B769" s="9" t="s">
        <v>99</v>
      </c>
      <c r="C769" s="9" t="s">
        <v>100</v>
      </c>
      <c r="D769" s="10"/>
      <c r="E769" s="11" t="str">
        <f>"－"</f>
        <v>－</v>
      </c>
      <c r="F769" s="10"/>
      <c r="G769" s="11" t="str">
        <f>"－"</f>
        <v>－</v>
      </c>
      <c r="H769" s="10"/>
      <c r="I769" s="11" t="str">
        <f>"－"</f>
        <v>－</v>
      </c>
      <c r="J769" s="10"/>
      <c r="K769" s="11" t="str">
        <f>"－"</f>
        <v>－</v>
      </c>
    </row>
    <row r="770">
      <c r="A770" s="8" t="s">
        <v>33</v>
      </c>
      <c r="B770" s="9" t="s">
        <v>99</v>
      </c>
      <c r="C770" s="9" t="s">
        <v>100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str">
        <f>"－"</f>
        <v>－</v>
      </c>
    </row>
    <row r="771">
      <c r="A771" s="8" t="s">
        <v>34</v>
      </c>
      <c r="B771" s="9" t="s">
        <v>99</v>
      </c>
      <c r="C771" s="9" t="s">
        <v>100</v>
      </c>
      <c r="D771" s="10"/>
      <c r="E771" s="11"/>
      <c r="F771" s="10"/>
      <c r="G771" s="11"/>
      <c r="H771" s="10"/>
      <c r="I771" s="11"/>
      <c r="J771" s="10"/>
      <c r="K771" s="11"/>
    </row>
    <row r="772">
      <c r="A772" s="8" t="s">
        <v>35</v>
      </c>
      <c r="B772" s="9" t="s">
        <v>99</v>
      </c>
      <c r="C772" s="9" t="s">
        <v>100</v>
      </c>
      <c r="D772" s="10"/>
      <c r="E772" s="11"/>
      <c r="F772" s="10"/>
      <c r="G772" s="11"/>
      <c r="H772" s="10"/>
      <c r="I772" s="11"/>
      <c r="J772" s="10"/>
      <c r="K772" s="11"/>
    </row>
    <row r="773">
      <c r="A773" s="8" t="s">
        <v>36</v>
      </c>
      <c r="B773" s="9" t="s">
        <v>99</v>
      </c>
      <c r="C773" s="9" t="s">
        <v>100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38</v>
      </c>
      <c r="B774" s="9" t="s">
        <v>99</v>
      </c>
      <c r="C774" s="9" t="s">
        <v>100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39</v>
      </c>
      <c r="B775" s="9" t="s">
        <v>99</v>
      </c>
      <c r="C775" s="9" t="s">
        <v>100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40</v>
      </c>
      <c r="B776" s="9" t="s">
        <v>99</v>
      </c>
      <c r="C776" s="9" t="s">
        <v>100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str">
        <f>"－"</f>
        <v>－</v>
      </c>
    </row>
    <row r="777">
      <c r="A777" s="8" t="s">
        <v>41</v>
      </c>
      <c r="B777" s="9" t="s">
        <v>99</v>
      </c>
      <c r="C777" s="9" t="s">
        <v>100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42</v>
      </c>
      <c r="B778" s="9" t="s">
        <v>99</v>
      </c>
      <c r="C778" s="9" t="s">
        <v>100</v>
      </c>
      <c r="D778" s="10"/>
      <c r="E778" s="11"/>
      <c r="F778" s="10"/>
      <c r="G778" s="11"/>
      <c r="H778" s="10"/>
      <c r="I778" s="11"/>
      <c r="J778" s="10"/>
      <c r="K778" s="11"/>
    </row>
    <row r="779">
      <c r="A779" s="8" t="s">
        <v>43</v>
      </c>
      <c r="B779" s="9" t="s">
        <v>99</v>
      </c>
      <c r="C779" s="9" t="s">
        <v>100</v>
      </c>
      <c r="D779" s="10"/>
      <c r="E779" s="11"/>
      <c r="F779" s="10"/>
      <c r="G779" s="11"/>
      <c r="H779" s="10"/>
      <c r="I779" s="11"/>
      <c r="J779" s="10"/>
      <c r="K779" s="11"/>
    </row>
    <row r="780">
      <c r="A780" s="8" t="s">
        <v>44</v>
      </c>
      <c r="B780" s="9" t="s">
        <v>99</v>
      </c>
      <c r="C780" s="9" t="s">
        <v>100</v>
      </c>
      <c r="D780" s="10"/>
      <c r="E780" s="11" t="str">
        <f>"－"</f>
        <v>－</v>
      </c>
      <c r="F780" s="10"/>
      <c r="G780" s="11" t="str">
        <f>"－"</f>
        <v>－</v>
      </c>
      <c r="H780" s="10"/>
      <c r="I780" s="11" t="str">
        <f>"－"</f>
        <v>－</v>
      </c>
      <c r="J780" s="10"/>
      <c r="K780" s="11" t="str">
        <f>"－"</f>
        <v>－</v>
      </c>
    </row>
    <row r="781">
      <c r="A781" s="8" t="s">
        <v>45</v>
      </c>
      <c r="B781" s="9" t="s">
        <v>99</v>
      </c>
      <c r="C781" s="9" t="s">
        <v>100</v>
      </c>
      <c r="D781" s="10"/>
      <c r="E781" s="11" t="str">
        <f>"－"</f>
        <v>－</v>
      </c>
      <c r="F781" s="10"/>
      <c r="G781" s="11" t="str">
        <f>"－"</f>
        <v>－</v>
      </c>
      <c r="H781" s="10"/>
      <c r="I781" s="11" t="str">
        <f>"－"</f>
        <v>－</v>
      </c>
      <c r="J781" s="10"/>
      <c r="K781" s="11" t="str">
        <f>"－"</f>
        <v>－</v>
      </c>
    </row>
    <row r="782">
      <c r="A782" s="8" t="s">
        <v>46</v>
      </c>
      <c r="B782" s="9" t="s">
        <v>99</v>
      </c>
      <c r="C782" s="9" t="s">
        <v>100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47</v>
      </c>
      <c r="B783" s="9" t="s">
        <v>99</v>
      </c>
      <c r="C783" s="9" t="s">
        <v>100</v>
      </c>
      <c r="D783" s="10"/>
      <c r="E783" s="11" t="str">
        <f>"－"</f>
        <v>－</v>
      </c>
      <c r="F783" s="10"/>
      <c r="G783" s="11" t="str">
        <f>"－"</f>
        <v>－</v>
      </c>
      <c r="H783" s="10"/>
      <c r="I783" s="11" t="str">
        <f>"－"</f>
        <v>－</v>
      </c>
      <c r="J783" s="10"/>
      <c r="K783" s="11" t="str">
        <f>"－"</f>
        <v>－</v>
      </c>
    </row>
    <row r="784">
      <c r="A784" s="8" t="s">
        <v>48</v>
      </c>
      <c r="B784" s="9" t="s">
        <v>99</v>
      </c>
      <c r="C784" s="9" t="s">
        <v>100</v>
      </c>
      <c r="D784" s="10"/>
      <c r="E784" s="11" t="str">
        <f>"－"</f>
        <v>－</v>
      </c>
      <c r="F784" s="10"/>
      <c r="G784" s="11" t="str">
        <f>"－"</f>
        <v>－</v>
      </c>
      <c r="H784" s="10"/>
      <c r="I784" s="11" t="str">
        <f>"－"</f>
        <v>－</v>
      </c>
      <c r="J784" s="10"/>
      <c r="K784" s="11" t="str">
        <f>"－"</f>
        <v>－</v>
      </c>
    </row>
    <row r="785">
      <c r="A785" s="8" t="s">
        <v>49</v>
      </c>
      <c r="B785" s="9" t="s">
        <v>99</v>
      </c>
      <c r="C785" s="9" t="s">
        <v>100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16</v>
      </c>
      <c r="B786" s="9" t="s">
        <v>101</v>
      </c>
      <c r="C786" s="9" t="s">
        <v>102</v>
      </c>
      <c r="D786" s="10" t="s">
        <v>19</v>
      </c>
      <c r="E786" s="11" t="str">
        <f>"－"</f>
        <v>－</v>
      </c>
      <c r="F786" s="10" t="s">
        <v>19</v>
      </c>
      <c r="G786" s="11" t="str">
        <f>"－"</f>
        <v>－</v>
      </c>
      <c r="H786" s="10" t="s">
        <v>52</v>
      </c>
      <c r="I786" s="11" t="str">
        <f>"－"</f>
        <v>－</v>
      </c>
      <c r="J786" s="10" t="s">
        <v>19</v>
      </c>
      <c r="K786" s="11" t="n">
        <f>14</f>
        <v>14.0</v>
      </c>
    </row>
    <row r="787">
      <c r="A787" s="8" t="s">
        <v>20</v>
      </c>
      <c r="B787" s="9" t="s">
        <v>101</v>
      </c>
      <c r="C787" s="9" t="s">
        <v>102</v>
      </c>
      <c r="D787" s="10"/>
      <c r="E787" s="11"/>
      <c r="F787" s="10"/>
      <c r="G787" s="11"/>
      <c r="H787" s="10"/>
      <c r="I787" s="11"/>
      <c r="J787" s="10"/>
      <c r="K787" s="11"/>
    </row>
    <row r="788">
      <c r="A788" s="8" t="s">
        <v>21</v>
      </c>
      <c r="B788" s="9" t="s">
        <v>101</v>
      </c>
      <c r="C788" s="9" t="s">
        <v>102</v>
      </c>
      <c r="D788" s="10"/>
      <c r="E788" s="11"/>
      <c r="F788" s="10"/>
      <c r="G788" s="11"/>
      <c r="H788" s="10"/>
      <c r="I788" s="11"/>
      <c r="J788" s="10"/>
      <c r="K788" s="11"/>
    </row>
    <row r="789">
      <c r="A789" s="8" t="s">
        <v>22</v>
      </c>
      <c r="B789" s="9" t="s">
        <v>101</v>
      </c>
      <c r="C789" s="9" t="s">
        <v>102</v>
      </c>
      <c r="D789" s="10"/>
      <c r="E789" s="11"/>
      <c r="F789" s="10"/>
      <c r="G789" s="11"/>
      <c r="H789" s="10"/>
      <c r="I789" s="11"/>
      <c r="J789" s="10"/>
      <c r="K789" s="11"/>
    </row>
    <row r="790">
      <c r="A790" s="8" t="s">
        <v>23</v>
      </c>
      <c r="B790" s="9" t="s">
        <v>101</v>
      </c>
      <c r="C790" s="9" t="s">
        <v>102</v>
      </c>
      <c r="D790" s="10" t="s">
        <v>37</v>
      </c>
      <c r="E790" s="11" t="n">
        <f>70</f>
        <v>70.0</v>
      </c>
      <c r="F790" s="10" t="s">
        <v>37</v>
      </c>
      <c r="G790" s="11" t="n">
        <f>138735000</f>
        <v>1.38735E8</v>
      </c>
      <c r="H790" s="10"/>
      <c r="I790" s="11" t="str">
        <f>"－"</f>
        <v>－</v>
      </c>
      <c r="J790" s="10"/>
      <c r="K790" s="11" t="n">
        <f>54</f>
        <v>54.0</v>
      </c>
    </row>
    <row r="791">
      <c r="A791" s="8" t="s">
        <v>24</v>
      </c>
      <c r="B791" s="9" t="s">
        <v>101</v>
      </c>
      <c r="C791" s="9" t="s">
        <v>102</v>
      </c>
      <c r="D791" s="10"/>
      <c r="E791" s="11" t="n">
        <f>40</f>
        <v>40.0</v>
      </c>
      <c r="F791" s="10"/>
      <c r="G791" s="11" t="n">
        <f>80185000</f>
        <v>8.0185E7</v>
      </c>
      <c r="H791" s="10"/>
      <c r="I791" s="11" t="str">
        <f>"－"</f>
        <v>－</v>
      </c>
      <c r="J791" s="10"/>
      <c r="K791" s="11" t="n">
        <f>64</f>
        <v>64.0</v>
      </c>
    </row>
    <row r="792">
      <c r="A792" s="8" t="s">
        <v>25</v>
      </c>
      <c r="B792" s="9" t="s">
        <v>101</v>
      </c>
      <c r="C792" s="9" t="s">
        <v>102</v>
      </c>
      <c r="D792" s="10"/>
      <c r="E792" s="11" t="n">
        <f>45</f>
        <v>45.0</v>
      </c>
      <c r="F792" s="10"/>
      <c r="G792" s="11" t="n">
        <f>89360000</f>
        <v>8.936E7</v>
      </c>
      <c r="H792" s="10"/>
      <c r="I792" s="11" t="str">
        <f>"－"</f>
        <v>－</v>
      </c>
      <c r="J792" s="10"/>
      <c r="K792" s="11" t="n">
        <f>74</f>
        <v>74.0</v>
      </c>
    </row>
    <row r="793">
      <c r="A793" s="8" t="s">
        <v>26</v>
      </c>
      <c r="B793" s="9" t="s">
        <v>101</v>
      </c>
      <c r="C793" s="9" t="s">
        <v>102</v>
      </c>
      <c r="D793" s="10"/>
      <c r="E793" s="11" t="str">
        <f>"－"</f>
        <v>－</v>
      </c>
      <c r="F793" s="10"/>
      <c r="G793" s="11" t="str">
        <f>"－"</f>
        <v>－</v>
      </c>
      <c r="H793" s="10"/>
      <c r="I793" s="11" t="str">
        <f>"－"</f>
        <v>－</v>
      </c>
      <c r="J793" s="10"/>
      <c r="K793" s="11" t="n">
        <f>74</f>
        <v>74.0</v>
      </c>
    </row>
    <row r="794">
      <c r="A794" s="8" t="s">
        <v>27</v>
      </c>
      <c r="B794" s="9" t="s">
        <v>101</v>
      </c>
      <c r="C794" s="9" t="s">
        <v>102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28</v>
      </c>
      <c r="B795" s="9" t="s">
        <v>101</v>
      </c>
      <c r="C795" s="9" t="s">
        <v>102</v>
      </c>
      <c r="D795" s="10"/>
      <c r="E795" s="11"/>
      <c r="F795" s="10"/>
      <c r="G795" s="11"/>
      <c r="H795" s="10"/>
      <c r="I795" s="11"/>
      <c r="J795" s="10"/>
      <c r="K795" s="11"/>
    </row>
    <row r="796">
      <c r="A796" s="8" t="s">
        <v>29</v>
      </c>
      <c r="B796" s="9" t="s">
        <v>101</v>
      </c>
      <c r="C796" s="9" t="s">
        <v>102</v>
      </c>
      <c r="D796" s="10"/>
      <c r="E796" s="11" t="n">
        <f>10</f>
        <v>10.0</v>
      </c>
      <c r="F796" s="10"/>
      <c r="G796" s="11" t="n">
        <f>20800000</f>
        <v>2.08E7</v>
      </c>
      <c r="H796" s="10"/>
      <c r="I796" s="11" t="str">
        <f>"－"</f>
        <v>－</v>
      </c>
      <c r="J796" s="10"/>
      <c r="K796" s="11" t="n">
        <f>64</f>
        <v>64.0</v>
      </c>
    </row>
    <row r="797">
      <c r="A797" s="8" t="s">
        <v>30</v>
      </c>
      <c r="B797" s="9" t="s">
        <v>101</v>
      </c>
      <c r="C797" s="9" t="s">
        <v>102</v>
      </c>
      <c r="D797" s="10"/>
      <c r="E797" s="11" t="n">
        <f>10</f>
        <v>10.0</v>
      </c>
      <c r="F797" s="10"/>
      <c r="G797" s="11" t="n">
        <f>21250000</f>
        <v>2.125E7</v>
      </c>
      <c r="H797" s="10"/>
      <c r="I797" s="11" t="str">
        <f>"－"</f>
        <v>－</v>
      </c>
      <c r="J797" s="10"/>
      <c r="K797" s="11" t="n">
        <f>64</f>
        <v>64.0</v>
      </c>
    </row>
    <row r="798">
      <c r="A798" s="8" t="s">
        <v>31</v>
      </c>
      <c r="B798" s="9" t="s">
        <v>101</v>
      </c>
      <c r="C798" s="9" t="s">
        <v>102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n">
        <f>64</f>
        <v>64.0</v>
      </c>
    </row>
    <row r="799">
      <c r="A799" s="8" t="s">
        <v>32</v>
      </c>
      <c r="B799" s="9" t="s">
        <v>101</v>
      </c>
      <c r="C799" s="9" t="s">
        <v>102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n">
        <f>64</f>
        <v>64.0</v>
      </c>
    </row>
    <row r="800">
      <c r="A800" s="8" t="s">
        <v>33</v>
      </c>
      <c r="B800" s="9" t="s">
        <v>101</v>
      </c>
      <c r="C800" s="9" t="s">
        <v>102</v>
      </c>
      <c r="D800" s="10"/>
      <c r="E800" s="11" t="str">
        <f>"－"</f>
        <v>－</v>
      </c>
      <c r="F800" s="10"/>
      <c r="G800" s="11" t="str">
        <f>"－"</f>
        <v>－</v>
      </c>
      <c r="H800" s="10"/>
      <c r="I800" s="11" t="str">
        <f>"－"</f>
        <v>－</v>
      </c>
      <c r="J800" s="10"/>
      <c r="K800" s="11" t="n">
        <f>64</f>
        <v>64.0</v>
      </c>
    </row>
    <row r="801">
      <c r="A801" s="8" t="s">
        <v>34</v>
      </c>
      <c r="B801" s="9" t="s">
        <v>101</v>
      </c>
      <c r="C801" s="9" t="s">
        <v>102</v>
      </c>
      <c r="D801" s="10"/>
      <c r="E801" s="11"/>
      <c r="F801" s="10"/>
      <c r="G801" s="11"/>
      <c r="H801" s="10"/>
      <c r="I801" s="11"/>
      <c r="J801" s="10"/>
      <c r="K801" s="11"/>
    </row>
    <row r="802">
      <c r="A802" s="8" t="s">
        <v>35</v>
      </c>
      <c r="B802" s="9" t="s">
        <v>101</v>
      </c>
      <c r="C802" s="9" t="s">
        <v>102</v>
      </c>
      <c r="D802" s="10"/>
      <c r="E802" s="11"/>
      <c r="F802" s="10"/>
      <c r="G802" s="11"/>
      <c r="H802" s="10"/>
      <c r="I802" s="11"/>
      <c r="J802" s="10"/>
      <c r="K802" s="11"/>
    </row>
    <row r="803">
      <c r="A803" s="8" t="s">
        <v>36</v>
      </c>
      <c r="B803" s="9" t="s">
        <v>101</v>
      </c>
      <c r="C803" s="9" t="s">
        <v>102</v>
      </c>
      <c r="D803" s="10"/>
      <c r="E803" s="11" t="n">
        <f>25</f>
        <v>25.0</v>
      </c>
      <c r="F803" s="10"/>
      <c r="G803" s="11" t="n">
        <f>53115000</f>
        <v>5.3115E7</v>
      </c>
      <c r="H803" s="10"/>
      <c r="I803" s="11" t="str">
        <f>"－"</f>
        <v>－</v>
      </c>
      <c r="J803" s="10" t="s">
        <v>37</v>
      </c>
      <c r="K803" s="11" t="n">
        <f>89</f>
        <v>89.0</v>
      </c>
    </row>
    <row r="804">
      <c r="A804" s="8" t="s">
        <v>38</v>
      </c>
      <c r="B804" s="9" t="s">
        <v>101</v>
      </c>
      <c r="C804" s="9" t="s">
        <v>102</v>
      </c>
      <c r="D804" s="10"/>
      <c r="E804" s="11" t="n">
        <f>10</f>
        <v>10.0</v>
      </c>
      <c r="F804" s="10"/>
      <c r="G804" s="11" t="n">
        <f>21600000</f>
        <v>2.16E7</v>
      </c>
      <c r="H804" s="10"/>
      <c r="I804" s="11" t="str">
        <f>"－"</f>
        <v>－</v>
      </c>
      <c r="J804" s="10"/>
      <c r="K804" s="11" t="n">
        <f>65</f>
        <v>65.0</v>
      </c>
    </row>
    <row r="805">
      <c r="A805" s="8" t="s">
        <v>39</v>
      </c>
      <c r="B805" s="9" t="s">
        <v>101</v>
      </c>
      <c r="C805" s="9" t="s">
        <v>102</v>
      </c>
      <c r="D805" s="10"/>
      <c r="E805" s="11" t="n">
        <f>15</f>
        <v>15.0</v>
      </c>
      <c r="F805" s="10"/>
      <c r="G805" s="11" t="n">
        <f>33815000</f>
        <v>3.3815E7</v>
      </c>
      <c r="H805" s="10"/>
      <c r="I805" s="11" t="str">
        <f>"－"</f>
        <v>－</v>
      </c>
      <c r="J805" s="10"/>
      <c r="K805" s="11" t="n">
        <f>70</f>
        <v>70.0</v>
      </c>
    </row>
    <row r="806">
      <c r="A806" s="8" t="s">
        <v>40</v>
      </c>
      <c r="B806" s="9" t="s">
        <v>101</v>
      </c>
      <c r="C806" s="9" t="s">
        <v>102</v>
      </c>
      <c r="D806" s="10"/>
      <c r="E806" s="11" t="str">
        <f>"－"</f>
        <v>－</v>
      </c>
      <c r="F806" s="10"/>
      <c r="G806" s="11" t="str">
        <f>"－"</f>
        <v>－</v>
      </c>
      <c r="H806" s="10"/>
      <c r="I806" s="11" t="str">
        <f>"－"</f>
        <v>－</v>
      </c>
      <c r="J806" s="10"/>
      <c r="K806" s="11" t="n">
        <f>70</f>
        <v>70.0</v>
      </c>
    </row>
    <row r="807">
      <c r="A807" s="8" t="s">
        <v>41</v>
      </c>
      <c r="B807" s="9" t="s">
        <v>101</v>
      </c>
      <c r="C807" s="9" t="s">
        <v>102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n">
        <f>70</f>
        <v>70.0</v>
      </c>
    </row>
    <row r="808">
      <c r="A808" s="8" t="s">
        <v>42</v>
      </c>
      <c r="B808" s="9" t="s">
        <v>101</v>
      </c>
      <c r="C808" s="9" t="s">
        <v>102</v>
      </c>
      <c r="D808" s="10"/>
      <c r="E808" s="11"/>
      <c r="F808" s="10"/>
      <c r="G808" s="11"/>
      <c r="H808" s="10"/>
      <c r="I808" s="11"/>
      <c r="J808" s="10"/>
      <c r="K808" s="11"/>
    </row>
    <row r="809">
      <c r="A809" s="8" t="s">
        <v>43</v>
      </c>
      <c r="B809" s="9" t="s">
        <v>101</v>
      </c>
      <c r="C809" s="9" t="s">
        <v>102</v>
      </c>
      <c r="D809" s="10"/>
      <c r="E809" s="11"/>
      <c r="F809" s="10"/>
      <c r="G809" s="11"/>
      <c r="H809" s="10"/>
      <c r="I809" s="11"/>
      <c r="J809" s="10"/>
      <c r="K809" s="11"/>
    </row>
    <row r="810">
      <c r="A810" s="8" t="s">
        <v>44</v>
      </c>
      <c r="B810" s="9" t="s">
        <v>101</v>
      </c>
      <c r="C810" s="9" t="s">
        <v>102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n">
        <f>70</f>
        <v>70.0</v>
      </c>
    </row>
    <row r="811">
      <c r="A811" s="8" t="s">
        <v>45</v>
      </c>
      <c r="B811" s="9" t="s">
        <v>101</v>
      </c>
      <c r="C811" s="9" t="s">
        <v>102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n">
        <f>70</f>
        <v>70.0</v>
      </c>
    </row>
    <row r="812">
      <c r="A812" s="8" t="s">
        <v>46</v>
      </c>
      <c r="B812" s="9" t="s">
        <v>101</v>
      </c>
      <c r="C812" s="9" t="s">
        <v>102</v>
      </c>
      <c r="D812" s="10"/>
      <c r="E812" s="11" t="str">
        <f>"－"</f>
        <v>－</v>
      </c>
      <c r="F812" s="10"/>
      <c r="G812" s="11" t="str">
        <f>"－"</f>
        <v>－</v>
      </c>
      <c r="H812" s="10"/>
      <c r="I812" s="11" t="str">
        <f>"－"</f>
        <v>－</v>
      </c>
      <c r="J812" s="10"/>
      <c r="K812" s="11" t="n">
        <f>70</f>
        <v>70.0</v>
      </c>
    </row>
    <row r="813">
      <c r="A813" s="8" t="s">
        <v>47</v>
      </c>
      <c r="B813" s="9" t="s">
        <v>101</v>
      </c>
      <c r="C813" s="9" t="s">
        <v>102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n">
        <f>70</f>
        <v>70.0</v>
      </c>
    </row>
    <row r="814">
      <c r="A814" s="8" t="s">
        <v>48</v>
      </c>
      <c r="B814" s="9" t="s">
        <v>101</v>
      </c>
      <c r="C814" s="9" t="s">
        <v>102</v>
      </c>
      <c r="D814" s="10"/>
      <c r="E814" s="11" t="str">
        <f>"－"</f>
        <v>－</v>
      </c>
      <c r="F814" s="10"/>
      <c r="G814" s="11" t="str">
        <f>"－"</f>
        <v>－</v>
      </c>
      <c r="H814" s="10"/>
      <c r="I814" s="11" t="str">
        <f>"－"</f>
        <v>－</v>
      </c>
      <c r="J814" s="10"/>
      <c r="K814" s="11" t="n">
        <f>70</f>
        <v>70.0</v>
      </c>
    </row>
    <row r="815">
      <c r="A815" s="8" t="s">
        <v>49</v>
      </c>
      <c r="B815" s="9" t="s">
        <v>101</v>
      </c>
      <c r="C815" s="9" t="s">
        <v>102</v>
      </c>
      <c r="D815" s="10"/>
      <c r="E815" s="11"/>
      <c r="F815" s="10"/>
      <c r="G815" s="11"/>
      <c r="H815" s="10"/>
      <c r="I815" s="11"/>
      <c r="J815" s="10"/>
      <c r="K815" s="11"/>
    </row>
    <row r="816">
      <c r="A816" s="8" t="s">
        <v>16</v>
      </c>
      <c r="B816" s="9" t="s">
        <v>103</v>
      </c>
      <c r="C816" s="9" t="s">
        <v>104</v>
      </c>
      <c r="D816" s="10" t="s">
        <v>19</v>
      </c>
      <c r="E816" s="11" t="str">
        <f>"－"</f>
        <v>－</v>
      </c>
      <c r="F816" s="10" t="s">
        <v>19</v>
      </c>
      <c r="G816" s="11" t="str">
        <f>"－"</f>
        <v>－</v>
      </c>
      <c r="H816" s="10" t="s">
        <v>52</v>
      </c>
      <c r="I816" s="11" t="str">
        <f>"－"</f>
        <v>－</v>
      </c>
      <c r="J816" s="10" t="s">
        <v>19</v>
      </c>
      <c r="K816" s="11" t="str">
        <f>"－"</f>
        <v>－</v>
      </c>
    </row>
    <row r="817">
      <c r="A817" s="8" t="s">
        <v>20</v>
      </c>
      <c r="B817" s="9" t="s">
        <v>103</v>
      </c>
      <c r="C817" s="9" t="s">
        <v>104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21</v>
      </c>
      <c r="B818" s="9" t="s">
        <v>103</v>
      </c>
      <c r="C818" s="9" t="s">
        <v>104</v>
      </c>
      <c r="D818" s="10"/>
      <c r="E818" s="11"/>
      <c r="F818" s="10"/>
      <c r="G818" s="11"/>
      <c r="H818" s="10"/>
      <c r="I818" s="11"/>
      <c r="J818" s="10"/>
      <c r="K818" s="11"/>
    </row>
    <row r="819">
      <c r="A819" s="8" t="s">
        <v>22</v>
      </c>
      <c r="B819" s="9" t="s">
        <v>103</v>
      </c>
      <c r="C819" s="9" t="s">
        <v>104</v>
      </c>
      <c r="D819" s="10"/>
      <c r="E819" s="11"/>
      <c r="F819" s="10"/>
      <c r="G819" s="11"/>
      <c r="H819" s="10"/>
      <c r="I819" s="11"/>
      <c r="J819" s="10"/>
      <c r="K819" s="11"/>
    </row>
    <row r="820">
      <c r="A820" s="8" t="s">
        <v>23</v>
      </c>
      <c r="B820" s="9" t="s">
        <v>103</v>
      </c>
      <c r="C820" s="9" t="s">
        <v>104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24</v>
      </c>
      <c r="B821" s="9" t="s">
        <v>103</v>
      </c>
      <c r="C821" s="9" t="s">
        <v>104</v>
      </c>
      <c r="D821" s="10"/>
      <c r="E821" s="11" t="str">
        <f>"－"</f>
        <v>－</v>
      </c>
      <c r="F821" s="10"/>
      <c r="G821" s="11" t="str">
        <f>"－"</f>
        <v>－</v>
      </c>
      <c r="H821" s="10"/>
      <c r="I821" s="11" t="str">
        <f>"－"</f>
        <v>－</v>
      </c>
      <c r="J821" s="10"/>
      <c r="K821" s="11" t="str">
        <f>"－"</f>
        <v>－</v>
      </c>
    </row>
    <row r="822">
      <c r="A822" s="8" t="s">
        <v>25</v>
      </c>
      <c r="B822" s="9" t="s">
        <v>103</v>
      </c>
      <c r="C822" s="9" t="s">
        <v>104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str">
        <f>"－"</f>
        <v>－</v>
      </c>
    </row>
    <row r="823">
      <c r="A823" s="8" t="s">
        <v>26</v>
      </c>
      <c r="B823" s="9" t="s">
        <v>103</v>
      </c>
      <c r="C823" s="9" t="s">
        <v>104</v>
      </c>
      <c r="D823" s="10"/>
      <c r="E823" s="11" t="str">
        <f>"－"</f>
        <v>－</v>
      </c>
      <c r="F823" s="10"/>
      <c r="G823" s="11" t="str">
        <f>"－"</f>
        <v>－</v>
      </c>
      <c r="H823" s="10"/>
      <c r="I823" s="11" t="str">
        <f>"－"</f>
        <v>－</v>
      </c>
      <c r="J823" s="10"/>
      <c r="K823" s="11" t="str">
        <f>"－"</f>
        <v>－</v>
      </c>
    </row>
    <row r="824">
      <c r="A824" s="8" t="s">
        <v>27</v>
      </c>
      <c r="B824" s="9" t="s">
        <v>103</v>
      </c>
      <c r="C824" s="9" t="s">
        <v>104</v>
      </c>
      <c r="D824" s="10"/>
      <c r="E824" s="11"/>
      <c r="F824" s="10"/>
      <c r="G824" s="11"/>
      <c r="H824" s="10"/>
      <c r="I824" s="11"/>
      <c r="J824" s="10"/>
      <c r="K824" s="11"/>
    </row>
    <row r="825">
      <c r="A825" s="8" t="s">
        <v>28</v>
      </c>
      <c r="B825" s="9" t="s">
        <v>103</v>
      </c>
      <c r="C825" s="9" t="s">
        <v>104</v>
      </c>
      <c r="D825" s="10"/>
      <c r="E825" s="11"/>
      <c r="F825" s="10"/>
      <c r="G825" s="11"/>
      <c r="H825" s="10"/>
      <c r="I825" s="11"/>
      <c r="J825" s="10"/>
      <c r="K825" s="11"/>
    </row>
    <row r="826">
      <c r="A826" s="8" t="s">
        <v>29</v>
      </c>
      <c r="B826" s="9" t="s">
        <v>103</v>
      </c>
      <c r="C826" s="9" t="s">
        <v>104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30</v>
      </c>
      <c r="B827" s="9" t="s">
        <v>103</v>
      </c>
      <c r="C827" s="9" t="s">
        <v>104</v>
      </c>
      <c r="D827" s="10"/>
      <c r="E827" s="11" t="str">
        <f>"－"</f>
        <v>－</v>
      </c>
      <c r="F827" s="10"/>
      <c r="G827" s="11" t="str">
        <f>"－"</f>
        <v>－</v>
      </c>
      <c r="H827" s="10"/>
      <c r="I827" s="11" t="str">
        <f>"－"</f>
        <v>－</v>
      </c>
      <c r="J827" s="10"/>
      <c r="K827" s="11" t="str">
        <f>"－"</f>
        <v>－</v>
      </c>
    </row>
    <row r="828">
      <c r="A828" s="8" t="s">
        <v>31</v>
      </c>
      <c r="B828" s="9" t="s">
        <v>103</v>
      </c>
      <c r="C828" s="9" t="s">
        <v>104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/>
      <c r="K828" s="11" t="str">
        <f>"－"</f>
        <v>－</v>
      </c>
    </row>
    <row r="829">
      <c r="A829" s="8" t="s">
        <v>32</v>
      </c>
      <c r="B829" s="9" t="s">
        <v>103</v>
      </c>
      <c r="C829" s="9" t="s">
        <v>104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str">
        <f>"－"</f>
        <v>－</v>
      </c>
    </row>
    <row r="830">
      <c r="A830" s="8" t="s">
        <v>33</v>
      </c>
      <c r="B830" s="9" t="s">
        <v>103</v>
      </c>
      <c r="C830" s="9" t="s">
        <v>104</v>
      </c>
      <c r="D830" s="10"/>
      <c r="E830" s="11" t="n">
        <f>2</f>
        <v>2.0</v>
      </c>
      <c r="F830" s="10"/>
      <c r="G830" s="11" t="n">
        <f>1640000</f>
        <v>1640000.0</v>
      </c>
      <c r="H830" s="10"/>
      <c r="I830" s="11" t="str">
        <f>"－"</f>
        <v>－</v>
      </c>
      <c r="J830" s="10"/>
      <c r="K830" s="11" t="n">
        <f>2</f>
        <v>2.0</v>
      </c>
    </row>
    <row r="831">
      <c r="A831" s="8" t="s">
        <v>34</v>
      </c>
      <c r="B831" s="9" t="s">
        <v>103</v>
      </c>
      <c r="C831" s="9" t="s">
        <v>104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35</v>
      </c>
      <c r="B832" s="9" t="s">
        <v>103</v>
      </c>
      <c r="C832" s="9" t="s">
        <v>104</v>
      </c>
      <c r="D832" s="10"/>
      <c r="E832" s="11"/>
      <c r="F832" s="10"/>
      <c r="G832" s="11"/>
      <c r="H832" s="10"/>
      <c r="I832" s="11"/>
      <c r="J832" s="10"/>
      <c r="K832" s="11"/>
    </row>
    <row r="833">
      <c r="A833" s="8" t="s">
        <v>36</v>
      </c>
      <c r="B833" s="9" t="s">
        <v>103</v>
      </c>
      <c r="C833" s="9" t="s">
        <v>104</v>
      </c>
      <c r="D833" s="10"/>
      <c r="E833" s="11" t="n">
        <f>4</f>
        <v>4.0</v>
      </c>
      <c r="F833" s="10"/>
      <c r="G833" s="11" t="n">
        <f>3280000</f>
        <v>3280000.0</v>
      </c>
      <c r="H833" s="10"/>
      <c r="I833" s="11" t="str">
        <f>"－"</f>
        <v>－</v>
      </c>
      <c r="J833" s="10"/>
      <c r="K833" s="11" t="n">
        <f>6</f>
        <v>6.0</v>
      </c>
    </row>
    <row r="834">
      <c r="A834" s="8" t="s">
        <v>38</v>
      </c>
      <c r="B834" s="9" t="s">
        <v>103</v>
      </c>
      <c r="C834" s="9" t="s">
        <v>104</v>
      </c>
      <c r="D834" s="10"/>
      <c r="E834" s="11" t="n">
        <f>2</f>
        <v>2.0</v>
      </c>
      <c r="F834" s="10"/>
      <c r="G834" s="11" t="n">
        <f>1658000</f>
        <v>1658000.0</v>
      </c>
      <c r="H834" s="10"/>
      <c r="I834" s="11" t="str">
        <f>"－"</f>
        <v>－</v>
      </c>
      <c r="J834" s="10"/>
      <c r="K834" s="11" t="n">
        <f>8</f>
        <v>8.0</v>
      </c>
    </row>
    <row r="835">
      <c r="A835" s="8" t="s">
        <v>39</v>
      </c>
      <c r="B835" s="9" t="s">
        <v>103</v>
      </c>
      <c r="C835" s="9" t="s">
        <v>104</v>
      </c>
      <c r="D835" s="10"/>
      <c r="E835" s="11" t="n">
        <f>4</f>
        <v>4.0</v>
      </c>
      <c r="F835" s="10"/>
      <c r="G835" s="11" t="n">
        <f>3376000</f>
        <v>3376000.0</v>
      </c>
      <c r="H835" s="10"/>
      <c r="I835" s="11" t="str">
        <f>"－"</f>
        <v>－</v>
      </c>
      <c r="J835" s="10"/>
      <c r="K835" s="11" t="n">
        <f>12</f>
        <v>12.0</v>
      </c>
    </row>
    <row r="836">
      <c r="A836" s="8" t="s">
        <v>40</v>
      </c>
      <c r="B836" s="9" t="s">
        <v>103</v>
      </c>
      <c r="C836" s="9" t="s">
        <v>104</v>
      </c>
      <c r="D836" s="10"/>
      <c r="E836" s="11" t="n">
        <f>2</f>
        <v>2.0</v>
      </c>
      <c r="F836" s="10"/>
      <c r="G836" s="11" t="n">
        <f>1718000</f>
        <v>1718000.0</v>
      </c>
      <c r="H836" s="10"/>
      <c r="I836" s="11" t="str">
        <f>"－"</f>
        <v>－</v>
      </c>
      <c r="J836" s="10"/>
      <c r="K836" s="11" t="n">
        <f>14</f>
        <v>14.0</v>
      </c>
    </row>
    <row r="837">
      <c r="A837" s="8" t="s">
        <v>41</v>
      </c>
      <c r="B837" s="9" t="s">
        <v>103</v>
      </c>
      <c r="C837" s="9" t="s">
        <v>104</v>
      </c>
      <c r="D837" s="10"/>
      <c r="E837" s="11" t="n">
        <f>2</f>
        <v>2.0</v>
      </c>
      <c r="F837" s="10"/>
      <c r="G837" s="11" t="n">
        <f>1738000</f>
        <v>1738000.0</v>
      </c>
      <c r="H837" s="10"/>
      <c r="I837" s="11" t="str">
        <f>"－"</f>
        <v>－</v>
      </c>
      <c r="J837" s="10"/>
      <c r="K837" s="11" t="n">
        <f>16</f>
        <v>16.0</v>
      </c>
    </row>
    <row r="838">
      <c r="A838" s="8" t="s">
        <v>42</v>
      </c>
      <c r="B838" s="9" t="s">
        <v>103</v>
      </c>
      <c r="C838" s="9" t="s">
        <v>104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43</v>
      </c>
      <c r="B839" s="9" t="s">
        <v>103</v>
      </c>
      <c r="C839" s="9" t="s">
        <v>104</v>
      </c>
      <c r="D839" s="10"/>
      <c r="E839" s="11"/>
      <c r="F839" s="10"/>
      <c r="G839" s="11"/>
      <c r="H839" s="10"/>
      <c r="I839" s="11"/>
      <c r="J839" s="10"/>
      <c r="K839" s="11"/>
    </row>
    <row r="840">
      <c r="A840" s="8" t="s">
        <v>44</v>
      </c>
      <c r="B840" s="9" t="s">
        <v>103</v>
      </c>
      <c r="C840" s="9" t="s">
        <v>104</v>
      </c>
      <c r="D840" s="10" t="s">
        <v>37</v>
      </c>
      <c r="E840" s="11" t="n">
        <f>82</f>
        <v>82.0</v>
      </c>
      <c r="F840" s="10" t="s">
        <v>37</v>
      </c>
      <c r="G840" s="11" t="n">
        <f>68255500</f>
        <v>6.82555E7</v>
      </c>
      <c r="H840" s="10"/>
      <c r="I840" s="11" t="str">
        <f>"－"</f>
        <v>－</v>
      </c>
      <c r="J840" s="10" t="s">
        <v>37</v>
      </c>
      <c r="K840" s="11" t="n">
        <f>88</f>
        <v>88.0</v>
      </c>
    </row>
    <row r="841">
      <c r="A841" s="8" t="s">
        <v>45</v>
      </c>
      <c r="B841" s="9" t="s">
        <v>103</v>
      </c>
      <c r="C841" s="9" t="s">
        <v>104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str">
        <f>"－"</f>
        <v>－</v>
      </c>
    </row>
    <row r="842">
      <c r="A842" s="8" t="s">
        <v>46</v>
      </c>
      <c r="B842" s="9" t="s">
        <v>103</v>
      </c>
      <c r="C842" s="9" t="s">
        <v>104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str">
        <f>"－"</f>
        <v>－</v>
      </c>
    </row>
    <row r="843">
      <c r="A843" s="8" t="s">
        <v>47</v>
      </c>
      <c r="B843" s="9" t="s">
        <v>103</v>
      </c>
      <c r="C843" s="9" t="s">
        <v>104</v>
      </c>
      <c r="D843" s="10"/>
      <c r="E843" s="11" t="str">
        <f>"－"</f>
        <v>－</v>
      </c>
      <c r="F843" s="10"/>
      <c r="G843" s="11" t="str">
        <f>"－"</f>
        <v>－</v>
      </c>
      <c r="H843" s="10"/>
      <c r="I843" s="11" t="str">
        <f>"－"</f>
        <v>－</v>
      </c>
      <c r="J843" s="10"/>
      <c r="K843" s="11" t="str">
        <f>"－"</f>
        <v>－</v>
      </c>
    </row>
    <row r="844">
      <c r="A844" s="8" t="s">
        <v>48</v>
      </c>
      <c r="B844" s="9" t="s">
        <v>103</v>
      </c>
      <c r="C844" s="9" t="s">
        <v>104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str">
        <f>"－"</f>
        <v>－</v>
      </c>
    </row>
    <row r="845">
      <c r="A845" s="8" t="s">
        <v>49</v>
      </c>
      <c r="B845" s="9" t="s">
        <v>103</v>
      </c>
      <c r="C845" s="9" t="s">
        <v>104</v>
      </c>
      <c r="D845" s="10"/>
      <c r="E845" s="11"/>
      <c r="F845" s="10"/>
      <c r="G845" s="11"/>
      <c r="H845" s="10"/>
      <c r="I845" s="11"/>
      <c r="J845" s="10"/>
      <c r="K845" s="11"/>
    </row>
    <row r="846">
      <c r="A846" s="8" t="s">
        <v>16</v>
      </c>
      <c r="B846" s="9" t="s">
        <v>105</v>
      </c>
      <c r="C846" s="9" t="s">
        <v>106</v>
      </c>
      <c r="D846" s="10" t="s">
        <v>19</v>
      </c>
      <c r="E846" s="11" t="str">
        <f>"－"</f>
        <v>－</v>
      </c>
      <c r="F846" s="10" t="s">
        <v>19</v>
      </c>
      <c r="G846" s="11" t="str">
        <f>"－"</f>
        <v>－</v>
      </c>
      <c r="H846" s="10" t="s">
        <v>52</v>
      </c>
      <c r="I846" s="11" t="str">
        <f>"－"</f>
        <v>－</v>
      </c>
      <c r="J846" s="10" t="s">
        <v>19</v>
      </c>
      <c r="K846" s="11" t="str">
        <f>"－"</f>
        <v>－</v>
      </c>
    </row>
    <row r="847">
      <c r="A847" s="8" t="s">
        <v>20</v>
      </c>
      <c r="B847" s="9" t="s">
        <v>105</v>
      </c>
      <c r="C847" s="9" t="s">
        <v>106</v>
      </c>
      <c r="D847" s="10"/>
      <c r="E847" s="11"/>
      <c r="F847" s="10"/>
      <c r="G847" s="11"/>
      <c r="H847" s="10"/>
      <c r="I847" s="11"/>
      <c r="J847" s="10"/>
      <c r="K847" s="11"/>
    </row>
    <row r="848">
      <c r="A848" s="8" t="s">
        <v>21</v>
      </c>
      <c r="B848" s="9" t="s">
        <v>105</v>
      </c>
      <c r="C848" s="9" t="s">
        <v>106</v>
      </c>
      <c r="D848" s="10"/>
      <c r="E848" s="11"/>
      <c r="F848" s="10"/>
      <c r="G848" s="11"/>
      <c r="H848" s="10"/>
      <c r="I848" s="11"/>
      <c r="J848" s="10"/>
      <c r="K848" s="11"/>
    </row>
    <row r="849">
      <c r="A849" s="8" t="s">
        <v>22</v>
      </c>
      <c r="B849" s="9" t="s">
        <v>105</v>
      </c>
      <c r="C849" s="9" t="s">
        <v>106</v>
      </c>
      <c r="D849" s="10"/>
      <c r="E849" s="11"/>
      <c r="F849" s="10"/>
      <c r="G849" s="11"/>
      <c r="H849" s="10"/>
      <c r="I849" s="11"/>
      <c r="J849" s="10"/>
      <c r="K849" s="11"/>
    </row>
    <row r="850">
      <c r="A850" s="8" t="s">
        <v>23</v>
      </c>
      <c r="B850" s="9" t="s">
        <v>105</v>
      </c>
      <c r="C850" s="9" t="s">
        <v>106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24</v>
      </c>
      <c r="B851" s="9" t="s">
        <v>105</v>
      </c>
      <c r="C851" s="9" t="s">
        <v>106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25</v>
      </c>
      <c r="B852" s="9" t="s">
        <v>105</v>
      </c>
      <c r="C852" s="9" t="s">
        <v>106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str">
        <f>"－"</f>
        <v>－</v>
      </c>
    </row>
    <row r="853">
      <c r="A853" s="8" t="s">
        <v>26</v>
      </c>
      <c r="B853" s="9" t="s">
        <v>105</v>
      </c>
      <c r="C853" s="9" t="s">
        <v>106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27</v>
      </c>
      <c r="B854" s="9" t="s">
        <v>105</v>
      </c>
      <c r="C854" s="9" t="s">
        <v>106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28</v>
      </c>
      <c r="B855" s="9" t="s">
        <v>105</v>
      </c>
      <c r="C855" s="9" t="s">
        <v>106</v>
      </c>
      <c r="D855" s="10"/>
      <c r="E855" s="11"/>
      <c r="F855" s="10"/>
      <c r="G855" s="11"/>
      <c r="H855" s="10"/>
      <c r="I855" s="11"/>
      <c r="J855" s="10"/>
      <c r="K855" s="11"/>
    </row>
    <row r="856">
      <c r="A856" s="8" t="s">
        <v>29</v>
      </c>
      <c r="B856" s="9" t="s">
        <v>105</v>
      </c>
      <c r="C856" s="9" t="s">
        <v>106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30</v>
      </c>
      <c r="B857" s="9" t="s">
        <v>105</v>
      </c>
      <c r="C857" s="9" t="s">
        <v>106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31</v>
      </c>
      <c r="B858" s="9" t="s">
        <v>105</v>
      </c>
      <c r="C858" s="9" t="s">
        <v>106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32</v>
      </c>
      <c r="B859" s="9" t="s">
        <v>105</v>
      </c>
      <c r="C859" s="9" t="s">
        <v>106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str">
        <f>"－"</f>
        <v>－</v>
      </c>
    </row>
    <row r="860">
      <c r="A860" s="8" t="s">
        <v>33</v>
      </c>
      <c r="B860" s="9" t="s">
        <v>105</v>
      </c>
      <c r="C860" s="9" t="s">
        <v>106</v>
      </c>
      <c r="D860" s="10"/>
      <c r="E860" s="11" t="n">
        <f>5</f>
        <v>5.0</v>
      </c>
      <c r="F860" s="10"/>
      <c r="G860" s="11" t="n">
        <f>4150000</f>
        <v>4150000.0</v>
      </c>
      <c r="H860" s="10"/>
      <c r="I860" s="11" t="str">
        <f>"－"</f>
        <v>－</v>
      </c>
      <c r="J860" s="10"/>
      <c r="K860" s="11" t="n">
        <f>5</f>
        <v>5.0</v>
      </c>
    </row>
    <row r="861">
      <c r="A861" s="8" t="s">
        <v>34</v>
      </c>
      <c r="B861" s="9" t="s">
        <v>105</v>
      </c>
      <c r="C861" s="9" t="s">
        <v>106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35</v>
      </c>
      <c r="B862" s="9" t="s">
        <v>105</v>
      </c>
      <c r="C862" s="9" t="s">
        <v>106</v>
      </c>
      <c r="D862" s="10"/>
      <c r="E862" s="11"/>
      <c r="F862" s="10"/>
      <c r="G862" s="11"/>
      <c r="H862" s="10"/>
      <c r="I862" s="11"/>
      <c r="J862" s="10"/>
      <c r="K862" s="11"/>
    </row>
    <row r="863">
      <c r="A863" s="8" t="s">
        <v>36</v>
      </c>
      <c r="B863" s="9" t="s">
        <v>105</v>
      </c>
      <c r="C863" s="9" t="s">
        <v>106</v>
      </c>
      <c r="D863" s="10"/>
      <c r="E863" s="11" t="n">
        <f>7</f>
        <v>7.0</v>
      </c>
      <c r="F863" s="10"/>
      <c r="G863" s="11" t="n">
        <f>5810000</f>
        <v>5810000.0</v>
      </c>
      <c r="H863" s="10"/>
      <c r="I863" s="11" t="str">
        <f>"－"</f>
        <v>－</v>
      </c>
      <c r="J863" s="10"/>
      <c r="K863" s="11" t="n">
        <f>12</f>
        <v>12.0</v>
      </c>
    </row>
    <row r="864">
      <c r="A864" s="8" t="s">
        <v>38</v>
      </c>
      <c r="B864" s="9" t="s">
        <v>105</v>
      </c>
      <c r="C864" s="9" t="s">
        <v>106</v>
      </c>
      <c r="D864" s="10"/>
      <c r="E864" s="11" t="n">
        <f>2</f>
        <v>2.0</v>
      </c>
      <c r="F864" s="10"/>
      <c r="G864" s="11" t="n">
        <f>1680000</f>
        <v>1680000.0</v>
      </c>
      <c r="H864" s="10"/>
      <c r="I864" s="11" t="str">
        <f>"－"</f>
        <v>－</v>
      </c>
      <c r="J864" s="10"/>
      <c r="K864" s="11" t="n">
        <f>14</f>
        <v>14.0</v>
      </c>
    </row>
    <row r="865">
      <c r="A865" s="8" t="s">
        <v>39</v>
      </c>
      <c r="B865" s="9" t="s">
        <v>105</v>
      </c>
      <c r="C865" s="9" t="s">
        <v>106</v>
      </c>
      <c r="D865" s="10"/>
      <c r="E865" s="11" t="n">
        <f>11</f>
        <v>11.0</v>
      </c>
      <c r="F865" s="10"/>
      <c r="G865" s="11" t="n">
        <f>9475000</f>
        <v>9475000.0</v>
      </c>
      <c r="H865" s="10"/>
      <c r="I865" s="11" t="str">
        <f>"－"</f>
        <v>－</v>
      </c>
      <c r="J865" s="10"/>
      <c r="K865" s="11" t="n">
        <f>25</f>
        <v>25.0</v>
      </c>
    </row>
    <row r="866">
      <c r="A866" s="8" t="s">
        <v>40</v>
      </c>
      <c r="B866" s="9" t="s">
        <v>105</v>
      </c>
      <c r="C866" s="9" t="s">
        <v>106</v>
      </c>
      <c r="D866" s="10"/>
      <c r="E866" s="11" t="n">
        <f>9</f>
        <v>9.0</v>
      </c>
      <c r="F866" s="10"/>
      <c r="G866" s="11" t="n">
        <f>7821000</f>
        <v>7821000.0</v>
      </c>
      <c r="H866" s="10"/>
      <c r="I866" s="11" t="str">
        <f>"－"</f>
        <v>－</v>
      </c>
      <c r="J866" s="10"/>
      <c r="K866" s="11" t="n">
        <f>34</f>
        <v>34.0</v>
      </c>
    </row>
    <row r="867">
      <c r="A867" s="8" t="s">
        <v>41</v>
      </c>
      <c r="B867" s="9" t="s">
        <v>105</v>
      </c>
      <c r="C867" s="9" t="s">
        <v>106</v>
      </c>
      <c r="D867" s="10"/>
      <c r="E867" s="11" t="n">
        <f>8</f>
        <v>8.0</v>
      </c>
      <c r="F867" s="10"/>
      <c r="G867" s="11" t="n">
        <f>7026000</f>
        <v>7026000.0</v>
      </c>
      <c r="H867" s="10"/>
      <c r="I867" s="11" t="str">
        <f>"－"</f>
        <v>－</v>
      </c>
      <c r="J867" s="10"/>
      <c r="K867" s="11" t="n">
        <f>42</f>
        <v>42.0</v>
      </c>
    </row>
    <row r="868">
      <c r="A868" s="8" t="s">
        <v>42</v>
      </c>
      <c r="B868" s="9" t="s">
        <v>105</v>
      </c>
      <c r="C868" s="9" t="s">
        <v>106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43</v>
      </c>
      <c r="B869" s="9" t="s">
        <v>105</v>
      </c>
      <c r="C869" s="9" t="s">
        <v>106</v>
      </c>
      <c r="D869" s="10"/>
      <c r="E869" s="11"/>
      <c r="F869" s="10"/>
      <c r="G869" s="11"/>
      <c r="H869" s="10"/>
      <c r="I869" s="11"/>
      <c r="J869" s="10"/>
      <c r="K869" s="11"/>
    </row>
    <row r="870">
      <c r="A870" s="8" t="s">
        <v>44</v>
      </c>
      <c r="B870" s="9" t="s">
        <v>105</v>
      </c>
      <c r="C870" s="9" t="s">
        <v>106</v>
      </c>
      <c r="D870" s="10" t="s">
        <v>37</v>
      </c>
      <c r="E870" s="11" t="n">
        <f>47</f>
        <v>47.0</v>
      </c>
      <c r="F870" s="10" t="s">
        <v>37</v>
      </c>
      <c r="G870" s="11" t="n">
        <f>39950000</f>
        <v>3.995E7</v>
      </c>
      <c r="H870" s="10"/>
      <c r="I870" s="11" t="str">
        <f>"－"</f>
        <v>－</v>
      </c>
      <c r="J870" s="10" t="s">
        <v>37</v>
      </c>
      <c r="K870" s="11" t="n">
        <f>89</f>
        <v>89.0</v>
      </c>
    </row>
    <row r="871">
      <c r="A871" s="8" t="s">
        <v>45</v>
      </c>
      <c r="B871" s="9" t="s">
        <v>105</v>
      </c>
      <c r="C871" s="9" t="s">
        <v>106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46</v>
      </c>
      <c r="B872" s="9" t="s">
        <v>105</v>
      </c>
      <c r="C872" s="9" t="s">
        <v>106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47</v>
      </c>
      <c r="B873" s="9" t="s">
        <v>105</v>
      </c>
      <c r="C873" s="9" t="s">
        <v>106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str">
        <f>"－"</f>
        <v>－</v>
      </c>
    </row>
    <row r="874">
      <c r="A874" s="8" t="s">
        <v>48</v>
      </c>
      <c r="B874" s="9" t="s">
        <v>105</v>
      </c>
      <c r="C874" s="9" t="s">
        <v>106</v>
      </c>
      <c r="D874" s="10"/>
      <c r="E874" s="11" t="str">
        <f>"－"</f>
        <v>－</v>
      </c>
      <c r="F874" s="10"/>
      <c r="G874" s="11" t="str">
        <f>"－"</f>
        <v>－</v>
      </c>
      <c r="H874" s="10"/>
      <c r="I874" s="11" t="str">
        <f>"－"</f>
        <v>－</v>
      </c>
      <c r="J874" s="10"/>
      <c r="K874" s="11" t="str">
        <f>"－"</f>
        <v>－</v>
      </c>
    </row>
    <row r="875">
      <c r="A875" s="8" t="s">
        <v>49</v>
      </c>
      <c r="B875" s="9" t="s">
        <v>105</v>
      </c>
      <c r="C875" s="9" t="s">
        <v>106</v>
      </c>
      <c r="D875" s="10"/>
      <c r="E875" s="11"/>
      <c r="F875" s="10"/>
      <c r="G875" s="11"/>
      <c r="H875" s="10"/>
      <c r="I875" s="11"/>
      <c r="J875" s="10"/>
      <c r="K875" s="11"/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