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<sst xmlns="http://schemas.openxmlformats.org/spreadsheetml/2006/main" count="2890" uniqueCount="108">
  <si>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</si>
  <si>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</si>
  <si>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</si>
  <si>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</si>
  <si>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</si>
  <si>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</si>
  <si>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</si>
  <si>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</si>
  <si>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</si>
  <si>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</si>
  <si>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</si>
  <si>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</si>
  <si>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</si>
  <si>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</si>
  <si>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</si>
  <si>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</si>
  <si>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12.1</t>
  </si>
  <si>
    <t>金標準先物</t>
  </si>
  <si>
    <t>Gold Standard Futures</t>
  </si>
  <si>
    <t>2</t>
  </si>
  <si>
    <t>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</si>
  <si>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</si>
  <si>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</si>
  <si>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</si>
  <si>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</si>
  <si>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</si>
  <si>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</si>
  <si>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</si>
  <si>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</si>
  <si>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</si>
  <si>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◎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</si>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</sst>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/>
      <c r="F6" s="10"/>
      <c r="G6" s="11"/>
      <c r="H6" s="10"/>
      <c r="I6" s="11"/>
      <c r="J6" s="10"/>
      <c r="K6" s="11"/>
    </row>
    <row r="7">
      <c r="A7" s="8" t="s">
        <v>19</v>
      </c>
      <c r="B7" s="9" t="s">
        <v>17</v>
      </c>
      <c r="C7" s="9" t="s">
        <v>18</v>
      </c>
      <c r="D7" s="10"/>
      <c r="E7" s="11" t="n">
        <f>28630</f>
        <v>28630.0</v>
      </c>
      <c r="F7" s="10"/>
      <c r="G7" s="11" t="n">
        <f>367081925000</f>
        <v>3.67081925E11</v>
      </c>
      <c r="H7" s="10" t="s">
        <v>20</v>
      </c>
      <c r="I7" s="11" t="str">
        <f>"－"</f>
        <v>－</v>
      </c>
      <c r="J7" s="10" t="s">
        <v>20</v>
      </c>
      <c r="K7" s="11" t="n">
        <f>44426</f>
        <v>44426.0</v>
      </c>
    </row>
    <row r="8">
      <c r="A8" s="8" t="s">
        <v>21</v>
      </c>
      <c r="B8" s="9" t="s">
        <v>17</v>
      </c>
      <c r="C8" s="9" t="s">
        <v>18</v>
      </c>
      <c r="D8" s="10"/>
      <c r="E8" s="11" t="n">
        <f>23537</f>
        <v>23537.0</v>
      </c>
      <c r="F8" s="10"/>
      <c r="G8" s="11" t="n">
        <f>301150606000</f>
        <v>3.01150606E11</v>
      </c>
      <c r="H8" s="10"/>
      <c r="I8" s="11" t="str">
        <f>"－"</f>
        <v>－</v>
      </c>
      <c r="J8" s="10"/>
      <c r="K8" s="11" t="n">
        <f>44908</f>
        <v>44908.0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22143</f>
        <v>22143.0</v>
      </c>
      <c r="F9" s="10"/>
      <c r="G9" s="11" t="n">
        <f>283132778000</f>
        <v>2.83132778E11</v>
      </c>
      <c r="H9" s="10"/>
      <c r="I9" s="11" t="n">
        <f>1</f>
        <v>1.0</v>
      </c>
      <c r="J9" s="10"/>
      <c r="K9" s="11" t="n">
        <f>45583</f>
        <v>45583.0</v>
      </c>
    </row>
    <row r="10">
      <c r="A10" s="8" t="s">
        <v>23</v>
      </c>
      <c r="B10" s="9" t="s">
        <v>17</v>
      </c>
      <c r="C10" s="9" t="s">
        <v>18</v>
      </c>
      <c r="D10" s="10"/>
      <c r="E10" s="11" t="n">
        <f>27609</f>
        <v>27609.0</v>
      </c>
      <c r="F10" s="10"/>
      <c r="G10" s="11" t="n">
        <f>355734968000</f>
        <v>3.55734968E11</v>
      </c>
      <c r="H10" s="10"/>
      <c r="I10" s="11" t="str">
        <f>"－"</f>
        <v>－</v>
      </c>
      <c r="J10" s="10"/>
      <c r="K10" s="11" t="n">
        <f>45863</f>
        <v>45863.0</v>
      </c>
    </row>
    <row r="11">
      <c r="A11" s="8" t="s">
        <v>24</v>
      </c>
      <c r="B11" s="9" t="s">
        <v>17</v>
      </c>
      <c r="C11" s="9" t="s">
        <v>18</v>
      </c>
      <c r="D11" s="10"/>
      <c r="E11" s="11" t="n">
        <f>28235</f>
        <v>28235.0</v>
      </c>
      <c r="F11" s="10"/>
      <c r="G11" s="11" t="n">
        <f>361078903000</f>
        <v>3.61078903E11</v>
      </c>
      <c r="H11" s="10"/>
      <c r="I11" s="11" t="n">
        <f>1</f>
        <v>1.0</v>
      </c>
      <c r="J11" s="10"/>
      <c r="K11" s="11" t="n">
        <f>46012</f>
        <v>46012.0</v>
      </c>
    </row>
    <row r="12">
      <c r="A12" s="8" t="s">
        <v>25</v>
      </c>
      <c r="B12" s="9" t="s">
        <v>17</v>
      </c>
      <c r="C12" s="9" t="s">
        <v>18</v>
      </c>
      <c r="D12" s="10"/>
      <c r="E12" s="11"/>
      <c r="F12" s="10"/>
      <c r="G12" s="11"/>
      <c r="H12" s="10"/>
      <c r="I12" s="11"/>
      <c r="J12" s="10"/>
      <c r="K12" s="11"/>
    </row>
    <row r="13">
      <c r="A13" s="8" t="s">
        <v>26</v>
      </c>
      <c r="B13" s="9" t="s">
        <v>17</v>
      </c>
      <c r="C13" s="9" t="s">
        <v>18</v>
      </c>
      <c r="D13" s="10"/>
      <c r="E13" s="11"/>
      <c r="F13" s="10"/>
      <c r="G13" s="11"/>
      <c r="H13" s="10"/>
      <c r="I13" s="11"/>
      <c r="J13" s="10"/>
      <c r="K13" s="11"/>
    </row>
    <row r="14">
      <c r="A14" s="8" t="s">
        <v>27</v>
      </c>
      <c r="B14" s="9" t="s">
        <v>17</v>
      </c>
      <c r="C14" s="9" t="s">
        <v>18</v>
      </c>
      <c r="D14" s="10"/>
      <c r="E14" s="11" t="n">
        <f>25658</f>
        <v>25658.0</v>
      </c>
      <c r="F14" s="10"/>
      <c r="G14" s="11" t="n">
        <f>328160460000</f>
        <v>3.2816046E11</v>
      </c>
      <c r="H14" s="10"/>
      <c r="I14" s="11" t="str">
        <f>"－"</f>
        <v>－</v>
      </c>
      <c r="J14" s="10"/>
      <c r="K14" s="11" t="n">
        <f>45851</f>
        <v>45851.0</v>
      </c>
    </row>
    <row r="15">
      <c r="A15" s="8" t="s">
        <v>28</v>
      </c>
      <c r="B15" s="9" t="s">
        <v>17</v>
      </c>
      <c r="C15" s="9" t="s">
        <v>18</v>
      </c>
      <c r="D15" s="10"/>
      <c r="E15" s="11" t="n">
        <f>25397</f>
        <v>25397.0</v>
      </c>
      <c r="F15" s="10"/>
      <c r="G15" s="11" t="n">
        <f>330275804000</f>
        <v>3.30275804E11</v>
      </c>
      <c r="H15" s="10"/>
      <c r="I15" s="11" t="str">
        <f>"－"</f>
        <v>－</v>
      </c>
      <c r="J15" s="10"/>
      <c r="K15" s="11" t="n">
        <f>47532</f>
        <v>47532.0</v>
      </c>
    </row>
    <row r="16">
      <c r="A16" s="8" t="s">
        <v>29</v>
      </c>
      <c r="B16" s="9" t="s">
        <v>17</v>
      </c>
      <c r="C16" s="9" t="s">
        <v>18</v>
      </c>
      <c r="D16" s="10" t="s">
        <v>30</v>
      </c>
      <c r="E16" s="11" t="n">
        <f>46298</f>
        <v>46298.0</v>
      </c>
      <c r="F16" s="10" t="s">
        <v>30</v>
      </c>
      <c r="G16" s="11" t="n">
        <f>611183612000</f>
        <v>6.11183612E11</v>
      </c>
      <c r="H16" s="10"/>
      <c r="I16" s="11" t="n">
        <f>1</f>
        <v>1.0</v>
      </c>
      <c r="J16" s="10"/>
      <c r="K16" s="11" t="n">
        <f>48607</f>
        <v>48607.0</v>
      </c>
    </row>
    <row r="17">
      <c r="A17" s="8" t="s">
        <v>31</v>
      </c>
      <c r="B17" s="9" t="s">
        <v>17</v>
      </c>
      <c r="C17" s="9" t="s">
        <v>18</v>
      </c>
      <c r="D17" s="10"/>
      <c r="E17" s="11" t="n">
        <f>35713</f>
        <v>35713.0</v>
      </c>
      <c r="F17" s="10"/>
      <c r="G17" s="11" t="n">
        <f>475809957000</f>
        <v>4.75809957E11</v>
      </c>
      <c r="H17" s="10"/>
      <c r="I17" s="11" t="str">
        <f>"－"</f>
        <v>－</v>
      </c>
      <c r="J17" s="10"/>
      <c r="K17" s="11" t="n">
        <f>48762</f>
        <v>48762.0</v>
      </c>
    </row>
    <row r="18">
      <c r="A18" s="8" t="s">
        <v>32</v>
      </c>
      <c r="B18" s="9" t="s">
        <v>17</v>
      </c>
      <c r="C18" s="9" t="s">
        <v>18</v>
      </c>
      <c r="D18" s="10"/>
      <c r="E18" s="11" t="n">
        <f>38309</f>
        <v>38309.0</v>
      </c>
      <c r="F18" s="10"/>
      <c r="G18" s="11" t="n">
        <f>508392752000</f>
        <v>5.08392752E11</v>
      </c>
      <c r="H18" s="10"/>
      <c r="I18" s="11" t="n">
        <f>1</f>
        <v>1.0</v>
      </c>
      <c r="J18" s="10" t="s">
        <v>30</v>
      </c>
      <c r="K18" s="11" t="n">
        <f>49172</f>
        <v>49172.0</v>
      </c>
    </row>
    <row r="19">
      <c r="A19" s="8" t="s">
        <v>33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34</v>
      </c>
      <c r="B20" s="9" t="s">
        <v>17</v>
      </c>
      <c r="C20" s="9" t="s">
        <v>18</v>
      </c>
      <c r="D20" s="10"/>
      <c r="E20" s="11"/>
      <c r="F20" s="10"/>
      <c r="G20" s="11"/>
      <c r="H20" s="10"/>
      <c r="I20" s="11"/>
      <c r="J20" s="10"/>
      <c r="K20" s="11"/>
    </row>
    <row r="21">
      <c r="A21" s="8" t="s">
        <v>35</v>
      </c>
      <c r="B21" s="9" t="s">
        <v>17</v>
      </c>
      <c r="C21" s="9" t="s">
        <v>18</v>
      </c>
      <c r="D21" s="10"/>
      <c r="E21" s="11" t="n">
        <f>21739</f>
        <v>21739.0</v>
      </c>
      <c r="F21" s="10"/>
      <c r="G21" s="11" t="n">
        <f>286708614000</f>
        <v>2.86708614E11</v>
      </c>
      <c r="H21" s="10"/>
      <c r="I21" s="11" t="str">
        <f>"－"</f>
        <v>－</v>
      </c>
      <c r="J21" s="10"/>
      <c r="K21" s="11" t="n">
        <f>48964</f>
        <v>48964.0</v>
      </c>
    </row>
    <row r="22">
      <c r="A22" s="8" t="s">
        <v>36</v>
      </c>
      <c r="B22" s="9" t="s">
        <v>17</v>
      </c>
      <c r="C22" s="9" t="s">
        <v>18</v>
      </c>
      <c r="D22" s="10"/>
      <c r="E22" s="11" t="n">
        <f>12852</f>
        <v>12852.0</v>
      </c>
      <c r="F22" s="10"/>
      <c r="G22" s="11" t="n">
        <f>169665055000</f>
        <v>1.69665055E11</v>
      </c>
      <c r="H22" s="10"/>
      <c r="I22" s="11" t="str">
        <f>"－"</f>
        <v>－</v>
      </c>
      <c r="J22" s="10"/>
      <c r="K22" s="11" t="n">
        <f>48906</f>
        <v>48906.0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16756</f>
        <v>16756.0</v>
      </c>
      <c r="F23" s="10"/>
      <c r="G23" s="11" t="n">
        <f>219580362000</f>
        <v>2.19580362E11</v>
      </c>
      <c r="H23" s="10"/>
      <c r="I23" s="11" t="n">
        <f>2</f>
        <v>2.0</v>
      </c>
      <c r="J23" s="10"/>
      <c r="K23" s="11" t="n">
        <f>48758</f>
        <v>48758.0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28622</f>
        <v>28622.0</v>
      </c>
      <c r="F24" s="10"/>
      <c r="G24" s="11" t="n">
        <f>372911045000</f>
        <v>3.72911045E11</v>
      </c>
      <c r="H24" s="10"/>
      <c r="I24" s="11" t="n">
        <f>2</f>
        <v>2.0</v>
      </c>
      <c r="J24" s="10"/>
      <c r="K24" s="11" t="n">
        <f>46674</f>
        <v>46674.0</v>
      </c>
    </row>
    <row r="25">
      <c r="A25" s="8" t="s">
        <v>39</v>
      </c>
      <c r="B25" s="9" t="s">
        <v>17</v>
      </c>
      <c r="C25" s="9" t="s">
        <v>18</v>
      </c>
      <c r="D25" s="10"/>
      <c r="E25" s="11" t="n">
        <f>24037</f>
        <v>24037.0</v>
      </c>
      <c r="F25" s="10"/>
      <c r="G25" s="11" t="n">
        <f>317234789000</f>
        <v>3.17234789E11</v>
      </c>
      <c r="H25" s="10" t="s">
        <v>30</v>
      </c>
      <c r="I25" s="11" t="n">
        <f>3</f>
        <v>3.0</v>
      </c>
      <c r="J25" s="10"/>
      <c r="K25" s="11" t="n">
        <f>47152</f>
        <v>47152.0</v>
      </c>
    </row>
    <row r="26">
      <c r="A26" s="8" t="s">
        <v>40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41</v>
      </c>
      <c r="B27" s="9" t="s">
        <v>17</v>
      </c>
      <c r="C27" s="9" t="s">
        <v>18</v>
      </c>
      <c r="D27" s="10"/>
      <c r="E27" s="11"/>
      <c r="F27" s="10"/>
      <c r="G27" s="11"/>
      <c r="H27" s="10"/>
      <c r="I27" s="11"/>
      <c r="J27" s="10"/>
      <c r="K27" s="11"/>
    </row>
    <row r="28">
      <c r="A28" s="8" t="s">
        <v>42</v>
      </c>
      <c r="B28" s="9" t="s">
        <v>17</v>
      </c>
      <c r="C28" s="9" t="s">
        <v>18</v>
      </c>
      <c r="D28" s="10"/>
      <c r="E28" s="11" t="n">
        <f>21954</f>
        <v>21954.0</v>
      </c>
      <c r="F28" s="10"/>
      <c r="G28" s="11" t="n">
        <f>290695588000</f>
        <v>2.90695588E11</v>
      </c>
      <c r="H28" s="10"/>
      <c r="I28" s="11" t="n">
        <f>1</f>
        <v>1.0</v>
      </c>
      <c r="J28" s="10"/>
      <c r="K28" s="11" t="n">
        <f>46896</f>
        <v>46896.0</v>
      </c>
    </row>
    <row r="29">
      <c r="A29" s="8" t="s">
        <v>43</v>
      </c>
      <c r="B29" s="9" t="s">
        <v>17</v>
      </c>
      <c r="C29" s="9" t="s">
        <v>18</v>
      </c>
      <c r="D29" s="10"/>
      <c r="E29" s="11" t="n">
        <f>13069</f>
        <v>13069.0</v>
      </c>
      <c r="F29" s="10"/>
      <c r="G29" s="11" t="n">
        <f>173477677000</f>
        <v>1.73477677E11</v>
      </c>
      <c r="H29" s="10"/>
      <c r="I29" s="11" t="str">
        <f>"－"</f>
        <v>－</v>
      </c>
      <c r="J29" s="10"/>
      <c r="K29" s="11" t="n">
        <f>46946</f>
        <v>46946.0</v>
      </c>
    </row>
    <row r="30">
      <c r="A30" s="8" t="s">
        <v>44</v>
      </c>
      <c r="B30" s="9" t="s">
        <v>17</v>
      </c>
      <c r="C30" s="9" t="s">
        <v>18</v>
      </c>
      <c r="D30" s="10"/>
      <c r="E30" s="11" t="n">
        <f>10653</f>
        <v>10653.0</v>
      </c>
      <c r="F30" s="10"/>
      <c r="G30" s="11" t="n">
        <f>141518030000</f>
        <v>1.4151803E11</v>
      </c>
      <c r="H30" s="10"/>
      <c r="I30" s="11" t="n">
        <f>1</f>
        <v>1.0</v>
      </c>
      <c r="J30" s="10"/>
      <c r="K30" s="11" t="n">
        <f>46832</f>
        <v>46832.0</v>
      </c>
    </row>
    <row r="31">
      <c r="A31" s="8" t="s">
        <v>45</v>
      </c>
      <c r="B31" s="9" t="s">
        <v>17</v>
      </c>
      <c r="C31" s="9" t="s">
        <v>18</v>
      </c>
      <c r="D31" s="10" t="s">
        <v>20</v>
      </c>
      <c r="E31" s="11" t="n">
        <f>10432</f>
        <v>10432.0</v>
      </c>
      <c r="F31" s="10" t="s">
        <v>20</v>
      </c>
      <c r="G31" s="11" t="n">
        <f>139253385000</f>
        <v>1.39253385E11</v>
      </c>
      <c r="H31" s="10"/>
      <c r="I31" s="11" t="str">
        <f>"－"</f>
        <v>－</v>
      </c>
      <c r="J31" s="10"/>
      <c r="K31" s="11" t="n">
        <f>47234</f>
        <v>47234.0</v>
      </c>
    </row>
    <row r="32">
      <c r="A32" s="8" t="s">
        <v>46</v>
      </c>
      <c r="B32" s="9" t="s">
        <v>17</v>
      </c>
      <c r="C32" s="9" t="s">
        <v>18</v>
      </c>
      <c r="D32" s="10"/>
      <c r="E32" s="11" t="n">
        <f>26104</f>
        <v>26104.0</v>
      </c>
      <c r="F32" s="10"/>
      <c r="G32" s="11" t="n">
        <f>350332660000</f>
        <v>3.5033266E11</v>
      </c>
      <c r="H32" s="10"/>
      <c r="I32" s="11" t="str">
        <f>"－"</f>
        <v>－</v>
      </c>
      <c r="J32" s="10"/>
      <c r="K32" s="11" t="n">
        <f>46000</f>
        <v>46000.0</v>
      </c>
    </row>
    <row r="33">
      <c r="A33" s="8" t="s">
        <v>47</v>
      </c>
      <c r="B33" s="9" t="s">
        <v>17</v>
      </c>
      <c r="C33" s="9" t="s">
        <v>18</v>
      </c>
      <c r="D33" s="10"/>
      <c r="E33" s="11"/>
      <c r="F33" s="10"/>
      <c r="G33" s="11"/>
      <c r="H33" s="10"/>
      <c r="I33" s="11"/>
      <c r="J33" s="10"/>
      <c r="K33" s="11"/>
    </row>
    <row r="34">
      <c r="A34" s="8" t="s">
        <v>48</v>
      </c>
      <c r="B34" s="9" t="s">
        <v>17</v>
      </c>
      <c r="C34" s="9" t="s">
        <v>18</v>
      </c>
      <c r="D34" s="10"/>
      <c r="E34" s="11"/>
      <c r="F34" s="10"/>
      <c r="G34" s="11"/>
      <c r="H34" s="10"/>
      <c r="I34" s="11"/>
      <c r="J34" s="10"/>
      <c r="K34" s="11"/>
    </row>
    <row r="35">
      <c r="A35" s="8" t="s">
        <v>49</v>
      </c>
      <c r="B35" s="9" t="s">
        <v>17</v>
      </c>
      <c r="C35" s="9" t="s">
        <v>18</v>
      </c>
      <c r="D35" s="10"/>
      <c r="E35" s="11" t="n">
        <f>22719</f>
        <v>22719.0</v>
      </c>
      <c r="F35" s="10"/>
      <c r="G35" s="11" t="n">
        <f>304142110000</f>
        <v>3.0414211E11</v>
      </c>
      <c r="H35" s="10"/>
      <c r="I35" s="11" t="str">
        <f>"－"</f>
        <v>－</v>
      </c>
      <c r="J35" s="10"/>
      <c r="K35" s="11" t="n">
        <f>48180</f>
        <v>48180.0</v>
      </c>
    </row>
    <row r="36">
      <c r="A36" s="8" t="s">
        <v>50</v>
      </c>
      <c r="B36" s="9" t="s">
        <v>17</v>
      </c>
      <c r="C36" s="9" t="s">
        <v>18</v>
      </c>
      <c r="D36" s="10"/>
      <c r="E36" s="11"/>
      <c r="F36" s="10"/>
      <c r="G36" s="11"/>
      <c r="H36" s="10"/>
      <c r="I36" s="11"/>
      <c r="J36" s="10"/>
      <c r="K36" s="11"/>
    </row>
    <row r="37">
      <c r="A37" s="8" t="s">
        <v>16</v>
      </c>
      <c r="B37" s="9" t="s">
        <v>51</v>
      </c>
      <c r="C37" s="9" t="s">
        <v>52</v>
      </c>
      <c r="D37" s="10"/>
      <c r="E37" s="11"/>
      <c r="F37" s="10"/>
      <c r="G37" s="11"/>
      <c r="H37" s="10"/>
      <c r="I37" s="11"/>
      <c r="J37" s="10"/>
      <c r="K37" s="11"/>
    </row>
    <row r="38">
      <c r="A38" s="8" t="s">
        <v>19</v>
      </c>
      <c r="B38" s="9" t="s">
        <v>51</v>
      </c>
      <c r="C38" s="9" t="s">
        <v>52</v>
      </c>
      <c r="D38" s="10"/>
      <c r="E38" s="11" t="n">
        <f>11037</f>
        <v>11037.0</v>
      </c>
      <c r="F38" s="10"/>
      <c r="G38" s="11" t="n">
        <f>14161625550</f>
        <v>1.416162555E10</v>
      </c>
      <c r="H38" s="10" t="s">
        <v>53</v>
      </c>
      <c r="I38" s="11" t="str">
        <f>"－"</f>
        <v>－</v>
      </c>
      <c r="J38" s="10"/>
      <c r="K38" s="11" t="n">
        <f>7946</f>
        <v>7946.0</v>
      </c>
    </row>
    <row r="39">
      <c r="A39" s="8" t="s">
        <v>21</v>
      </c>
      <c r="B39" s="9" t="s">
        <v>51</v>
      </c>
      <c r="C39" s="9" t="s">
        <v>52</v>
      </c>
      <c r="D39" s="10"/>
      <c r="E39" s="11" t="n">
        <f>7526</f>
        <v>7526.0</v>
      </c>
      <c r="F39" s="10"/>
      <c r="G39" s="11" t="n">
        <f>9625960000</f>
        <v>9.62596E9</v>
      </c>
      <c r="H39" s="10"/>
      <c r="I39" s="11" t="str">
        <f>"－"</f>
        <v>－</v>
      </c>
      <c r="J39" s="10"/>
      <c r="K39" s="11" t="n">
        <f>7837</f>
        <v>7837.0</v>
      </c>
    </row>
    <row r="40">
      <c r="A40" s="8" t="s">
        <v>22</v>
      </c>
      <c r="B40" s="9" t="s">
        <v>51</v>
      </c>
      <c r="C40" s="9" t="s">
        <v>52</v>
      </c>
      <c r="D40" s="10"/>
      <c r="E40" s="11" t="n">
        <f>7560</f>
        <v>7560.0</v>
      </c>
      <c r="F40" s="10"/>
      <c r="G40" s="11" t="n">
        <f>9666758900</f>
        <v>9.6667589E9</v>
      </c>
      <c r="H40" s="10"/>
      <c r="I40" s="11" t="str">
        <f>"－"</f>
        <v>－</v>
      </c>
      <c r="J40" s="10"/>
      <c r="K40" s="11" t="n">
        <f>7861</f>
        <v>7861.0</v>
      </c>
    </row>
    <row r="41">
      <c r="A41" s="8" t="s">
        <v>23</v>
      </c>
      <c r="B41" s="9" t="s">
        <v>51</v>
      </c>
      <c r="C41" s="9" t="s">
        <v>52</v>
      </c>
      <c r="D41" s="10"/>
      <c r="E41" s="11" t="n">
        <f>7374</f>
        <v>7374.0</v>
      </c>
      <c r="F41" s="10"/>
      <c r="G41" s="11" t="n">
        <f>9498804900</f>
        <v>9.4988049E9</v>
      </c>
      <c r="H41" s="10"/>
      <c r="I41" s="11" t="str">
        <f>"－"</f>
        <v>－</v>
      </c>
      <c r="J41" s="10"/>
      <c r="K41" s="11" t="n">
        <f>8016</f>
        <v>8016.0</v>
      </c>
    </row>
    <row r="42">
      <c r="A42" s="8" t="s">
        <v>24</v>
      </c>
      <c r="B42" s="9" t="s">
        <v>51</v>
      </c>
      <c r="C42" s="9" t="s">
        <v>52</v>
      </c>
      <c r="D42" s="10"/>
      <c r="E42" s="11" t="n">
        <f>8803</f>
        <v>8803.0</v>
      </c>
      <c r="F42" s="10"/>
      <c r="G42" s="11" t="n">
        <f>11262648150</f>
        <v>1.126264815E10</v>
      </c>
      <c r="H42" s="10"/>
      <c r="I42" s="11" t="str">
        <f>"－"</f>
        <v>－</v>
      </c>
      <c r="J42" s="10" t="s">
        <v>30</v>
      </c>
      <c r="K42" s="11" t="n">
        <f>8027</f>
        <v>8027.0</v>
      </c>
    </row>
    <row r="43">
      <c r="A43" s="8" t="s">
        <v>25</v>
      </c>
      <c r="B43" s="9" t="s">
        <v>51</v>
      </c>
      <c r="C43" s="9" t="s">
        <v>52</v>
      </c>
      <c r="D43" s="10"/>
      <c r="E43" s="11"/>
      <c r="F43" s="10"/>
      <c r="G43" s="11"/>
      <c r="H43" s="10"/>
      <c r="I43" s="11"/>
      <c r="J43" s="10"/>
      <c r="K43" s="11"/>
    </row>
    <row r="44">
      <c r="A44" s="8" t="s">
        <v>26</v>
      </c>
      <c r="B44" s="9" t="s">
        <v>51</v>
      </c>
      <c r="C44" s="9" t="s">
        <v>52</v>
      </c>
      <c r="D44" s="10"/>
      <c r="E44" s="11"/>
      <c r="F44" s="10"/>
      <c r="G44" s="11"/>
      <c r="H44" s="10"/>
      <c r="I44" s="11"/>
      <c r="J44" s="10"/>
      <c r="K44" s="11"/>
    </row>
    <row r="45">
      <c r="A45" s="8" t="s">
        <v>27</v>
      </c>
      <c r="B45" s="9" t="s">
        <v>51</v>
      </c>
      <c r="C45" s="9" t="s">
        <v>52</v>
      </c>
      <c r="D45" s="10"/>
      <c r="E45" s="11" t="n">
        <f>8165</f>
        <v>8165.0</v>
      </c>
      <c r="F45" s="10"/>
      <c r="G45" s="11" t="n">
        <f>10444372250</f>
        <v>1.044437225E10</v>
      </c>
      <c r="H45" s="10"/>
      <c r="I45" s="11" t="str">
        <f>"－"</f>
        <v>－</v>
      </c>
      <c r="J45" s="10"/>
      <c r="K45" s="11" t="n">
        <f>8022</f>
        <v>8022.0</v>
      </c>
    </row>
    <row r="46">
      <c r="A46" s="8" t="s">
        <v>28</v>
      </c>
      <c r="B46" s="9" t="s">
        <v>51</v>
      </c>
      <c r="C46" s="9" t="s">
        <v>52</v>
      </c>
      <c r="D46" s="10"/>
      <c r="E46" s="11" t="n">
        <f>7407</f>
        <v>7407.0</v>
      </c>
      <c r="F46" s="10"/>
      <c r="G46" s="11" t="n">
        <f>9620339950</f>
        <v>9.62033995E9</v>
      </c>
      <c r="H46" s="10"/>
      <c r="I46" s="11" t="str">
        <f>"－"</f>
        <v>－</v>
      </c>
      <c r="J46" s="10"/>
      <c r="K46" s="11" t="n">
        <f>7920</f>
        <v>7920.0</v>
      </c>
    </row>
    <row r="47">
      <c r="A47" s="8" t="s">
        <v>29</v>
      </c>
      <c r="B47" s="9" t="s">
        <v>51</v>
      </c>
      <c r="C47" s="9" t="s">
        <v>52</v>
      </c>
      <c r="D47" s="10"/>
      <c r="E47" s="11" t="n">
        <f>12232</f>
        <v>12232.0</v>
      </c>
      <c r="F47" s="10"/>
      <c r="G47" s="11" t="n">
        <f>16130612900</f>
        <v>1.61306129E10</v>
      </c>
      <c r="H47" s="10"/>
      <c r="I47" s="11" t="str">
        <f>"－"</f>
        <v>－</v>
      </c>
      <c r="J47" s="10"/>
      <c r="K47" s="11" t="n">
        <f>7836</f>
        <v>7836.0</v>
      </c>
    </row>
    <row r="48">
      <c r="A48" s="8" t="s">
        <v>31</v>
      </c>
      <c r="B48" s="9" t="s">
        <v>51</v>
      </c>
      <c r="C48" s="9" t="s">
        <v>52</v>
      </c>
      <c r="D48" s="10"/>
      <c r="E48" s="11" t="n">
        <f>12326</f>
        <v>12326.0</v>
      </c>
      <c r="F48" s="10"/>
      <c r="G48" s="11" t="n">
        <f>16417522750</f>
        <v>1.641752275E10</v>
      </c>
      <c r="H48" s="10"/>
      <c r="I48" s="11" t="str">
        <f>"－"</f>
        <v>－</v>
      </c>
      <c r="J48" s="10"/>
      <c r="K48" s="11" t="n">
        <f>7719</f>
        <v>7719.0</v>
      </c>
    </row>
    <row r="49">
      <c r="A49" s="8" t="s">
        <v>32</v>
      </c>
      <c r="B49" s="9" t="s">
        <v>51</v>
      </c>
      <c r="C49" s="9" t="s">
        <v>52</v>
      </c>
      <c r="D49" s="10" t="s">
        <v>30</v>
      </c>
      <c r="E49" s="11" t="n">
        <f>12855</f>
        <v>12855.0</v>
      </c>
      <c r="F49" s="10" t="s">
        <v>30</v>
      </c>
      <c r="G49" s="11" t="n">
        <f>17067625600</f>
        <v>1.70676256E10</v>
      </c>
      <c r="H49" s="10"/>
      <c r="I49" s="11" t="str">
        <f>"－"</f>
        <v>－</v>
      </c>
      <c r="J49" s="10"/>
      <c r="K49" s="11" t="n">
        <f>7733</f>
        <v>7733.0</v>
      </c>
    </row>
    <row r="50">
      <c r="A50" s="8" t="s">
        <v>33</v>
      </c>
      <c r="B50" s="9" t="s">
        <v>51</v>
      </c>
      <c r="C50" s="9" t="s">
        <v>52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34</v>
      </c>
      <c r="B51" s="9" t="s">
        <v>51</v>
      </c>
      <c r="C51" s="9" t="s">
        <v>52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35</v>
      </c>
      <c r="B52" s="9" t="s">
        <v>51</v>
      </c>
      <c r="C52" s="9" t="s">
        <v>52</v>
      </c>
      <c r="D52" s="10"/>
      <c r="E52" s="11" t="n">
        <f>7693</f>
        <v>7693.0</v>
      </c>
      <c r="F52" s="10"/>
      <c r="G52" s="11" t="n">
        <f>10145771250</f>
        <v>1.014577125E10</v>
      </c>
      <c r="H52" s="10"/>
      <c r="I52" s="11" t="str">
        <f>"－"</f>
        <v>－</v>
      </c>
      <c r="J52" s="10"/>
      <c r="K52" s="11" t="n">
        <f>7872</f>
        <v>7872.0</v>
      </c>
    </row>
    <row r="53">
      <c r="A53" s="8" t="s">
        <v>36</v>
      </c>
      <c r="B53" s="9" t="s">
        <v>51</v>
      </c>
      <c r="C53" s="9" t="s">
        <v>52</v>
      </c>
      <c r="D53" s="10"/>
      <c r="E53" s="11" t="n">
        <f>4798</f>
        <v>4798.0</v>
      </c>
      <c r="F53" s="10"/>
      <c r="G53" s="11" t="n">
        <f>6332135550</f>
        <v>6.33213555E9</v>
      </c>
      <c r="H53" s="10"/>
      <c r="I53" s="11" t="str">
        <f>"－"</f>
        <v>－</v>
      </c>
      <c r="J53" s="10"/>
      <c r="K53" s="11" t="n">
        <f>7941</f>
        <v>7941.0</v>
      </c>
    </row>
    <row r="54">
      <c r="A54" s="8" t="s">
        <v>37</v>
      </c>
      <c r="B54" s="9" t="s">
        <v>51</v>
      </c>
      <c r="C54" s="9" t="s">
        <v>52</v>
      </c>
      <c r="D54" s="10"/>
      <c r="E54" s="11" t="n">
        <f>7714</f>
        <v>7714.0</v>
      </c>
      <c r="F54" s="10"/>
      <c r="G54" s="11" t="n">
        <f>10105345550</f>
        <v>1.010534555E10</v>
      </c>
      <c r="H54" s="10"/>
      <c r="I54" s="11" t="str">
        <f>"－"</f>
        <v>－</v>
      </c>
      <c r="J54" s="10"/>
      <c r="K54" s="11" t="n">
        <f>7847</f>
        <v>7847.0</v>
      </c>
    </row>
    <row r="55">
      <c r="A55" s="8" t="s">
        <v>38</v>
      </c>
      <c r="B55" s="9" t="s">
        <v>51</v>
      </c>
      <c r="C55" s="9" t="s">
        <v>52</v>
      </c>
      <c r="D55" s="10"/>
      <c r="E55" s="11" t="n">
        <f>10527</f>
        <v>10527.0</v>
      </c>
      <c r="F55" s="10"/>
      <c r="G55" s="11" t="n">
        <f>13714623800</f>
        <v>1.37146238E10</v>
      </c>
      <c r="H55" s="10"/>
      <c r="I55" s="11" t="str">
        <f>"－"</f>
        <v>－</v>
      </c>
      <c r="J55" s="10"/>
      <c r="K55" s="11" t="n">
        <f>7800</f>
        <v>7800.0</v>
      </c>
    </row>
    <row r="56">
      <c r="A56" s="8" t="s">
        <v>39</v>
      </c>
      <c r="B56" s="9" t="s">
        <v>51</v>
      </c>
      <c r="C56" s="9" t="s">
        <v>52</v>
      </c>
      <c r="D56" s="10"/>
      <c r="E56" s="11" t="n">
        <f>9377</f>
        <v>9377.0</v>
      </c>
      <c r="F56" s="10"/>
      <c r="G56" s="11" t="n">
        <f>12374490850</f>
        <v>1.237449085E10</v>
      </c>
      <c r="H56" s="10"/>
      <c r="I56" s="11" t="str">
        <f>"－"</f>
        <v>－</v>
      </c>
      <c r="J56" s="10"/>
      <c r="K56" s="11" t="n">
        <f>7740</f>
        <v>7740.0</v>
      </c>
    </row>
    <row r="57">
      <c r="A57" s="8" t="s">
        <v>40</v>
      </c>
      <c r="B57" s="9" t="s">
        <v>51</v>
      </c>
      <c r="C57" s="9" t="s">
        <v>52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41</v>
      </c>
      <c r="B58" s="9" t="s">
        <v>51</v>
      </c>
      <c r="C58" s="9" t="s">
        <v>52</v>
      </c>
      <c r="D58" s="10"/>
      <c r="E58" s="11"/>
      <c r="F58" s="10"/>
      <c r="G58" s="11"/>
      <c r="H58" s="10"/>
      <c r="I58" s="11"/>
      <c r="J58" s="10"/>
      <c r="K58" s="11"/>
    </row>
    <row r="59">
      <c r="A59" s="8" t="s">
        <v>42</v>
      </c>
      <c r="B59" s="9" t="s">
        <v>51</v>
      </c>
      <c r="C59" s="9" t="s">
        <v>52</v>
      </c>
      <c r="D59" s="10"/>
      <c r="E59" s="11" t="n">
        <f>6587</f>
        <v>6587.0</v>
      </c>
      <c r="F59" s="10"/>
      <c r="G59" s="11" t="n">
        <f>8715314400</f>
        <v>8.7153144E9</v>
      </c>
      <c r="H59" s="10"/>
      <c r="I59" s="11" t="str">
        <f>"－"</f>
        <v>－</v>
      </c>
      <c r="J59" s="10"/>
      <c r="K59" s="11" t="n">
        <f>7474</f>
        <v>7474.0</v>
      </c>
    </row>
    <row r="60">
      <c r="A60" s="8" t="s">
        <v>43</v>
      </c>
      <c r="B60" s="9" t="s">
        <v>51</v>
      </c>
      <c r="C60" s="9" t="s">
        <v>52</v>
      </c>
      <c r="D60" s="10"/>
      <c r="E60" s="11" t="n">
        <f>3954</f>
        <v>3954.0</v>
      </c>
      <c r="F60" s="10"/>
      <c r="G60" s="11" t="n">
        <f>5247788550</f>
        <v>5.24778855E9</v>
      </c>
      <c r="H60" s="10"/>
      <c r="I60" s="11" t="str">
        <f>"－"</f>
        <v>－</v>
      </c>
      <c r="J60" s="10"/>
      <c r="K60" s="11" t="n">
        <f>7411</f>
        <v>7411.0</v>
      </c>
    </row>
    <row r="61">
      <c r="A61" s="8" t="s">
        <v>44</v>
      </c>
      <c r="B61" s="9" t="s">
        <v>51</v>
      </c>
      <c r="C61" s="9" t="s">
        <v>52</v>
      </c>
      <c r="D61" s="10" t="s">
        <v>20</v>
      </c>
      <c r="E61" s="11" t="n">
        <f>2797</f>
        <v>2797.0</v>
      </c>
      <c r="F61" s="10" t="s">
        <v>20</v>
      </c>
      <c r="G61" s="11" t="n">
        <f>3714093400</f>
        <v>3.7140934E9</v>
      </c>
      <c r="H61" s="10"/>
      <c r="I61" s="11" t="str">
        <f>"－"</f>
        <v>－</v>
      </c>
      <c r="J61" s="10"/>
      <c r="K61" s="11" t="n">
        <f>7216</f>
        <v>7216.0</v>
      </c>
    </row>
    <row r="62">
      <c r="A62" s="8" t="s">
        <v>45</v>
      </c>
      <c r="B62" s="9" t="s">
        <v>51</v>
      </c>
      <c r="C62" s="9" t="s">
        <v>52</v>
      </c>
      <c r="D62" s="10"/>
      <c r="E62" s="11" t="n">
        <f>2901</f>
        <v>2901.0</v>
      </c>
      <c r="F62" s="10"/>
      <c r="G62" s="11" t="n">
        <f>3871961950</f>
        <v>3.87196195E9</v>
      </c>
      <c r="H62" s="10"/>
      <c r="I62" s="11" t="str">
        <f>"－"</f>
        <v>－</v>
      </c>
      <c r="J62" s="10"/>
      <c r="K62" s="11" t="n">
        <f>7215</f>
        <v>7215.0</v>
      </c>
    </row>
    <row r="63">
      <c r="A63" s="8" t="s">
        <v>46</v>
      </c>
      <c r="B63" s="9" t="s">
        <v>51</v>
      </c>
      <c r="C63" s="9" t="s">
        <v>52</v>
      </c>
      <c r="D63" s="10"/>
      <c r="E63" s="11" t="n">
        <f>6873</f>
        <v>6873.0</v>
      </c>
      <c r="F63" s="10"/>
      <c r="G63" s="11" t="n">
        <f>9224826850</f>
        <v>9.22482685E9</v>
      </c>
      <c r="H63" s="10"/>
      <c r="I63" s="11" t="str">
        <f>"－"</f>
        <v>－</v>
      </c>
      <c r="J63" s="10" t="s">
        <v>20</v>
      </c>
      <c r="K63" s="11" t="n">
        <f>7135</f>
        <v>7135.0</v>
      </c>
    </row>
    <row r="64">
      <c r="A64" s="8" t="s">
        <v>47</v>
      </c>
      <c r="B64" s="9" t="s">
        <v>51</v>
      </c>
      <c r="C64" s="9" t="s">
        <v>52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48</v>
      </c>
      <c r="B65" s="9" t="s">
        <v>51</v>
      </c>
      <c r="C65" s="9" t="s">
        <v>52</v>
      </c>
      <c r="D65" s="10"/>
      <c r="E65" s="11"/>
      <c r="F65" s="10"/>
      <c r="G65" s="11"/>
      <c r="H65" s="10"/>
      <c r="I65" s="11"/>
      <c r="J65" s="10"/>
      <c r="K65" s="11"/>
    </row>
    <row r="66">
      <c r="A66" s="8" t="s">
        <v>49</v>
      </c>
      <c r="B66" s="9" t="s">
        <v>51</v>
      </c>
      <c r="C66" s="9" t="s">
        <v>52</v>
      </c>
      <c r="D66" s="10"/>
      <c r="E66" s="11" t="n">
        <f>5193</f>
        <v>5193.0</v>
      </c>
      <c r="F66" s="10"/>
      <c r="G66" s="11" t="n">
        <f>6955066450</f>
        <v>6.95506645E9</v>
      </c>
      <c r="H66" s="10"/>
      <c r="I66" s="11" t="str">
        <f>"－"</f>
        <v>－</v>
      </c>
      <c r="J66" s="10"/>
      <c r="K66" s="11" t="n">
        <f>7189</f>
        <v>7189.0</v>
      </c>
    </row>
    <row r="67">
      <c r="A67" s="8" t="s">
        <v>50</v>
      </c>
      <c r="B67" s="9" t="s">
        <v>51</v>
      </c>
      <c r="C67" s="9" t="s">
        <v>52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16</v>
      </c>
      <c r="B68" s="9" t="s">
        <v>54</v>
      </c>
      <c r="C68" s="9" t="s">
        <v>55</v>
      </c>
      <c r="D68" s="10"/>
      <c r="E68" s="11"/>
      <c r="F68" s="10"/>
      <c r="G68" s="11"/>
      <c r="H68" s="10"/>
      <c r="I68" s="11"/>
      <c r="J68" s="10"/>
      <c r="K68" s="11"/>
    </row>
    <row r="69">
      <c r="A69" s="8" t="s">
        <v>19</v>
      </c>
      <c r="B69" s="9" t="s">
        <v>54</v>
      </c>
      <c r="C69" s="9" t="s">
        <v>55</v>
      </c>
      <c r="D69" s="10" t="s">
        <v>30</v>
      </c>
      <c r="E69" s="11" t="n">
        <f>10309</f>
        <v>10309.0</v>
      </c>
      <c r="F69" s="10" t="s">
        <v>30</v>
      </c>
      <c r="G69" s="11" t="n">
        <f>13629984000</f>
        <v>1.3629984E10</v>
      </c>
      <c r="H69" s="10" t="s">
        <v>53</v>
      </c>
      <c r="I69" s="11" t="str">
        <f>"－"</f>
        <v>－</v>
      </c>
      <c r="J69" s="10" t="s">
        <v>30</v>
      </c>
      <c r="K69" s="11" t="n">
        <f>66179</f>
        <v>66179.0</v>
      </c>
    </row>
    <row r="70">
      <c r="A70" s="8" t="s">
        <v>21</v>
      </c>
      <c r="B70" s="9" t="s">
        <v>54</v>
      </c>
      <c r="C70" s="9" t="s">
        <v>55</v>
      </c>
      <c r="D70" s="10"/>
      <c r="E70" s="11" t="n">
        <f>3917</f>
        <v>3917.0</v>
      </c>
      <c r="F70" s="10"/>
      <c r="G70" s="11" t="n">
        <f>5208761000</f>
        <v>5.208761E9</v>
      </c>
      <c r="H70" s="10"/>
      <c r="I70" s="11" t="str">
        <f>"－"</f>
        <v>－</v>
      </c>
      <c r="J70" s="10"/>
      <c r="K70" s="11" t="n">
        <f>64509</f>
        <v>64509.0</v>
      </c>
    </row>
    <row r="71">
      <c r="A71" s="8" t="s">
        <v>22</v>
      </c>
      <c r="B71" s="9" t="s">
        <v>54</v>
      </c>
      <c r="C71" s="9" t="s">
        <v>55</v>
      </c>
      <c r="D71" s="10"/>
      <c r="E71" s="11" t="n">
        <f>4681</f>
        <v>4681.0</v>
      </c>
      <c r="F71" s="10"/>
      <c r="G71" s="11" t="n">
        <f>6178677400</f>
        <v>6.1786774E9</v>
      </c>
      <c r="H71" s="10"/>
      <c r="I71" s="11" t="str">
        <f>"－"</f>
        <v>－</v>
      </c>
      <c r="J71" s="10"/>
      <c r="K71" s="11" t="n">
        <f>64278</f>
        <v>64278.0</v>
      </c>
    </row>
    <row r="72">
      <c r="A72" s="8" t="s">
        <v>23</v>
      </c>
      <c r="B72" s="9" t="s">
        <v>54</v>
      </c>
      <c r="C72" s="9" t="s">
        <v>55</v>
      </c>
      <c r="D72" s="10"/>
      <c r="E72" s="11" t="n">
        <f>3399</f>
        <v>3399.0</v>
      </c>
      <c r="F72" s="10"/>
      <c r="G72" s="11" t="n">
        <f>4500429300</f>
        <v>4.5004293E9</v>
      </c>
      <c r="H72" s="10"/>
      <c r="I72" s="11" t="str">
        <f>"－"</f>
        <v>－</v>
      </c>
      <c r="J72" s="10"/>
      <c r="K72" s="11" t="n">
        <f>63662</f>
        <v>63662.0</v>
      </c>
    </row>
    <row r="73">
      <c r="A73" s="8" t="s">
        <v>24</v>
      </c>
      <c r="B73" s="9" t="s">
        <v>54</v>
      </c>
      <c r="C73" s="9" t="s">
        <v>55</v>
      </c>
      <c r="D73" s="10"/>
      <c r="E73" s="11" t="n">
        <f>4188</f>
        <v>4188.0</v>
      </c>
      <c r="F73" s="10"/>
      <c r="G73" s="11" t="n">
        <f>5497241100</f>
        <v>5.4972411E9</v>
      </c>
      <c r="H73" s="10"/>
      <c r="I73" s="11" t="str">
        <f>"－"</f>
        <v>－</v>
      </c>
      <c r="J73" s="10"/>
      <c r="K73" s="11" t="n">
        <f>62764</f>
        <v>62764.0</v>
      </c>
    </row>
    <row r="74">
      <c r="A74" s="8" t="s">
        <v>25</v>
      </c>
      <c r="B74" s="9" t="s">
        <v>54</v>
      </c>
      <c r="C74" s="9" t="s">
        <v>55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26</v>
      </c>
      <c r="B75" s="9" t="s">
        <v>54</v>
      </c>
      <c r="C75" s="9" t="s">
        <v>55</v>
      </c>
      <c r="D75" s="10"/>
      <c r="E75" s="11"/>
      <c r="F75" s="10"/>
      <c r="G75" s="11"/>
      <c r="H75" s="10"/>
      <c r="I75" s="11"/>
      <c r="J75" s="10"/>
      <c r="K75" s="11"/>
    </row>
    <row r="76">
      <c r="A76" s="8" t="s">
        <v>27</v>
      </c>
      <c r="B76" s="9" t="s">
        <v>54</v>
      </c>
      <c r="C76" s="9" t="s">
        <v>55</v>
      </c>
      <c r="D76" s="10"/>
      <c r="E76" s="11" t="n">
        <f>3202</f>
        <v>3202.0</v>
      </c>
      <c r="F76" s="10"/>
      <c r="G76" s="11" t="n">
        <f>4205073500</f>
        <v>4.2050735E9</v>
      </c>
      <c r="H76" s="10"/>
      <c r="I76" s="11" t="str">
        <f>"－"</f>
        <v>－</v>
      </c>
      <c r="J76" s="10"/>
      <c r="K76" s="11" t="n">
        <f>61989</f>
        <v>61989.0</v>
      </c>
    </row>
    <row r="77">
      <c r="A77" s="8" t="s">
        <v>28</v>
      </c>
      <c r="B77" s="9" t="s">
        <v>54</v>
      </c>
      <c r="C77" s="9" t="s">
        <v>55</v>
      </c>
      <c r="D77" s="10"/>
      <c r="E77" s="11" t="n">
        <f>3129</f>
        <v>3129.0</v>
      </c>
      <c r="F77" s="10"/>
      <c r="G77" s="11" t="n">
        <f>4171244200</f>
        <v>4.1712442E9</v>
      </c>
      <c r="H77" s="10"/>
      <c r="I77" s="11" t="str">
        <f>"－"</f>
        <v>－</v>
      </c>
      <c r="J77" s="10"/>
      <c r="K77" s="11" t="n">
        <f>61360</f>
        <v>61360.0</v>
      </c>
    </row>
    <row r="78">
      <c r="A78" s="8" t="s">
        <v>29</v>
      </c>
      <c r="B78" s="9" t="s">
        <v>54</v>
      </c>
      <c r="C78" s="9" t="s">
        <v>55</v>
      </c>
      <c r="D78" s="10"/>
      <c r="E78" s="11" t="n">
        <f>5053</f>
        <v>5053.0</v>
      </c>
      <c r="F78" s="10"/>
      <c r="G78" s="11" t="n">
        <f>6829243300</f>
        <v>6.8292433E9</v>
      </c>
      <c r="H78" s="10"/>
      <c r="I78" s="11" t="str">
        <f>"－"</f>
        <v>－</v>
      </c>
      <c r="J78" s="10"/>
      <c r="K78" s="11" t="n">
        <f>60726</f>
        <v>60726.0</v>
      </c>
    </row>
    <row r="79">
      <c r="A79" s="8" t="s">
        <v>31</v>
      </c>
      <c r="B79" s="9" t="s">
        <v>54</v>
      </c>
      <c r="C79" s="9" t="s">
        <v>55</v>
      </c>
      <c r="D79" s="10"/>
      <c r="E79" s="11" t="n">
        <f>5702</f>
        <v>5702.0</v>
      </c>
      <c r="F79" s="10"/>
      <c r="G79" s="11" t="n">
        <f>7748735100</f>
        <v>7.7487351E9</v>
      </c>
      <c r="H79" s="10"/>
      <c r="I79" s="11" t="str">
        <f>"－"</f>
        <v>－</v>
      </c>
      <c r="J79" s="10"/>
      <c r="K79" s="11" t="n">
        <f>59607</f>
        <v>59607.0</v>
      </c>
    </row>
    <row r="80">
      <c r="A80" s="8" t="s">
        <v>32</v>
      </c>
      <c r="B80" s="9" t="s">
        <v>54</v>
      </c>
      <c r="C80" s="9" t="s">
        <v>55</v>
      </c>
      <c r="D80" s="10"/>
      <c r="E80" s="11" t="n">
        <f>4228</f>
        <v>4228.0</v>
      </c>
      <c r="F80" s="10"/>
      <c r="G80" s="11" t="n">
        <f>5722565900</f>
        <v>5.7225659E9</v>
      </c>
      <c r="H80" s="10"/>
      <c r="I80" s="11" t="str">
        <f>"－"</f>
        <v>－</v>
      </c>
      <c r="J80" s="10"/>
      <c r="K80" s="11" t="n">
        <f>59484</f>
        <v>59484.0</v>
      </c>
    </row>
    <row r="81">
      <c r="A81" s="8" t="s">
        <v>33</v>
      </c>
      <c r="B81" s="9" t="s">
        <v>54</v>
      </c>
      <c r="C81" s="9" t="s">
        <v>55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34</v>
      </c>
      <c r="B82" s="9" t="s">
        <v>54</v>
      </c>
      <c r="C82" s="9" t="s">
        <v>55</v>
      </c>
      <c r="D82" s="10"/>
      <c r="E82" s="11"/>
      <c r="F82" s="10"/>
      <c r="G82" s="11"/>
      <c r="H82" s="10"/>
      <c r="I82" s="11"/>
      <c r="J82" s="10"/>
      <c r="K82" s="11"/>
    </row>
    <row r="83">
      <c r="A83" s="8" t="s">
        <v>35</v>
      </c>
      <c r="B83" s="9" t="s">
        <v>54</v>
      </c>
      <c r="C83" s="9" t="s">
        <v>55</v>
      </c>
      <c r="D83" s="10"/>
      <c r="E83" s="11" t="n">
        <f>3589</f>
        <v>3589.0</v>
      </c>
      <c r="F83" s="10"/>
      <c r="G83" s="11" t="n">
        <f>4818960400</f>
        <v>4.8189604E9</v>
      </c>
      <c r="H83" s="10"/>
      <c r="I83" s="11" t="str">
        <f>"－"</f>
        <v>－</v>
      </c>
      <c r="J83" s="10"/>
      <c r="K83" s="11" t="n">
        <f>58777</f>
        <v>58777.0</v>
      </c>
    </row>
    <row r="84">
      <c r="A84" s="8" t="s">
        <v>36</v>
      </c>
      <c r="B84" s="9" t="s">
        <v>54</v>
      </c>
      <c r="C84" s="9" t="s">
        <v>55</v>
      </c>
      <c r="D84" s="10"/>
      <c r="E84" s="11" t="n">
        <f>3620</f>
        <v>3620.0</v>
      </c>
      <c r="F84" s="10"/>
      <c r="G84" s="11" t="n">
        <f>4867748900</f>
        <v>4.8677489E9</v>
      </c>
      <c r="H84" s="10"/>
      <c r="I84" s="11" t="str">
        <f>"－"</f>
        <v>－</v>
      </c>
      <c r="J84" s="10"/>
      <c r="K84" s="11" t="n">
        <f>57615</f>
        <v>57615.0</v>
      </c>
    </row>
    <row r="85">
      <c r="A85" s="8" t="s">
        <v>37</v>
      </c>
      <c r="B85" s="9" t="s">
        <v>54</v>
      </c>
      <c r="C85" s="9" t="s">
        <v>55</v>
      </c>
      <c r="D85" s="10"/>
      <c r="E85" s="11" t="n">
        <f>2762</f>
        <v>2762.0</v>
      </c>
      <c r="F85" s="10"/>
      <c r="G85" s="11" t="n">
        <f>3699665000</f>
        <v>3.699665E9</v>
      </c>
      <c r="H85" s="10"/>
      <c r="I85" s="11" t="str">
        <f>"－"</f>
        <v>－</v>
      </c>
      <c r="J85" s="10"/>
      <c r="K85" s="11" t="n">
        <f>58007</f>
        <v>58007.0</v>
      </c>
    </row>
    <row r="86">
      <c r="A86" s="8" t="s">
        <v>38</v>
      </c>
      <c r="B86" s="9" t="s">
        <v>54</v>
      </c>
      <c r="C86" s="9" t="s">
        <v>55</v>
      </c>
      <c r="D86" s="10"/>
      <c r="E86" s="11" t="n">
        <f>5113</f>
        <v>5113.0</v>
      </c>
      <c r="F86" s="10"/>
      <c r="G86" s="11" t="n">
        <f>6822867800</f>
        <v>6.8228678E9</v>
      </c>
      <c r="H86" s="10"/>
      <c r="I86" s="11" t="str">
        <f>"－"</f>
        <v>－</v>
      </c>
      <c r="J86" s="10"/>
      <c r="K86" s="11" t="n">
        <f>58529</f>
        <v>58529.0</v>
      </c>
    </row>
    <row r="87">
      <c r="A87" s="8" t="s">
        <v>39</v>
      </c>
      <c r="B87" s="9" t="s">
        <v>54</v>
      </c>
      <c r="C87" s="9" t="s">
        <v>55</v>
      </c>
      <c r="D87" s="10"/>
      <c r="E87" s="11" t="n">
        <f>3544</f>
        <v>3544.0</v>
      </c>
      <c r="F87" s="10"/>
      <c r="G87" s="11" t="n">
        <f>4793338900</f>
        <v>4.7933389E9</v>
      </c>
      <c r="H87" s="10"/>
      <c r="I87" s="11" t="str">
        <f>"－"</f>
        <v>－</v>
      </c>
      <c r="J87" s="10"/>
      <c r="K87" s="11" t="n">
        <f>58326</f>
        <v>58326.0</v>
      </c>
    </row>
    <row r="88">
      <c r="A88" s="8" t="s">
        <v>40</v>
      </c>
      <c r="B88" s="9" t="s">
        <v>54</v>
      </c>
      <c r="C88" s="9" t="s">
        <v>55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41</v>
      </c>
      <c r="B89" s="9" t="s">
        <v>54</v>
      </c>
      <c r="C89" s="9" t="s">
        <v>55</v>
      </c>
      <c r="D89" s="10"/>
      <c r="E89" s="11"/>
      <c r="F89" s="10"/>
      <c r="G89" s="11"/>
      <c r="H89" s="10"/>
      <c r="I89" s="11"/>
      <c r="J89" s="10"/>
      <c r="K89" s="11"/>
    </row>
    <row r="90">
      <c r="A90" s="8" t="s">
        <v>42</v>
      </c>
      <c r="B90" s="9" t="s">
        <v>54</v>
      </c>
      <c r="C90" s="9" t="s">
        <v>55</v>
      </c>
      <c r="D90" s="10"/>
      <c r="E90" s="11" t="n">
        <f>1864</f>
        <v>1864.0</v>
      </c>
      <c r="F90" s="10"/>
      <c r="G90" s="11" t="n">
        <f>2525809100</f>
        <v>2.5258091E9</v>
      </c>
      <c r="H90" s="10"/>
      <c r="I90" s="11" t="str">
        <f>"－"</f>
        <v>－</v>
      </c>
      <c r="J90" s="10"/>
      <c r="K90" s="11" t="n">
        <f>57788</f>
        <v>57788.0</v>
      </c>
    </row>
    <row r="91">
      <c r="A91" s="8" t="s">
        <v>43</v>
      </c>
      <c r="B91" s="9" t="s">
        <v>54</v>
      </c>
      <c r="C91" s="9" t="s">
        <v>55</v>
      </c>
      <c r="D91" s="10"/>
      <c r="E91" s="11" t="n">
        <f>1356</f>
        <v>1356.0</v>
      </c>
      <c r="F91" s="10"/>
      <c r="G91" s="11" t="n">
        <f>1840622500</f>
        <v>1.8406225E9</v>
      </c>
      <c r="H91" s="10"/>
      <c r="I91" s="11" t="str">
        <f>"－"</f>
        <v>－</v>
      </c>
      <c r="J91" s="10"/>
      <c r="K91" s="11" t="n">
        <f>57632</f>
        <v>57632.0</v>
      </c>
    </row>
    <row r="92">
      <c r="A92" s="8" t="s">
        <v>44</v>
      </c>
      <c r="B92" s="9" t="s">
        <v>54</v>
      </c>
      <c r="C92" s="9" t="s">
        <v>55</v>
      </c>
      <c r="D92" s="10" t="s">
        <v>20</v>
      </c>
      <c r="E92" s="11" t="n">
        <f>1039</f>
        <v>1039.0</v>
      </c>
      <c r="F92" s="10" t="s">
        <v>20</v>
      </c>
      <c r="G92" s="11" t="n">
        <f>1410799200</f>
        <v>1.4107992E9</v>
      </c>
      <c r="H92" s="10"/>
      <c r="I92" s="11" t="str">
        <f>"－"</f>
        <v>－</v>
      </c>
      <c r="J92" s="10"/>
      <c r="K92" s="11" t="n">
        <f>57510</f>
        <v>57510.0</v>
      </c>
    </row>
    <row r="93">
      <c r="A93" s="8" t="s">
        <v>45</v>
      </c>
      <c r="B93" s="9" t="s">
        <v>54</v>
      </c>
      <c r="C93" s="9" t="s">
        <v>55</v>
      </c>
      <c r="D93" s="10"/>
      <c r="E93" s="11" t="n">
        <f>2536</f>
        <v>2536.0</v>
      </c>
      <c r="F93" s="10"/>
      <c r="G93" s="11" t="n">
        <f>3461627200</f>
        <v>3.4616272E9</v>
      </c>
      <c r="H93" s="10"/>
      <c r="I93" s="11" t="str">
        <f>"－"</f>
        <v>－</v>
      </c>
      <c r="J93" s="10"/>
      <c r="K93" s="11" t="n">
        <f>57358</f>
        <v>57358.0</v>
      </c>
    </row>
    <row r="94">
      <c r="A94" s="8" t="s">
        <v>46</v>
      </c>
      <c r="B94" s="9" t="s">
        <v>54</v>
      </c>
      <c r="C94" s="9" t="s">
        <v>55</v>
      </c>
      <c r="D94" s="10"/>
      <c r="E94" s="11" t="n">
        <f>2961</f>
        <v>2961.0</v>
      </c>
      <c r="F94" s="10"/>
      <c r="G94" s="11" t="n">
        <f>4058396700</f>
        <v>4.0583967E9</v>
      </c>
      <c r="H94" s="10"/>
      <c r="I94" s="11" t="str">
        <f>"－"</f>
        <v>－</v>
      </c>
      <c r="J94" s="10" t="s">
        <v>20</v>
      </c>
      <c r="K94" s="11" t="n">
        <f>56884</f>
        <v>56884.0</v>
      </c>
    </row>
    <row r="95">
      <c r="A95" s="8" t="s">
        <v>47</v>
      </c>
      <c r="B95" s="9" t="s">
        <v>54</v>
      </c>
      <c r="C95" s="9" t="s">
        <v>55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48</v>
      </c>
      <c r="B96" s="9" t="s">
        <v>54</v>
      </c>
      <c r="C96" s="9" t="s">
        <v>55</v>
      </c>
      <c r="D96" s="10"/>
      <c r="E96" s="11"/>
      <c r="F96" s="10"/>
      <c r="G96" s="11"/>
      <c r="H96" s="10"/>
      <c r="I96" s="11"/>
      <c r="J96" s="10"/>
      <c r="K96" s="11"/>
    </row>
    <row r="97">
      <c r="A97" s="8" t="s">
        <v>49</v>
      </c>
      <c r="B97" s="9" t="s">
        <v>54</v>
      </c>
      <c r="C97" s="9" t="s">
        <v>55</v>
      </c>
      <c r="D97" s="10"/>
      <c r="E97" s="11" t="n">
        <f>3248</f>
        <v>3248.0</v>
      </c>
      <c r="F97" s="10"/>
      <c r="G97" s="11" t="n">
        <f>4444190600</f>
        <v>4.4441906E9</v>
      </c>
      <c r="H97" s="10"/>
      <c r="I97" s="11" t="str">
        <f>"－"</f>
        <v>－</v>
      </c>
      <c r="J97" s="10"/>
      <c r="K97" s="11" t="n">
        <f>56939</f>
        <v>56939.0</v>
      </c>
    </row>
    <row r="98">
      <c r="A98" s="8" t="s">
        <v>50</v>
      </c>
      <c r="B98" s="9" t="s">
        <v>54</v>
      </c>
      <c r="C98" s="9" t="s">
        <v>55</v>
      </c>
      <c r="D98" s="10"/>
      <c r="E98" s="11"/>
      <c r="F98" s="10"/>
      <c r="G98" s="11"/>
      <c r="H98" s="10"/>
      <c r="I98" s="11"/>
      <c r="J98" s="10"/>
      <c r="K98" s="11"/>
    </row>
    <row r="99">
      <c r="A99" s="8" t="s">
        <v>16</v>
      </c>
      <c r="B99" s="9" t="s">
        <v>56</v>
      </c>
      <c r="C99" s="9" t="s">
        <v>57</v>
      </c>
      <c r="D99" s="10"/>
      <c r="E99" s="11"/>
      <c r="F99" s="10"/>
      <c r="G99" s="11"/>
      <c r="H99" s="10"/>
      <c r="I99" s="11"/>
      <c r="J99" s="10"/>
      <c r="K99" s="11"/>
    </row>
    <row r="100">
      <c r="A100" s="8" t="s">
        <v>19</v>
      </c>
      <c r="B100" s="9" t="s">
        <v>56</v>
      </c>
      <c r="C100" s="9" t="s">
        <v>57</v>
      </c>
      <c r="D100" s="10" t="s">
        <v>20</v>
      </c>
      <c r="E100" s="11" t="str">
        <f>"－"</f>
        <v>－</v>
      </c>
      <c r="F100" s="10" t="s">
        <v>20</v>
      </c>
      <c r="G100" s="11" t="str">
        <f>"－"</f>
        <v>－</v>
      </c>
      <c r="H100" s="10" t="s">
        <v>53</v>
      </c>
      <c r="I100" s="11" t="str">
        <f>"－"</f>
        <v>－</v>
      </c>
      <c r="J100" s="10" t="s">
        <v>30</v>
      </c>
      <c r="K100" s="11" t="n">
        <f>177</f>
        <v>177.0</v>
      </c>
    </row>
    <row r="101">
      <c r="A101" s="8" t="s">
        <v>21</v>
      </c>
      <c r="B101" s="9" t="s">
        <v>56</v>
      </c>
      <c r="C101" s="9" t="s">
        <v>57</v>
      </c>
      <c r="D101" s="10"/>
      <c r="E101" s="11" t="str">
        <f>"－"</f>
        <v>－</v>
      </c>
      <c r="F101" s="10"/>
      <c r="G101" s="11" t="str">
        <f>"－"</f>
        <v>－</v>
      </c>
      <c r="H101" s="10"/>
      <c r="I101" s="11" t="str">
        <f>"－"</f>
        <v>－</v>
      </c>
      <c r="J101" s="10"/>
      <c r="K101" s="11" t="n">
        <f>177</f>
        <v>177.0</v>
      </c>
    </row>
    <row r="102">
      <c r="A102" s="8" t="s">
        <v>22</v>
      </c>
      <c r="B102" s="9" t="s">
        <v>56</v>
      </c>
      <c r="C102" s="9" t="s">
        <v>57</v>
      </c>
      <c r="D102" s="10"/>
      <c r="E102" s="11" t="str">
        <f>"－"</f>
        <v>－</v>
      </c>
      <c r="F102" s="10"/>
      <c r="G102" s="11" t="str">
        <f>"－"</f>
        <v>－</v>
      </c>
      <c r="H102" s="10"/>
      <c r="I102" s="11" t="str">
        <f>"－"</f>
        <v>－</v>
      </c>
      <c r="J102" s="10"/>
      <c r="K102" s="11" t="n">
        <f>177</f>
        <v>177.0</v>
      </c>
    </row>
    <row r="103">
      <c r="A103" s="8" t="s">
        <v>23</v>
      </c>
      <c r="B103" s="9" t="s">
        <v>56</v>
      </c>
      <c r="C103" s="9" t="s">
        <v>57</v>
      </c>
      <c r="D103" s="10"/>
      <c r="E103" s="11" t="n">
        <f>3</f>
        <v>3.0</v>
      </c>
      <c r="F103" s="10"/>
      <c r="G103" s="11" t="n">
        <f>13740000</f>
        <v>1.374E7</v>
      </c>
      <c r="H103" s="10"/>
      <c r="I103" s="11" t="str">
        <f>"－"</f>
        <v>－</v>
      </c>
      <c r="J103" s="10"/>
      <c r="K103" s="11" t="n">
        <f>176</f>
        <v>176.0</v>
      </c>
    </row>
    <row r="104">
      <c r="A104" s="8" t="s">
        <v>24</v>
      </c>
      <c r="B104" s="9" t="s">
        <v>56</v>
      </c>
      <c r="C104" s="9" t="s">
        <v>57</v>
      </c>
      <c r="D104" s="10"/>
      <c r="E104" s="11" t="str">
        <f>"－"</f>
        <v>－</v>
      </c>
      <c r="F104" s="10"/>
      <c r="G104" s="11" t="str">
        <f>"－"</f>
        <v>－</v>
      </c>
      <c r="H104" s="10"/>
      <c r="I104" s="11" t="str">
        <f>"－"</f>
        <v>－</v>
      </c>
      <c r="J104" s="10"/>
      <c r="K104" s="11" t="n">
        <f>176</f>
        <v>176.0</v>
      </c>
    </row>
    <row r="105">
      <c r="A105" s="8" t="s">
        <v>25</v>
      </c>
      <c r="B105" s="9" t="s">
        <v>56</v>
      </c>
      <c r="C105" s="9" t="s">
        <v>57</v>
      </c>
      <c r="D105" s="10"/>
      <c r="E105" s="11"/>
      <c r="F105" s="10"/>
      <c r="G105" s="11"/>
      <c r="H105" s="10"/>
      <c r="I105" s="11"/>
      <c r="J105" s="10"/>
      <c r="K105" s="11"/>
    </row>
    <row r="106">
      <c r="A106" s="8" t="s">
        <v>26</v>
      </c>
      <c r="B106" s="9" t="s">
        <v>56</v>
      </c>
      <c r="C106" s="9" t="s">
        <v>57</v>
      </c>
      <c r="D106" s="10"/>
      <c r="E106" s="11"/>
      <c r="F106" s="10"/>
      <c r="G106" s="11"/>
      <c r="H106" s="10"/>
      <c r="I106" s="11"/>
      <c r="J106" s="10"/>
      <c r="K106" s="11"/>
    </row>
    <row r="107">
      <c r="A107" s="8" t="s">
        <v>27</v>
      </c>
      <c r="B107" s="9" t="s">
        <v>56</v>
      </c>
      <c r="C107" s="9" t="s">
        <v>57</v>
      </c>
      <c r="D107" s="10"/>
      <c r="E107" s="11" t="n">
        <f>1</f>
        <v>1.0</v>
      </c>
      <c r="F107" s="10"/>
      <c r="G107" s="11" t="n">
        <f>4545000</f>
        <v>4545000.0</v>
      </c>
      <c r="H107" s="10"/>
      <c r="I107" s="11" t="str">
        <f>"－"</f>
        <v>－</v>
      </c>
      <c r="J107" s="10"/>
      <c r="K107" s="11" t="n">
        <f>176</f>
        <v>176.0</v>
      </c>
    </row>
    <row r="108">
      <c r="A108" s="8" t="s">
        <v>28</v>
      </c>
      <c r="B108" s="9" t="s">
        <v>56</v>
      </c>
      <c r="C108" s="9" t="s">
        <v>57</v>
      </c>
      <c r="D108" s="10"/>
      <c r="E108" s="11" t="n">
        <f>2</f>
        <v>2.0</v>
      </c>
      <c r="F108" s="10"/>
      <c r="G108" s="11" t="n">
        <f>9240000</f>
        <v>9240000.0</v>
      </c>
      <c r="H108" s="10"/>
      <c r="I108" s="11" t="str">
        <f>"－"</f>
        <v>－</v>
      </c>
      <c r="J108" s="10"/>
      <c r="K108" s="11" t="n">
        <f>174</f>
        <v>174.0</v>
      </c>
    </row>
    <row r="109">
      <c r="A109" s="8" t="s">
        <v>29</v>
      </c>
      <c r="B109" s="9" t="s">
        <v>56</v>
      </c>
      <c r="C109" s="9" t="s">
        <v>57</v>
      </c>
      <c r="D109" s="10"/>
      <c r="E109" s="11" t="n">
        <f>2</f>
        <v>2.0</v>
      </c>
      <c r="F109" s="10"/>
      <c r="G109" s="11" t="n">
        <f>9330000</f>
        <v>9330000.0</v>
      </c>
      <c r="H109" s="10"/>
      <c r="I109" s="11" t="str">
        <f>"－"</f>
        <v>－</v>
      </c>
      <c r="J109" s="10"/>
      <c r="K109" s="11" t="n">
        <f>173</f>
        <v>173.0</v>
      </c>
    </row>
    <row r="110">
      <c r="A110" s="8" t="s">
        <v>31</v>
      </c>
      <c r="B110" s="9" t="s">
        <v>56</v>
      </c>
      <c r="C110" s="9" t="s">
        <v>57</v>
      </c>
      <c r="D110" s="10"/>
      <c r="E110" s="11" t="n">
        <f>3</f>
        <v>3.0</v>
      </c>
      <c r="F110" s="10"/>
      <c r="G110" s="11" t="n">
        <f>14067000</f>
        <v>1.4067E7</v>
      </c>
      <c r="H110" s="10"/>
      <c r="I110" s="11" t="str">
        <f>"－"</f>
        <v>－</v>
      </c>
      <c r="J110" s="10"/>
      <c r="K110" s="11" t="n">
        <f>171</f>
        <v>171.0</v>
      </c>
    </row>
    <row r="111">
      <c r="A111" s="8" t="s">
        <v>32</v>
      </c>
      <c r="B111" s="9" t="s">
        <v>56</v>
      </c>
      <c r="C111" s="9" t="s">
        <v>57</v>
      </c>
      <c r="D111" s="10"/>
      <c r="E111" s="11" t="n">
        <f>2</f>
        <v>2.0</v>
      </c>
      <c r="F111" s="10"/>
      <c r="G111" s="11" t="n">
        <f>9072000</f>
        <v>9072000.0</v>
      </c>
      <c r="H111" s="10"/>
      <c r="I111" s="11" t="str">
        <f>"－"</f>
        <v>－</v>
      </c>
      <c r="J111" s="10"/>
      <c r="K111" s="11" t="n">
        <f>171</f>
        <v>171.0</v>
      </c>
    </row>
    <row r="112">
      <c r="A112" s="8" t="s">
        <v>33</v>
      </c>
      <c r="B112" s="9" t="s">
        <v>56</v>
      </c>
      <c r="C112" s="9" t="s">
        <v>57</v>
      </c>
      <c r="D112" s="10"/>
      <c r="E112" s="11"/>
      <c r="F112" s="10"/>
      <c r="G112" s="11"/>
      <c r="H112" s="10"/>
      <c r="I112" s="11"/>
      <c r="J112" s="10"/>
      <c r="K112" s="11"/>
    </row>
    <row r="113">
      <c r="A113" s="8" t="s">
        <v>34</v>
      </c>
      <c r="B113" s="9" t="s">
        <v>56</v>
      </c>
      <c r="C113" s="9" t="s">
        <v>57</v>
      </c>
      <c r="D113" s="10"/>
      <c r="E113" s="11"/>
      <c r="F113" s="10"/>
      <c r="G113" s="11"/>
      <c r="H113" s="10"/>
      <c r="I113" s="11"/>
      <c r="J113" s="10"/>
      <c r="K113" s="11"/>
    </row>
    <row r="114">
      <c r="A114" s="8" t="s">
        <v>35</v>
      </c>
      <c r="B114" s="9" t="s">
        <v>56</v>
      </c>
      <c r="C114" s="9" t="s">
        <v>57</v>
      </c>
      <c r="D114" s="10"/>
      <c r="E114" s="11" t="n">
        <f>2</f>
        <v>2.0</v>
      </c>
      <c r="F114" s="10"/>
      <c r="G114" s="11" t="n">
        <f>8862000</f>
        <v>8862000.0</v>
      </c>
      <c r="H114" s="10"/>
      <c r="I114" s="11" t="str">
        <f>"－"</f>
        <v>－</v>
      </c>
      <c r="J114" s="10"/>
      <c r="K114" s="11" t="n">
        <f>170</f>
        <v>170.0</v>
      </c>
    </row>
    <row r="115">
      <c r="A115" s="8" t="s">
        <v>36</v>
      </c>
      <c r="B115" s="9" t="s">
        <v>56</v>
      </c>
      <c r="C115" s="9" t="s">
        <v>57</v>
      </c>
      <c r="D115" s="10"/>
      <c r="E115" s="11" t="n">
        <f>4</f>
        <v>4.0</v>
      </c>
      <c r="F115" s="10"/>
      <c r="G115" s="11" t="n">
        <f>18219000</f>
        <v>1.8219E7</v>
      </c>
      <c r="H115" s="10"/>
      <c r="I115" s="11" t="str">
        <f>"－"</f>
        <v>－</v>
      </c>
      <c r="J115" s="10"/>
      <c r="K115" s="11" t="n">
        <f>170</f>
        <v>170.0</v>
      </c>
    </row>
    <row r="116">
      <c r="A116" s="8" t="s">
        <v>37</v>
      </c>
      <c r="B116" s="9" t="s">
        <v>56</v>
      </c>
      <c r="C116" s="9" t="s">
        <v>57</v>
      </c>
      <c r="D116" s="10"/>
      <c r="E116" s="11" t="n">
        <f>1</f>
        <v>1.0</v>
      </c>
      <c r="F116" s="10"/>
      <c r="G116" s="11" t="n">
        <f>4620000</f>
        <v>4620000.0</v>
      </c>
      <c r="H116" s="10"/>
      <c r="I116" s="11" t="str">
        <f>"－"</f>
        <v>－</v>
      </c>
      <c r="J116" s="10"/>
      <c r="K116" s="11" t="n">
        <f>170</f>
        <v>170.0</v>
      </c>
    </row>
    <row r="117">
      <c r="A117" s="8" t="s">
        <v>38</v>
      </c>
      <c r="B117" s="9" t="s">
        <v>56</v>
      </c>
      <c r="C117" s="9" t="s">
        <v>57</v>
      </c>
      <c r="D117" s="10"/>
      <c r="E117" s="11" t="str">
        <f>"－"</f>
        <v>－</v>
      </c>
      <c r="F117" s="10"/>
      <c r="G117" s="11" t="str">
        <f>"－"</f>
        <v>－</v>
      </c>
      <c r="H117" s="10"/>
      <c r="I117" s="11" t="str">
        <f>"－"</f>
        <v>－</v>
      </c>
      <c r="J117" s="10"/>
      <c r="K117" s="11" t="n">
        <f>170</f>
        <v>170.0</v>
      </c>
    </row>
    <row r="118">
      <c r="A118" s="8" t="s">
        <v>39</v>
      </c>
      <c r="B118" s="9" t="s">
        <v>56</v>
      </c>
      <c r="C118" s="9" t="s">
        <v>57</v>
      </c>
      <c r="D118" s="10"/>
      <c r="E118" s="11" t="n">
        <f>4</f>
        <v>4.0</v>
      </c>
      <c r="F118" s="10"/>
      <c r="G118" s="11" t="n">
        <f>17925000</f>
        <v>1.7925E7</v>
      </c>
      <c r="H118" s="10"/>
      <c r="I118" s="11" t="str">
        <f>"－"</f>
        <v>－</v>
      </c>
      <c r="J118" s="10"/>
      <c r="K118" s="11" t="n">
        <f>173</f>
        <v>173.0</v>
      </c>
    </row>
    <row r="119">
      <c r="A119" s="8" t="s">
        <v>40</v>
      </c>
      <c r="B119" s="9" t="s">
        <v>56</v>
      </c>
      <c r="C119" s="9" t="s">
        <v>57</v>
      </c>
      <c r="D119" s="10"/>
      <c r="E119" s="11"/>
      <c r="F119" s="10"/>
      <c r="G119" s="11"/>
      <c r="H119" s="10"/>
      <c r="I119" s="11"/>
      <c r="J119" s="10"/>
      <c r="K119" s="11"/>
    </row>
    <row r="120">
      <c r="A120" s="8" t="s">
        <v>41</v>
      </c>
      <c r="B120" s="9" t="s">
        <v>56</v>
      </c>
      <c r="C120" s="9" t="s">
        <v>57</v>
      </c>
      <c r="D120" s="10"/>
      <c r="E120" s="11"/>
      <c r="F120" s="10"/>
      <c r="G120" s="11"/>
      <c r="H120" s="10"/>
      <c r="I120" s="11"/>
      <c r="J120" s="10"/>
      <c r="K120" s="11"/>
    </row>
    <row r="121">
      <c r="A121" s="8" t="s">
        <v>42</v>
      </c>
      <c r="B121" s="9" t="s">
        <v>56</v>
      </c>
      <c r="C121" s="9" t="s">
        <v>57</v>
      </c>
      <c r="D121" s="10"/>
      <c r="E121" s="11" t="str">
        <f>"－"</f>
        <v>－</v>
      </c>
      <c r="F121" s="10"/>
      <c r="G121" s="11" t="str">
        <f>"－"</f>
        <v>－</v>
      </c>
      <c r="H121" s="10"/>
      <c r="I121" s="11" t="str">
        <f>"－"</f>
        <v>－</v>
      </c>
      <c r="J121" s="10"/>
      <c r="K121" s="11" t="n">
        <f>173</f>
        <v>173.0</v>
      </c>
    </row>
    <row r="122">
      <c r="A122" s="8" t="s">
        <v>43</v>
      </c>
      <c r="B122" s="9" t="s">
        <v>56</v>
      </c>
      <c r="C122" s="9" t="s">
        <v>57</v>
      </c>
      <c r="D122" s="10"/>
      <c r="E122" s="11" t="n">
        <f>5</f>
        <v>5.0</v>
      </c>
      <c r="F122" s="10"/>
      <c r="G122" s="11" t="n">
        <f>22848000</f>
        <v>2.2848E7</v>
      </c>
      <c r="H122" s="10"/>
      <c r="I122" s="11" t="str">
        <f>"－"</f>
        <v>－</v>
      </c>
      <c r="J122" s="10"/>
      <c r="K122" s="11" t="n">
        <f>174</f>
        <v>174.0</v>
      </c>
    </row>
    <row r="123">
      <c r="A123" s="8" t="s">
        <v>44</v>
      </c>
      <c r="B123" s="9" t="s">
        <v>56</v>
      </c>
      <c r="C123" s="9" t="s">
        <v>57</v>
      </c>
      <c r="D123" s="10" t="s">
        <v>30</v>
      </c>
      <c r="E123" s="11" t="n">
        <f>7</f>
        <v>7.0</v>
      </c>
      <c r="F123" s="10" t="s">
        <v>30</v>
      </c>
      <c r="G123" s="11" t="n">
        <f>31635000</f>
        <v>3.1635E7</v>
      </c>
      <c r="H123" s="10"/>
      <c r="I123" s="11" t="str">
        <f>"－"</f>
        <v>－</v>
      </c>
      <c r="J123" s="10" t="s">
        <v>20</v>
      </c>
      <c r="K123" s="11" t="n">
        <f>163</f>
        <v>163.0</v>
      </c>
    </row>
    <row r="124">
      <c r="A124" s="8" t="s">
        <v>45</v>
      </c>
      <c r="B124" s="9" t="s">
        <v>56</v>
      </c>
      <c r="C124" s="9" t="s">
        <v>57</v>
      </c>
      <c r="D124" s="10"/>
      <c r="E124" s="11" t="str">
        <f>"－"</f>
        <v>－</v>
      </c>
      <c r="F124" s="10"/>
      <c r="G124" s="11" t="str">
        <f>"－"</f>
        <v>－</v>
      </c>
      <c r="H124" s="10"/>
      <c r="I124" s="11" t="str">
        <f>"－"</f>
        <v>－</v>
      </c>
      <c r="J124" s="10"/>
      <c r="K124" s="11" t="n">
        <f>163</f>
        <v>163.0</v>
      </c>
    </row>
    <row r="125">
      <c r="A125" s="8" t="s">
        <v>46</v>
      </c>
      <c r="B125" s="9" t="s">
        <v>56</v>
      </c>
      <c r="C125" s="9" t="s">
        <v>57</v>
      </c>
      <c r="D125" s="10"/>
      <c r="E125" s="11" t="n">
        <f>1</f>
        <v>1.0</v>
      </c>
      <c r="F125" s="10"/>
      <c r="G125" s="11" t="n">
        <f>4605000</f>
        <v>4605000.0</v>
      </c>
      <c r="H125" s="10"/>
      <c r="I125" s="11" t="str">
        <f>"－"</f>
        <v>－</v>
      </c>
      <c r="J125" s="10"/>
      <c r="K125" s="11" t="n">
        <f>164</f>
        <v>164.0</v>
      </c>
    </row>
    <row r="126">
      <c r="A126" s="8" t="s">
        <v>47</v>
      </c>
      <c r="B126" s="9" t="s">
        <v>56</v>
      </c>
      <c r="C126" s="9" t="s">
        <v>57</v>
      </c>
      <c r="D126" s="10"/>
      <c r="E126" s="11"/>
      <c r="F126" s="10"/>
      <c r="G126" s="11"/>
      <c r="H126" s="10"/>
      <c r="I126" s="11"/>
      <c r="J126" s="10"/>
      <c r="K126" s="11"/>
    </row>
    <row r="127">
      <c r="A127" s="8" t="s">
        <v>48</v>
      </c>
      <c r="B127" s="9" t="s">
        <v>56</v>
      </c>
      <c r="C127" s="9" t="s">
        <v>57</v>
      </c>
      <c r="D127" s="10"/>
      <c r="E127" s="11"/>
      <c r="F127" s="10"/>
      <c r="G127" s="11"/>
      <c r="H127" s="10"/>
      <c r="I127" s="11"/>
      <c r="J127" s="10"/>
      <c r="K127" s="11"/>
    </row>
    <row r="128">
      <c r="A128" s="8" t="s">
        <v>49</v>
      </c>
      <c r="B128" s="9" t="s">
        <v>56</v>
      </c>
      <c r="C128" s="9" t="s">
        <v>57</v>
      </c>
      <c r="D128" s="10"/>
      <c r="E128" s="11" t="str">
        <f>"－"</f>
        <v>－</v>
      </c>
      <c r="F128" s="10"/>
      <c r="G128" s="11" t="str">
        <f>"－"</f>
        <v>－</v>
      </c>
      <c r="H128" s="10"/>
      <c r="I128" s="11" t="str">
        <f>"－"</f>
        <v>－</v>
      </c>
      <c r="J128" s="10"/>
      <c r="K128" s="11" t="n">
        <f>164</f>
        <v>164.0</v>
      </c>
    </row>
    <row r="129">
      <c r="A129" s="8" t="s">
        <v>50</v>
      </c>
      <c r="B129" s="9" t="s">
        <v>56</v>
      </c>
      <c r="C129" s="9" t="s">
        <v>57</v>
      </c>
      <c r="D129" s="10"/>
      <c r="E129" s="11"/>
      <c r="F129" s="10"/>
      <c r="G129" s="11"/>
      <c r="H129" s="10"/>
      <c r="I129" s="11"/>
      <c r="J129" s="10"/>
      <c r="K129" s="11"/>
    </row>
    <row r="130">
      <c r="A130" s="8" t="s">
        <v>16</v>
      </c>
      <c r="B130" s="9" t="s">
        <v>58</v>
      </c>
      <c r="C130" s="9" t="s">
        <v>59</v>
      </c>
      <c r="D130" s="10"/>
      <c r="E130" s="11"/>
      <c r="F130" s="10"/>
      <c r="G130" s="11"/>
      <c r="H130" s="10"/>
      <c r="I130" s="11"/>
      <c r="J130" s="10"/>
      <c r="K130" s="11"/>
    </row>
    <row r="131">
      <c r="A131" s="8" t="s">
        <v>19</v>
      </c>
      <c r="B131" s="9" t="s">
        <v>58</v>
      </c>
      <c r="C131" s="9" t="s">
        <v>59</v>
      </c>
      <c r="D131" s="10"/>
      <c r="E131" s="11" t="n">
        <f>6137</f>
        <v>6137.0</v>
      </c>
      <c r="F131" s="10"/>
      <c r="G131" s="11" t="n">
        <f>14012178500</f>
        <v>1.40121785E10</v>
      </c>
      <c r="H131" s="10" t="s">
        <v>20</v>
      </c>
      <c r="I131" s="11" t="str">
        <f>"－"</f>
        <v>－</v>
      </c>
      <c r="J131" s="10"/>
      <c r="K131" s="11" t="n">
        <f>31214</f>
        <v>31214.0</v>
      </c>
    </row>
    <row r="132">
      <c r="A132" s="8" t="s">
        <v>21</v>
      </c>
      <c r="B132" s="9" t="s">
        <v>58</v>
      </c>
      <c r="C132" s="9" t="s">
        <v>59</v>
      </c>
      <c r="D132" s="10"/>
      <c r="E132" s="11" t="n">
        <f>6077</f>
        <v>6077.0</v>
      </c>
      <c r="F132" s="10"/>
      <c r="G132" s="11" t="n">
        <f>13864779500</f>
        <v>1.38647795E10</v>
      </c>
      <c r="H132" s="10"/>
      <c r="I132" s="11" t="str">
        <f>"－"</f>
        <v>－</v>
      </c>
      <c r="J132" s="10"/>
      <c r="K132" s="11" t="n">
        <f>30903</f>
        <v>30903.0</v>
      </c>
    </row>
    <row r="133">
      <c r="A133" s="8" t="s">
        <v>22</v>
      </c>
      <c r="B133" s="9" t="s">
        <v>58</v>
      </c>
      <c r="C133" s="9" t="s">
        <v>59</v>
      </c>
      <c r="D133" s="10" t="s">
        <v>20</v>
      </c>
      <c r="E133" s="11" t="n">
        <f>5183</f>
        <v>5183.0</v>
      </c>
      <c r="F133" s="10" t="s">
        <v>20</v>
      </c>
      <c r="G133" s="11" t="n">
        <f>11911697500</f>
        <v>1.19116975E10</v>
      </c>
      <c r="H133" s="10"/>
      <c r="I133" s="11" t="n">
        <f>5</f>
        <v>5.0</v>
      </c>
      <c r="J133" s="10"/>
      <c r="K133" s="11" t="n">
        <f>30964</f>
        <v>30964.0</v>
      </c>
    </row>
    <row r="134">
      <c r="A134" s="8" t="s">
        <v>23</v>
      </c>
      <c r="B134" s="9" t="s">
        <v>58</v>
      </c>
      <c r="C134" s="9" t="s">
        <v>59</v>
      </c>
      <c r="D134" s="10"/>
      <c r="E134" s="11" t="n">
        <f>6962</f>
        <v>6962.0</v>
      </c>
      <c r="F134" s="10"/>
      <c r="G134" s="11" t="n">
        <f>15928364500</f>
        <v>1.59283645E10</v>
      </c>
      <c r="H134" s="10"/>
      <c r="I134" s="11" t="n">
        <f>1</f>
        <v>1.0</v>
      </c>
      <c r="J134" s="10"/>
      <c r="K134" s="11" t="n">
        <f>30854</f>
        <v>30854.0</v>
      </c>
    </row>
    <row r="135">
      <c r="A135" s="8" t="s">
        <v>24</v>
      </c>
      <c r="B135" s="9" t="s">
        <v>58</v>
      </c>
      <c r="C135" s="9" t="s">
        <v>59</v>
      </c>
      <c r="D135" s="10"/>
      <c r="E135" s="11" t="n">
        <f>6725</f>
        <v>6725.0</v>
      </c>
      <c r="F135" s="10"/>
      <c r="G135" s="11" t="n">
        <f>15331869000</f>
        <v>1.5331869E10</v>
      </c>
      <c r="H135" s="10"/>
      <c r="I135" s="11" t="n">
        <f>1</f>
        <v>1.0</v>
      </c>
      <c r="J135" s="10"/>
      <c r="K135" s="11" t="n">
        <f>30910</f>
        <v>30910.0</v>
      </c>
    </row>
    <row r="136">
      <c r="A136" s="8" t="s">
        <v>25</v>
      </c>
      <c r="B136" s="9" t="s">
        <v>58</v>
      </c>
      <c r="C136" s="9" t="s">
        <v>59</v>
      </c>
      <c r="D136" s="10"/>
      <c r="E136" s="11"/>
      <c r="F136" s="10"/>
      <c r="G136" s="11"/>
      <c r="H136" s="10"/>
      <c r="I136" s="11"/>
      <c r="J136" s="10"/>
      <c r="K136" s="11"/>
    </row>
    <row r="137">
      <c r="A137" s="8" t="s">
        <v>26</v>
      </c>
      <c r="B137" s="9" t="s">
        <v>58</v>
      </c>
      <c r="C137" s="9" t="s">
        <v>59</v>
      </c>
      <c r="D137" s="10"/>
      <c r="E137" s="11"/>
      <c r="F137" s="10"/>
      <c r="G137" s="11"/>
      <c r="H137" s="10"/>
      <c r="I137" s="11"/>
      <c r="J137" s="10"/>
      <c r="K137" s="11"/>
    </row>
    <row r="138">
      <c r="A138" s="8" t="s">
        <v>27</v>
      </c>
      <c r="B138" s="9" t="s">
        <v>58</v>
      </c>
      <c r="C138" s="9" t="s">
        <v>59</v>
      </c>
      <c r="D138" s="10"/>
      <c r="E138" s="11" t="n">
        <f>6992</f>
        <v>6992.0</v>
      </c>
      <c r="F138" s="10"/>
      <c r="G138" s="11" t="n">
        <f>15789375500</f>
        <v>1.57893755E10</v>
      </c>
      <c r="H138" s="10"/>
      <c r="I138" s="11" t="n">
        <f>1</f>
        <v>1.0</v>
      </c>
      <c r="J138" s="10"/>
      <c r="K138" s="11" t="n">
        <f>31200</f>
        <v>31200.0</v>
      </c>
    </row>
    <row r="139">
      <c r="A139" s="8" t="s">
        <v>28</v>
      </c>
      <c r="B139" s="9" t="s">
        <v>58</v>
      </c>
      <c r="C139" s="9" t="s">
        <v>59</v>
      </c>
      <c r="D139" s="10"/>
      <c r="E139" s="11" t="n">
        <f>9453</f>
        <v>9453.0</v>
      </c>
      <c r="F139" s="10"/>
      <c r="G139" s="11" t="n">
        <f>21711161500</f>
        <v>2.17111615E10</v>
      </c>
      <c r="H139" s="10"/>
      <c r="I139" s="11" t="n">
        <f>1</f>
        <v>1.0</v>
      </c>
      <c r="J139" s="10"/>
      <c r="K139" s="11" t="n">
        <f>31813</f>
        <v>31813.0</v>
      </c>
    </row>
    <row r="140">
      <c r="A140" s="8" t="s">
        <v>29</v>
      </c>
      <c r="B140" s="9" t="s">
        <v>58</v>
      </c>
      <c r="C140" s="9" t="s">
        <v>59</v>
      </c>
      <c r="D140" s="10"/>
      <c r="E140" s="11" t="n">
        <f>5999</f>
        <v>5999.0</v>
      </c>
      <c r="F140" s="10"/>
      <c r="G140" s="11" t="n">
        <f>13830212000</f>
        <v>1.3830212E10</v>
      </c>
      <c r="H140" s="10"/>
      <c r="I140" s="11" t="n">
        <f>1</f>
        <v>1.0</v>
      </c>
      <c r="J140" s="10" t="s">
        <v>20</v>
      </c>
      <c r="K140" s="11" t="n">
        <f>30371</f>
        <v>30371.0</v>
      </c>
    </row>
    <row r="141">
      <c r="A141" s="8" t="s">
        <v>31</v>
      </c>
      <c r="B141" s="9" t="s">
        <v>58</v>
      </c>
      <c r="C141" s="9" t="s">
        <v>59</v>
      </c>
      <c r="D141" s="10"/>
      <c r="E141" s="11" t="n">
        <f>7701</f>
        <v>7701.0</v>
      </c>
      <c r="F141" s="10"/>
      <c r="G141" s="11" t="n">
        <f>17866418000</f>
        <v>1.7866418E10</v>
      </c>
      <c r="H141" s="10"/>
      <c r="I141" s="11" t="n">
        <f>4</f>
        <v>4.0</v>
      </c>
      <c r="J141" s="10"/>
      <c r="K141" s="11" t="n">
        <f>31189</f>
        <v>31189.0</v>
      </c>
    </row>
    <row r="142">
      <c r="A142" s="8" t="s">
        <v>32</v>
      </c>
      <c r="B142" s="9" t="s">
        <v>58</v>
      </c>
      <c r="C142" s="9" t="s">
        <v>59</v>
      </c>
      <c r="D142" s="10"/>
      <c r="E142" s="11" t="n">
        <f>8428</f>
        <v>8428.0</v>
      </c>
      <c r="F142" s="10"/>
      <c r="G142" s="11" t="n">
        <f>19483420000</f>
        <v>1.948342E10</v>
      </c>
      <c r="H142" s="10"/>
      <c r="I142" s="11" t="n">
        <f>3</f>
        <v>3.0</v>
      </c>
      <c r="J142" s="10"/>
      <c r="K142" s="11" t="n">
        <f>32402</f>
        <v>32402.0</v>
      </c>
    </row>
    <row r="143">
      <c r="A143" s="8" t="s">
        <v>33</v>
      </c>
      <c r="B143" s="9" t="s">
        <v>58</v>
      </c>
      <c r="C143" s="9" t="s">
        <v>59</v>
      </c>
      <c r="D143" s="10"/>
      <c r="E143" s="11"/>
      <c r="F143" s="10"/>
      <c r="G143" s="11"/>
      <c r="H143" s="10"/>
      <c r="I143" s="11"/>
      <c r="J143" s="10"/>
      <c r="K143" s="11"/>
    </row>
    <row r="144">
      <c r="A144" s="8" t="s">
        <v>34</v>
      </c>
      <c r="B144" s="9" t="s">
        <v>58</v>
      </c>
      <c r="C144" s="9" t="s">
        <v>59</v>
      </c>
      <c r="D144" s="10"/>
      <c r="E144" s="11"/>
      <c r="F144" s="10"/>
      <c r="G144" s="11"/>
      <c r="H144" s="10"/>
      <c r="I144" s="11"/>
      <c r="J144" s="10"/>
      <c r="K144" s="11"/>
    </row>
    <row r="145">
      <c r="A145" s="8" t="s">
        <v>35</v>
      </c>
      <c r="B145" s="9" t="s">
        <v>58</v>
      </c>
      <c r="C145" s="9" t="s">
        <v>59</v>
      </c>
      <c r="D145" s="10"/>
      <c r="E145" s="11" t="n">
        <f>9264</f>
        <v>9264.0</v>
      </c>
      <c r="F145" s="10"/>
      <c r="G145" s="11" t="n">
        <f>21165831000</f>
        <v>2.1165831E10</v>
      </c>
      <c r="H145" s="10"/>
      <c r="I145" s="11" t="n">
        <f>6</f>
        <v>6.0</v>
      </c>
      <c r="J145" s="10"/>
      <c r="K145" s="11" t="n">
        <f>32248</f>
        <v>32248.0</v>
      </c>
    </row>
    <row r="146">
      <c r="A146" s="8" t="s">
        <v>36</v>
      </c>
      <c r="B146" s="9" t="s">
        <v>58</v>
      </c>
      <c r="C146" s="9" t="s">
        <v>59</v>
      </c>
      <c r="D146" s="10"/>
      <c r="E146" s="11" t="n">
        <f>9295</f>
        <v>9295.0</v>
      </c>
      <c r="F146" s="10"/>
      <c r="G146" s="11" t="n">
        <f>21427697000</f>
        <v>2.1427697E10</v>
      </c>
      <c r="H146" s="10"/>
      <c r="I146" s="11" t="str">
        <f>"－"</f>
        <v>－</v>
      </c>
      <c r="J146" s="10"/>
      <c r="K146" s="11" t="n">
        <f>31542</f>
        <v>31542.0</v>
      </c>
    </row>
    <row r="147">
      <c r="A147" s="8" t="s">
        <v>37</v>
      </c>
      <c r="B147" s="9" t="s">
        <v>58</v>
      </c>
      <c r="C147" s="9" t="s">
        <v>59</v>
      </c>
      <c r="D147" s="10"/>
      <c r="E147" s="11" t="n">
        <f>6491</f>
        <v>6491.0</v>
      </c>
      <c r="F147" s="10"/>
      <c r="G147" s="11" t="n">
        <f>14885339500</f>
        <v>1.48853395E10</v>
      </c>
      <c r="H147" s="10" t="s">
        <v>30</v>
      </c>
      <c r="I147" s="11" t="n">
        <f>7</f>
        <v>7.0</v>
      </c>
      <c r="J147" s="10"/>
      <c r="K147" s="11" t="n">
        <f>32131</f>
        <v>32131.0</v>
      </c>
    </row>
    <row r="148">
      <c r="A148" s="8" t="s">
        <v>38</v>
      </c>
      <c r="B148" s="9" t="s">
        <v>58</v>
      </c>
      <c r="C148" s="9" t="s">
        <v>59</v>
      </c>
      <c r="D148" s="10"/>
      <c r="E148" s="11" t="n">
        <f>6733</f>
        <v>6733.0</v>
      </c>
      <c r="F148" s="10"/>
      <c r="G148" s="11" t="n">
        <f>15401720500</f>
        <v>1.54017205E10</v>
      </c>
      <c r="H148" s="10"/>
      <c r="I148" s="11" t="n">
        <f>5</f>
        <v>5.0</v>
      </c>
      <c r="J148" s="10"/>
      <c r="K148" s="11" t="n">
        <f>31889</f>
        <v>31889.0</v>
      </c>
    </row>
    <row r="149">
      <c r="A149" s="8" t="s">
        <v>39</v>
      </c>
      <c r="B149" s="9" t="s">
        <v>58</v>
      </c>
      <c r="C149" s="9" t="s">
        <v>59</v>
      </c>
      <c r="D149" s="10"/>
      <c r="E149" s="11" t="n">
        <f>6656</f>
        <v>6656.0</v>
      </c>
      <c r="F149" s="10"/>
      <c r="G149" s="11" t="n">
        <f>15395049500</f>
        <v>1.53950495E10</v>
      </c>
      <c r="H149" s="10"/>
      <c r="I149" s="11" t="n">
        <f>7</f>
        <v>7.0</v>
      </c>
      <c r="J149" s="10"/>
      <c r="K149" s="11" t="n">
        <f>32154</f>
        <v>32154.0</v>
      </c>
    </row>
    <row r="150">
      <c r="A150" s="8" t="s">
        <v>40</v>
      </c>
      <c r="B150" s="9" t="s">
        <v>58</v>
      </c>
      <c r="C150" s="9" t="s">
        <v>59</v>
      </c>
      <c r="D150" s="10"/>
      <c r="E150" s="11"/>
      <c r="F150" s="10"/>
      <c r="G150" s="11"/>
      <c r="H150" s="10"/>
      <c r="I150" s="11"/>
      <c r="J150" s="10"/>
      <c r="K150" s="11"/>
    </row>
    <row r="151">
      <c r="A151" s="8" t="s">
        <v>41</v>
      </c>
      <c r="B151" s="9" t="s">
        <v>58</v>
      </c>
      <c r="C151" s="9" t="s">
        <v>59</v>
      </c>
      <c r="D151" s="10"/>
      <c r="E151" s="11"/>
      <c r="F151" s="10"/>
      <c r="G151" s="11"/>
      <c r="H151" s="10"/>
      <c r="I151" s="11"/>
      <c r="J151" s="10"/>
      <c r="K151" s="11"/>
    </row>
    <row r="152">
      <c r="A152" s="8" t="s">
        <v>42</v>
      </c>
      <c r="B152" s="9" t="s">
        <v>58</v>
      </c>
      <c r="C152" s="9" t="s">
        <v>59</v>
      </c>
      <c r="D152" s="10"/>
      <c r="E152" s="11" t="n">
        <f>9391</f>
        <v>9391.0</v>
      </c>
      <c r="F152" s="10"/>
      <c r="G152" s="11" t="n">
        <f>21908728000</f>
        <v>2.1908728E10</v>
      </c>
      <c r="H152" s="10"/>
      <c r="I152" s="11" t="n">
        <f>5</f>
        <v>5.0</v>
      </c>
      <c r="J152" s="10"/>
      <c r="K152" s="11" t="n">
        <f>30661</f>
        <v>30661.0</v>
      </c>
    </row>
    <row r="153">
      <c r="A153" s="8" t="s">
        <v>43</v>
      </c>
      <c r="B153" s="9" t="s">
        <v>58</v>
      </c>
      <c r="C153" s="9" t="s">
        <v>59</v>
      </c>
      <c r="D153" s="10"/>
      <c r="E153" s="11" t="n">
        <f>8161</f>
        <v>8161.0</v>
      </c>
      <c r="F153" s="10"/>
      <c r="G153" s="11" t="n">
        <f>19320921500</f>
        <v>1.93209215E10</v>
      </c>
      <c r="H153" s="10"/>
      <c r="I153" s="11" t="n">
        <f>7</f>
        <v>7.0</v>
      </c>
      <c r="J153" s="10"/>
      <c r="K153" s="11" t="n">
        <f>31232</f>
        <v>31232.0</v>
      </c>
    </row>
    <row r="154">
      <c r="A154" s="8" t="s">
        <v>44</v>
      </c>
      <c r="B154" s="9" t="s">
        <v>58</v>
      </c>
      <c r="C154" s="9" t="s">
        <v>59</v>
      </c>
      <c r="D154" s="10"/>
      <c r="E154" s="11" t="n">
        <f>5996</f>
        <v>5996.0</v>
      </c>
      <c r="F154" s="10"/>
      <c r="G154" s="11" t="n">
        <f>14305055000</f>
        <v>1.4305055E10</v>
      </c>
      <c r="H154" s="10"/>
      <c r="I154" s="11" t="n">
        <f>7</f>
        <v>7.0</v>
      </c>
      <c r="J154" s="10"/>
      <c r="K154" s="11" t="n">
        <f>31813</f>
        <v>31813.0</v>
      </c>
    </row>
    <row r="155">
      <c r="A155" s="8" t="s">
        <v>45</v>
      </c>
      <c r="B155" s="9" t="s">
        <v>58</v>
      </c>
      <c r="C155" s="9" t="s">
        <v>59</v>
      </c>
      <c r="D155" s="10"/>
      <c r="E155" s="11" t="n">
        <f>7536</f>
        <v>7536.0</v>
      </c>
      <c r="F155" s="10"/>
      <c r="G155" s="11" t="n">
        <f>17997347500</f>
        <v>1.79973475E10</v>
      </c>
      <c r="H155" s="10"/>
      <c r="I155" s="11" t="n">
        <f>1</f>
        <v>1.0</v>
      </c>
      <c r="J155" s="10"/>
      <c r="K155" s="11" t="n">
        <f>31674</f>
        <v>31674.0</v>
      </c>
    </row>
    <row r="156">
      <c r="A156" s="8" t="s">
        <v>46</v>
      </c>
      <c r="B156" s="9" t="s">
        <v>58</v>
      </c>
      <c r="C156" s="9" t="s">
        <v>59</v>
      </c>
      <c r="D156" s="10" t="s">
        <v>30</v>
      </c>
      <c r="E156" s="11" t="n">
        <f>10403</f>
        <v>10403.0</v>
      </c>
      <c r="F156" s="10" t="s">
        <v>30</v>
      </c>
      <c r="G156" s="11" t="n">
        <f>24817659000</f>
        <v>2.4817659E10</v>
      </c>
      <c r="H156" s="10"/>
      <c r="I156" s="11" t="str">
        <f>"－"</f>
        <v>－</v>
      </c>
      <c r="J156" s="10"/>
      <c r="K156" s="11" t="n">
        <f>31648</f>
        <v>31648.0</v>
      </c>
    </row>
    <row r="157">
      <c r="A157" s="8" t="s">
        <v>47</v>
      </c>
      <c r="B157" s="9" t="s">
        <v>58</v>
      </c>
      <c r="C157" s="9" t="s">
        <v>59</v>
      </c>
      <c r="D157" s="10"/>
      <c r="E157" s="11"/>
      <c r="F157" s="10"/>
      <c r="G157" s="11"/>
      <c r="H157" s="10"/>
      <c r="I157" s="11"/>
      <c r="J157" s="10"/>
      <c r="K157" s="11"/>
    </row>
    <row r="158">
      <c r="A158" s="8" t="s">
        <v>48</v>
      </c>
      <c r="B158" s="9" t="s">
        <v>58</v>
      </c>
      <c r="C158" s="9" t="s">
        <v>59</v>
      </c>
      <c r="D158" s="10"/>
      <c r="E158" s="11"/>
      <c r="F158" s="10"/>
      <c r="G158" s="11"/>
      <c r="H158" s="10"/>
      <c r="I158" s="11"/>
      <c r="J158" s="10"/>
      <c r="K158" s="11"/>
    </row>
    <row r="159">
      <c r="A159" s="8" t="s">
        <v>49</v>
      </c>
      <c r="B159" s="9" t="s">
        <v>58</v>
      </c>
      <c r="C159" s="9" t="s">
        <v>59</v>
      </c>
      <c r="D159" s="10"/>
      <c r="E159" s="11" t="n">
        <f>9710</f>
        <v>9710.0</v>
      </c>
      <c r="F159" s="10"/>
      <c r="G159" s="11" t="n">
        <f>22857794500</f>
        <v>2.28577945E10</v>
      </c>
      <c r="H159" s="10"/>
      <c r="I159" s="11" t="n">
        <f>2</f>
        <v>2.0</v>
      </c>
      <c r="J159" s="10" t="s">
        <v>30</v>
      </c>
      <c r="K159" s="11" t="n">
        <f>32415</f>
        <v>32415.0</v>
      </c>
    </row>
    <row r="160">
      <c r="A160" s="8" t="s">
        <v>50</v>
      </c>
      <c r="B160" s="9" t="s">
        <v>58</v>
      </c>
      <c r="C160" s="9" t="s">
        <v>59</v>
      </c>
      <c r="D160" s="10"/>
      <c r="E160" s="11"/>
      <c r="F160" s="10"/>
      <c r="G160" s="11"/>
      <c r="H160" s="10"/>
      <c r="I160" s="11"/>
      <c r="J160" s="10"/>
      <c r="K160" s="11"/>
    </row>
    <row r="161">
      <c r="A161" s="8" t="s">
        <v>16</v>
      </c>
      <c r="B161" s="9" t="s">
        <v>60</v>
      </c>
      <c r="C161" s="9" t="s">
        <v>61</v>
      </c>
      <c r="D161" s="10"/>
      <c r="E161" s="11"/>
      <c r="F161" s="10"/>
      <c r="G161" s="11"/>
      <c r="H161" s="10"/>
      <c r="I161" s="11"/>
      <c r="J161" s="10"/>
      <c r="K161" s="11"/>
    </row>
    <row r="162">
      <c r="A162" s="8" t="s">
        <v>19</v>
      </c>
      <c r="B162" s="9" t="s">
        <v>60</v>
      </c>
      <c r="C162" s="9" t="s">
        <v>61</v>
      </c>
      <c r="D162" s="10"/>
      <c r="E162" s="11" t="n">
        <f>586</f>
        <v>586.0</v>
      </c>
      <c r="F162" s="10"/>
      <c r="G162" s="11" t="n">
        <f>267459550</f>
        <v>2.6745955E8</v>
      </c>
      <c r="H162" s="10" t="s">
        <v>53</v>
      </c>
      <c r="I162" s="11" t="str">
        <f>"－"</f>
        <v>－</v>
      </c>
      <c r="J162" s="10"/>
      <c r="K162" s="11" t="n">
        <f>2587</f>
        <v>2587.0</v>
      </c>
    </row>
    <row r="163">
      <c r="A163" s="8" t="s">
        <v>21</v>
      </c>
      <c r="B163" s="9" t="s">
        <v>60</v>
      </c>
      <c r="C163" s="9" t="s">
        <v>61</v>
      </c>
      <c r="D163" s="10"/>
      <c r="E163" s="11" t="n">
        <f>582</f>
        <v>582.0</v>
      </c>
      <c r="F163" s="10"/>
      <c r="G163" s="11" t="n">
        <f>265473600</f>
        <v>2.654736E8</v>
      </c>
      <c r="H163" s="10"/>
      <c r="I163" s="11" t="str">
        <f>"－"</f>
        <v>－</v>
      </c>
      <c r="J163" s="10"/>
      <c r="K163" s="11" t="n">
        <f>2666</f>
        <v>2666.0</v>
      </c>
    </row>
    <row r="164">
      <c r="A164" s="8" t="s">
        <v>22</v>
      </c>
      <c r="B164" s="9" t="s">
        <v>60</v>
      </c>
      <c r="C164" s="9" t="s">
        <v>61</v>
      </c>
      <c r="D164" s="10"/>
      <c r="E164" s="11" t="n">
        <f>620</f>
        <v>620.0</v>
      </c>
      <c r="F164" s="10"/>
      <c r="G164" s="11" t="n">
        <f>284824000</f>
        <v>2.84824E8</v>
      </c>
      <c r="H164" s="10"/>
      <c r="I164" s="11" t="str">
        <f>"－"</f>
        <v>－</v>
      </c>
      <c r="J164" s="10"/>
      <c r="K164" s="11" t="n">
        <f>2648</f>
        <v>2648.0</v>
      </c>
    </row>
    <row r="165">
      <c r="A165" s="8" t="s">
        <v>23</v>
      </c>
      <c r="B165" s="9" t="s">
        <v>60</v>
      </c>
      <c r="C165" s="9" t="s">
        <v>61</v>
      </c>
      <c r="D165" s="10"/>
      <c r="E165" s="11" t="n">
        <f>537</f>
        <v>537.0</v>
      </c>
      <c r="F165" s="10"/>
      <c r="G165" s="11" t="n">
        <f>245546500</f>
        <v>2.455465E8</v>
      </c>
      <c r="H165" s="10"/>
      <c r="I165" s="11" t="str">
        <f>"－"</f>
        <v>－</v>
      </c>
      <c r="J165" s="10"/>
      <c r="K165" s="11" t="n">
        <f>2653</f>
        <v>2653.0</v>
      </c>
    </row>
    <row r="166">
      <c r="A166" s="8" t="s">
        <v>24</v>
      </c>
      <c r="B166" s="9" t="s">
        <v>60</v>
      </c>
      <c r="C166" s="9" t="s">
        <v>61</v>
      </c>
      <c r="D166" s="10"/>
      <c r="E166" s="11" t="n">
        <f>573</f>
        <v>573.0</v>
      </c>
      <c r="F166" s="10"/>
      <c r="G166" s="11" t="n">
        <f>261071950</f>
        <v>2.6107195E8</v>
      </c>
      <c r="H166" s="10"/>
      <c r="I166" s="11" t="str">
        <f>"－"</f>
        <v>－</v>
      </c>
      <c r="J166" s="10"/>
      <c r="K166" s="11" t="n">
        <f>2662</f>
        <v>2662.0</v>
      </c>
    </row>
    <row r="167">
      <c r="A167" s="8" t="s">
        <v>25</v>
      </c>
      <c r="B167" s="9" t="s">
        <v>60</v>
      </c>
      <c r="C167" s="9" t="s">
        <v>61</v>
      </c>
      <c r="D167" s="10"/>
      <c r="E167" s="11"/>
      <c r="F167" s="10"/>
      <c r="G167" s="11"/>
      <c r="H167" s="10"/>
      <c r="I167" s="11"/>
      <c r="J167" s="10"/>
      <c r="K167" s="11"/>
    </row>
    <row r="168">
      <c r="A168" s="8" t="s">
        <v>26</v>
      </c>
      <c r="B168" s="9" t="s">
        <v>60</v>
      </c>
      <c r="C168" s="9" t="s">
        <v>61</v>
      </c>
      <c r="D168" s="10"/>
      <c r="E168" s="11"/>
      <c r="F168" s="10"/>
      <c r="G168" s="11"/>
      <c r="H168" s="10"/>
      <c r="I168" s="11"/>
      <c r="J168" s="10"/>
      <c r="K168" s="11"/>
    </row>
    <row r="169">
      <c r="A169" s="8" t="s">
        <v>27</v>
      </c>
      <c r="B169" s="9" t="s">
        <v>60</v>
      </c>
      <c r="C169" s="9" t="s">
        <v>61</v>
      </c>
      <c r="D169" s="10"/>
      <c r="E169" s="11" t="n">
        <f>573</f>
        <v>573.0</v>
      </c>
      <c r="F169" s="10"/>
      <c r="G169" s="11" t="n">
        <f>258613950</f>
        <v>2.5861395E8</v>
      </c>
      <c r="H169" s="10"/>
      <c r="I169" s="11" t="str">
        <f>"－"</f>
        <v>－</v>
      </c>
      <c r="J169" s="10"/>
      <c r="K169" s="11" t="n">
        <f>2685</f>
        <v>2685.0</v>
      </c>
    </row>
    <row r="170">
      <c r="A170" s="8" t="s">
        <v>28</v>
      </c>
      <c r="B170" s="9" t="s">
        <v>60</v>
      </c>
      <c r="C170" s="9" t="s">
        <v>61</v>
      </c>
      <c r="D170" s="10"/>
      <c r="E170" s="11" t="n">
        <f>839</f>
        <v>839.0</v>
      </c>
      <c r="F170" s="10"/>
      <c r="G170" s="11" t="n">
        <f>385554200</f>
        <v>3.855542E8</v>
      </c>
      <c r="H170" s="10"/>
      <c r="I170" s="11" t="str">
        <f>"－"</f>
        <v>－</v>
      </c>
      <c r="J170" s="10"/>
      <c r="K170" s="11" t="n">
        <f>2643</f>
        <v>2643.0</v>
      </c>
    </row>
    <row r="171">
      <c r="A171" s="8" t="s">
        <v>29</v>
      </c>
      <c r="B171" s="9" t="s">
        <v>60</v>
      </c>
      <c r="C171" s="9" t="s">
        <v>61</v>
      </c>
      <c r="D171" s="10"/>
      <c r="E171" s="11" t="n">
        <f>693</f>
        <v>693.0</v>
      </c>
      <c r="F171" s="10"/>
      <c r="G171" s="11" t="n">
        <f>318985550</f>
        <v>3.1898555E8</v>
      </c>
      <c r="H171" s="10"/>
      <c r="I171" s="11" t="str">
        <f>"－"</f>
        <v>－</v>
      </c>
      <c r="J171" s="10"/>
      <c r="K171" s="11" t="n">
        <f>2619</f>
        <v>2619.0</v>
      </c>
    </row>
    <row r="172">
      <c r="A172" s="8" t="s">
        <v>31</v>
      </c>
      <c r="B172" s="9" t="s">
        <v>60</v>
      </c>
      <c r="C172" s="9" t="s">
        <v>61</v>
      </c>
      <c r="D172" s="10"/>
      <c r="E172" s="11" t="n">
        <f>797</f>
        <v>797.0</v>
      </c>
      <c r="F172" s="10"/>
      <c r="G172" s="11" t="n">
        <f>368922150</f>
        <v>3.6892215E8</v>
      </c>
      <c r="H172" s="10"/>
      <c r="I172" s="11" t="str">
        <f>"－"</f>
        <v>－</v>
      </c>
      <c r="J172" s="10"/>
      <c r="K172" s="11" t="n">
        <f>2626</f>
        <v>2626.0</v>
      </c>
    </row>
    <row r="173">
      <c r="A173" s="8" t="s">
        <v>32</v>
      </c>
      <c r="B173" s="9" t="s">
        <v>60</v>
      </c>
      <c r="C173" s="9" t="s">
        <v>61</v>
      </c>
      <c r="D173" s="10"/>
      <c r="E173" s="11" t="n">
        <f>855</f>
        <v>855.0</v>
      </c>
      <c r="F173" s="10"/>
      <c r="G173" s="11" t="n">
        <f>395207600</f>
        <v>3.952076E8</v>
      </c>
      <c r="H173" s="10"/>
      <c r="I173" s="11" t="str">
        <f>"－"</f>
        <v>－</v>
      </c>
      <c r="J173" s="10"/>
      <c r="K173" s="11" t="n">
        <f>2620</f>
        <v>2620.0</v>
      </c>
    </row>
    <row r="174">
      <c r="A174" s="8" t="s">
        <v>33</v>
      </c>
      <c r="B174" s="9" t="s">
        <v>60</v>
      </c>
      <c r="C174" s="9" t="s">
        <v>61</v>
      </c>
      <c r="D174" s="10"/>
      <c r="E174" s="11"/>
      <c r="F174" s="10"/>
      <c r="G174" s="11"/>
      <c r="H174" s="10"/>
      <c r="I174" s="11"/>
      <c r="J174" s="10"/>
      <c r="K174" s="11"/>
    </row>
    <row r="175">
      <c r="A175" s="8" t="s">
        <v>34</v>
      </c>
      <c r="B175" s="9" t="s">
        <v>60</v>
      </c>
      <c r="C175" s="9" t="s">
        <v>61</v>
      </c>
      <c r="D175" s="10"/>
      <c r="E175" s="11"/>
      <c r="F175" s="10"/>
      <c r="G175" s="11"/>
      <c r="H175" s="10"/>
      <c r="I175" s="11"/>
      <c r="J175" s="10"/>
      <c r="K175" s="11"/>
    </row>
    <row r="176">
      <c r="A176" s="8" t="s">
        <v>35</v>
      </c>
      <c r="B176" s="9" t="s">
        <v>60</v>
      </c>
      <c r="C176" s="9" t="s">
        <v>61</v>
      </c>
      <c r="D176" s="10" t="s">
        <v>30</v>
      </c>
      <c r="E176" s="11" t="n">
        <f>1132</f>
        <v>1132.0</v>
      </c>
      <c r="F176" s="10"/>
      <c r="G176" s="11" t="n">
        <f>517007250</f>
        <v>5.1700725E8</v>
      </c>
      <c r="H176" s="10"/>
      <c r="I176" s="11" t="str">
        <f>"－"</f>
        <v>－</v>
      </c>
      <c r="J176" s="10" t="s">
        <v>30</v>
      </c>
      <c r="K176" s="11" t="n">
        <f>2694</f>
        <v>2694.0</v>
      </c>
    </row>
    <row r="177">
      <c r="A177" s="8" t="s">
        <v>36</v>
      </c>
      <c r="B177" s="9" t="s">
        <v>60</v>
      </c>
      <c r="C177" s="9" t="s">
        <v>61</v>
      </c>
      <c r="D177" s="10"/>
      <c r="E177" s="11" t="n">
        <f>914</f>
        <v>914.0</v>
      </c>
      <c r="F177" s="10"/>
      <c r="G177" s="11" t="n">
        <f>420745900</f>
        <v>4.207459E8</v>
      </c>
      <c r="H177" s="10"/>
      <c r="I177" s="11" t="str">
        <f>"－"</f>
        <v>－</v>
      </c>
      <c r="J177" s="10"/>
      <c r="K177" s="11" t="n">
        <f>2667</f>
        <v>2667.0</v>
      </c>
    </row>
    <row r="178">
      <c r="A178" s="8" t="s">
        <v>37</v>
      </c>
      <c r="B178" s="9" t="s">
        <v>60</v>
      </c>
      <c r="C178" s="9" t="s">
        <v>61</v>
      </c>
      <c r="D178" s="10"/>
      <c r="E178" s="11" t="n">
        <f>680</f>
        <v>680.0</v>
      </c>
      <c r="F178" s="10"/>
      <c r="G178" s="11" t="n">
        <f>311657600</f>
        <v>3.116576E8</v>
      </c>
      <c r="H178" s="10"/>
      <c r="I178" s="11" t="str">
        <f>"－"</f>
        <v>－</v>
      </c>
      <c r="J178" s="10"/>
      <c r="K178" s="11" t="n">
        <f>2658</f>
        <v>2658.0</v>
      </c>
    </row>
    <row r="179">
      <c r="A179" s="8" t="s">
        <v>38</v>
      </c>
      <c r="B179" s="9" t="s">
        <v>60</v>
      </c>
      <c r="C179" s="9" t="s">
        <v>61</v>
      </c>
      <c r="D179" s="10"/>
      <c r="E179" s="11" t="n">
        <f>992</f>
        <v>992.0</v>
      </c>
      <c r="F179" s="10"/>
      <c r="G179" s="11" t="n">
        <f>453762250</f>
        <v>4.5376225E8</v>
      </c>
      <c r="H179" s="10"/>
      <c r="I179" s="11" t="str">
        <f>"－"</f>
        <v>－</v>
      </c>
      <c r="J179" s="10"/>
      <c r="K179" s="11" t="n">
        <f>2672</f>
        <v>2672.0</v>
      </c>
    </row>
    <row r="180">
      <c r="A180" s="8" t="s">
        <v>39</v>
      </c>
      <c r="B180" s="9" t="s">
        <v>60</v>
      </c>
      <c r="C180" s="9" t="s">
        <v>61</v>
      </c>
      <c r="D180" s="10"/>
      <c r="E180" s="11" t="n">
        <f>835</f>
        <v>835.0</v>
      </c>
      <c r="F180" s="10"/>
      <c r="G180" s="11" t="n">
        <f>386349400</f>
        <v>3.863494E8</v>
      </c>
      <c r="H180" s="10"/>
      <c r="I180" s="11" t="str">
        <f>"－"</f>
        <v>－</v>
      </c>
      <c r="J180" s="10"/>
      <c r="K180" s="11" t="n">
        <f>2671</f>
        <v>2671.0</v>
      </c>
    </row>
    <row r="181">
      <c r="A181" s="8" t="s">
        <v>40</v>
      </c>
      <c r="B181" s="9" t="s">
        <v>60</v>
      </c>
      <c r="C181" s="9" t="s">
        <v>61</v>
      </c>
      <c r="D181" s="10"/>
      <c r="E181" s="11"/>
      <c r="F181" s="10"/>
      <c r="G181" s="11"/>
      <c r="H181" s="10"/>
      <c r="I181" s="11"/>
      <c r="J181" s="10"/>
      <c r="K181" s="11"/>
    </row>
    <row r="182">
      <c r="A182" s="8" t="s">
        <v>41</v>
      </c>
      <c r="B182" s="9" t="s">
        <v>60</v>
      </c>
      <c r="C182" s="9" t="s">
        <v>61</v>
      </c>
      <c r="D182" s="10"/>
      <c r="E182" s="11"/>
      <c r="F182" s="10"/>
      <c r="G182" s="11"/>
      <c r="H182" s="10"/>
      <c r="I182" s="11"/>
      <c r="J182" s="10"/>
      <c r="K182" s="11"/>
    </row>
    <row r="183">
      <c r="A183" s="8" t="s">
        <v>42</v>
      </c>
      <c r="B183" s="9" t="s">
        <v>60</v>
      </c>
      <c r="C183" s="9" t="s">
        <v>61</v>
      </c>
      <c r="D183" s="10"/>
      <c r="E183" s="11" t="n">
        <f>1127</f>
        <v>1127.0</v>
      </c>
      <c r="F183" s="10" t="s">
        <v>30</v>
      </c>
      <c r="G183" s="11" t="n">
        <f>524234200</f>
        <v>5.242342E8</v>
      </c>
      <c r="H183" s="10"/>
      <c r="I183" s="11" t="str">
        <f>"－"</f>
        <v>－</v>
      </c>
      <c r="J183" s="10"/>
      <c r="K183" s="11" t="n">
        <f>2571</f>
        <v>2571.0</v>
      </c>
    </row>
    <row r="184">
      <c r="A184" s="8" t="s">
        <v>43</v>
      </c>
      <c r="B184" s="9" t="s">
        <v>60</v>
      </c>
      <c r="C184" s="9" t="s">
        <v>61</v>
      </c>
      <c r="D184" s="10"/>
      <c r="E184" s="11" t="n">
        <f>853</f>
        <v>853.0</v>
      </c>
      <c r="F184" s="10"/>
      <c r="G184" s="11" t="n">
        <f>403273250</f>
        <v>4.0327325E8</v>
      </c>
      <c r="H184" s="10"/>
      <c r="I184" s="11" t="str">
        <f>"－"</f>
        <v>－</v>
      </c>
      <c r="J184" s="10"/>
      <c r="K184" s="11" t="n">
        <f>2620</f>
        <v>2620.0</v>
      </c>
    </row>
    <row r="185">
      <c r="A185" s="8" t="s">
        <v>44</v>
      </c>
      <c r="B185" s="9" t="s">
        <v>60</v>
      </c>
      <c r="C185" s="9" t="s">
        <v>61</v>
      </c>
      <c r="D185" s="10"/>
      <c r="E185" s="11" t="n">
        <f>493</f>
        <v>493.0</v>
      </c>
      <c r="F185" s="10"/>
      <c r="G185" s="11" t="n">
        <f>234745250</f>
        <v>2.3474525E8</v>
      </c>
      <c r="H185" s="10"/>
      <c r="I185" s="11" t="str">
        <f>"－"</f>
        <v>－</v>
      </c>
      <c r="J185" s="10" t="s">
        <v>20</v>
      </c>
      <c r="K185" s="11" t="n">
        <f>2481</f>
        <v>2481.0</v>
      </c>
    </row>
    <row r="186">
      <c r="A186" s="8" t="s">
        <v>45</v>
      </c>
      <c r="B186" s="9" t="s">
        <v>60</v>
      </c>
      <c r="C186" s="9" t="s">
        <v>61</v>
      </c>
      <c r="D186" s="10" t="s">
        <v>20</v>
      </c>
      <c r="E186" s="11" t="n">
        <f>327</f>
        <v>327.0</v>
      </c>
      <c r="F186" s="10" t="s">
        <v>20</v>
      </c>
      <c r="G186" s="11" t="n">
        <f>156113600</f>
        <v>1.561136E8</v>
      </c>
      <c r="H186" s="10"/>
      <c r="I186" s="11" t="str">
        <f>"－"</f>
        <v>－</v>
      </c>
      <c r="J186" s="10"/>
      <c r="K186" s="11" t="n">
        <f>2489</f>
        <v>2489.0</v>
      </c>
    </row>
    <row r="187">
      <c r="A187" s="8" t="s">
        <v>46</v>
      </c>
      <c r="B187" s="9" t="s">
        <v>60</v>
      </c>
      <c r="C187" s="9" t="s">
        <v>61</v>
      </c>
      <c r="D187" s="10"/>
      <c r="E187" s="11" t="n">
        <f>816</f>
        <v>816.0</v>
      </c>
      <c r="F187" s="10"/>
      <c r="G187" s="11" t="n">
        <f>389078750</f>
        <v>3.8907875E8</v>
      </c>
      <c r="H187" s="10"/>
      <c r="I187" s="11" t="str">
        <f>"－"</f>
        <v>－</v>
      </c>
      <c r="J187" s="10"/>
      <c r="K187" s="11" t="n">
        <f>2516</f>
        <v>2516.0</v>
      </c>
    </row>
    <row r="188">
      <c r="A188" s="8" t="s">
        <v>47</v>
      </c>
      <c r="B188" s="9" t="s">
        <v>60</v>
      </c>
      <c r="C188" s="9" t="s">
        <v>61</v>
      </c>
      <c r="D188" s="10"/>
      <c r="E188" s="11"/>
      <c r="F188" s="10"/>
      <c r="G188" s="11"/>
      <c r="H188" s="10"/>
      <c r="I188" s="11"/>
      <c r="J188" s="10"/>
      <c r="K188" s="11"/>
    </row>
    <row r="189">
      <c r="A189" s="8" t="s">
        <v>48</v>
      </c>
      <c r="B189" s="9" t="s">
        <v>60</v>
      </c>
      <c r="C189" s="9" t="s">
        <v>61</v>
      </c>
      <c r="D189" s="10"/>
      <c r="E189" s="11"/>
      <c r="F189" s="10"/>
      <c r="G189" s="11"/>
      <c r="H189" s="10"/>
      <c r="I189" s="11"/>
      <c r="J189" s="10"/>
      <c r="K189" s="11"/>
    </row>
    <row r="190">
      <c r="A190" s="8" t="s">
        <v>49</v>
      </c>
      <c r="B190" s="9" t="s">
        <v>60</v>
      </c>
      <c r="C190" s="9" t="s">
        <v>61</v>
      </c>
      <c r="D190" s="10"/>
      <c r="E190" s="11" t="n">
        <f>649</f>
        <v>649.0</v>
      </c>
      <c r="F190" s="10"/>
      <c r="G190" s="11" t="n">
        <f>305310150</f>
        <v>3.0531015E8</v>
      </c>
      <c r="H190" s="10"/>
      <c r="I190" s="11" t="str">
        <f>"－"</f>
        <v>－</v>
      </c>
      <c r="J190" s="10"/>
      <c r="K190" s="11" t="n">
        <f>2536</f>
        <v>2536.0</v>
      </c>
    </row>
    <row r="191">
      <c r="A191" s="8" t="s">
        <v>50</v>
      </c>
      <c r="B191" s="9" t="s">
        <v>60</v>
      </c>
      <c r="C191" s="9" t="s">
        <v>61</v>
      </c>
      <c r="D191" s="10"/>
      <c r="E191" s="11"/>
      <c r="F191" s="10"/>
      <c r="G191" s="11"/>
      <c r="H191" s="10"/>
      <c r="I191" s="11"/>
      <c r="J191" s="10"/>
      <c r="K191" s="11"/>
    </row>
    <row r="192">
      <c r="A192" s="8" t="s">
        <v>16</v>
      </c>
      <c r="B192" s="9" t="s">
        <v>62</v>
      </c>
      <c r="C192" s="9" t="s">
        <v>63</v>
      </c>
      <c r="D192" s="10"/>
      <c r="E192" s="11"/>
      <c r="F192" s="10"/>
      <c r="G192" s="11"/>
      <c r="H192" s="10"/>
      <c r="I192" s="11"/>
      <c r="J192" s="10"/>
      <c r="K192" s="11"/>
    </row>
    <row r="193">
      <c r="A193" s="8" t="s">
        <v>19</v>
      </c>
      <c r="B193" s="9" t="s">
        <v>62</v>
      </c>
      <c r="C193" s="9" t="s">
        <v>63</v>
      </c>
      <c r="D193" s="10" t="s">
        <v>30</v>
      </c>
      <c r="E193" s="11" t="n">
        <f>5391</f>
        <v>5391.0</v>
      </c>
      <c r="F193" s="10" t="s">
        <v>30</v>
      </c>
      <c r="G193" s="11" t="n">
        <f>2531488200</f>
        <v>2.5314882E9</v>
      </c>
      <c r="H193" s="10" t="s">
        <v>53</v>
      </c>
      <c r="I193" s="11" t="str">
        <f>"－"</f>
        <v>－</v>
      </c>
      <c r="J193" s="10"/>
      <c r="K193" s="11" t="n">
        <f>39910</f>
        <v>39910.0</v>
      </c>
    </row>
    <row r="194">
      <c r="A194" s="8" t="s">
        <v>21</v>
      </c>
      <c r="B194" s="9" t="s">
        <v>62</v>
      </c>
      <c r="C194" s="9" t="s">
        <v>63</v>
      </c>
      <c r="D194" s="10"/>
      <c r="E194" s="11" t="n">
        <f>2730</f>
        <v>2730.0</v>
      </c>
      <c r="F194" s="10"/>
      <c r="G194" s="11" t="n">
        <f>1314534900</f>
        <v>1.3145349E9</v>
      </c>
      <c r="H194" s="10"/>
      <c r="I194" s="11" t="str">
        <f>"－"</f>
        <v>－</v>
      </c>
      <c r="J194" s="10"/>
      <c r="K194" s="11" t="n">
        <f>38503</f>
        <v>38503.0</v>
      </c>
    </row>
    <row r="195">
      <c r="A195" s="8" t="s">
        <v>22</v>
      </c>
      <c r="B195" s="9" t="s">
        <v>62</v>
      </c>
      <c r="C195" s="9" t="s">
        <v>63</v>
      </c>
      <c r="D195" s="10"/>
      <c r="E195" s="11" t="n">
        <f>1765</f>
        <v>1765.0</v>
      </c>
      <c r="F195" s="10"/>
      <c r="G195" s="11" t="n">
        <f>845227800</f>
        <v>8.452278E8</v>
      </c>
      <c r="H195" s="10"/>
      <c r="I195" s="11" t="str">
        <f>"－"</f>
        <v>－</v>
      </c>
      <c r="J195" s="10"/>
      <c r="K195" s="11" t="n">
        <f>37917</f>
        <v>37917.0</v>
      </c>
    </row>
    <row r="196">
      <c r="A196" s="8" t="s">
        <v>23</v>
      </c>
      <c r="B196" s="9" t="s">
        <v>62</v>
      </c>
      <c r="C196" s="9" t="s">
        <v>63</v>
      </c>
      <c r="D196" s="10"/>
      <c r="E196" s="11" t="n">
        <f>2002</f>
        <v>2002.0</v>
      </c>
      <c r="F196" s="10"/>
      <c r="G196" s="11" t="n">
        <f>956804900</f>
        <v>9.568049E8</v>
      </c>
      <c r="H196" s="10"/>
      <c r="I196" s="11" t="str">
        <f>"－"</f>
        <v>－</v>
      </c>
      <c r="J196" s="10"/>
      <c r="K196" s="11" t="n">
        <f>37487</f>
        <v>37487.0</v>
      </c>
    </row>
    <row r="197">
      <c r="A197" s="8" t="s">
        <v>24</v>
      </c>
      <c r="B197" s="9" t="s">
        <v>62</v>
      </c>
      <c r="C197" s="9" t="s">
        <v>63</v>
      </c>
      <c r="D197" s="10"/>
      <c r="E197" s="11" t="n">
        <f>2195</f>
        <v>2195.0</v>
      </c>
      <c r="F197" s="10"/>
      <c r="G197" s="11" t="n">
        <f>1042636500</f>
        <v>1.0426365E9</v>
      </c>
      <c r="H197" s="10"/>
      <c r="I197" s="11" t="str">
        <f>"－"</f>
        <v>－</v>
      </c>
      <c r="J197" s="10"/>
      <c r="K197" s="11" t="n">
        <f>36590</f>
        <v>36590.0</v>
      </c>
    </row>
    <row r="198">
      <c r="A198" s="8" t="s">
        <v>25</v>
      </c>
      <c r="B198" s="9" t="s">
        <v>62</v>
      </c>
      <c r="C198" s="9" t="s">
        <v>63</v>
      </c>
      <c r="D198" s="10"/>
      <c r="E198" s="11"/>
      <c r="F198" s="10"/>
      <c r="G198" s="11"/>
      <c r="H198" s="10"/>
      <c r="I198" s="11"/>
      <c r="J198" s="10"/>
      <c r="K198" s="11"/>
    </row>
    <row r="199">
      <c r="A199" s="8" t="s">
        <v>26</v>
      </c>
      <c r="B199" s="9" t="s">
        <v>62</v>
      </c>
      <c r="C199" s="9" t="s">
        <v>63</v>
      </c>
      <c r="D199" s="10"/>
      <c r="E199" s="11"/>
      <c r="F199" s="10"/>
      <c r="G199" s="11"/>
      <c r="H199" s="10"/>
      <c r="I199" s="11"/>
      <c r="J199" s="10"/>
      <c r="K199" s="11"/>
    </row>
    <row r="200">
      <c r="A200" s="8" t="s">
        <v>27</v>
      </c>
      <c r="B200" s="9" t="s">
        <v>62</v>
      </c>
      <c r="C200" s="9" t="s">
        <v>63</v>
      </c>
      <c r="D200" s="10"/>
      <c r="E200" s="11" t="n">
        <f>2394</f>
        <v>2394.0</v>
      </c>
      <c r="F200" s="10"/>
      <c r="G200" s="11" t="n">
        <f>1131547500</f>
        <v>1.1315475E9</v>
      </c>
      <c r="H200" s="10"/>
      <c r="I200" s="11" t="str">
        <f>"－"</f>
        <v>－</v>
      </c>
      <c r="J200" s="10"/>
      <c r="K200" s="11" t="n">
        <f>36105</f>
        <v>36105.0</v>
      </c>
    </row>
    <row r="201">
      <c r="A201" s="8" t="s">
        <v>28</v>
      </c>
      <c r="B201" s="9" t="s">
        <v>62</v>
      </c>
      <c r="C201" s="9" t="s">
        <v>63</v>
      </c>
      <c r="D201" s="10"/>
      <c r="E201" s="11" t="n">
        <f>2010</f>
        <v>2010.0</v>
      </c>
      <c r="F201" s="10"/>
      <c r="G201" s="11" t="n">
        <f>958906800</f>
        <v>9.589068E8</v>
      </c>
      <c r="H201" s="10"/>
      <c r="I201" s="11" t="str">
        <f>"－"</f>
        <v>－</v>
      </c>
      <c r="J201" s="10" t="s">
        <v>20</v>
      </c>
      <c r="K201" s="11" t="n">
        <f>35524</f>
        <v>35524.0</v>
      </c>
    </row>
    <row r="202">
      <c r="A202" s="8" t="s">
        <v>29</v>
      </c>
      <c r="B202" s="9" t="s">
        <v>62</v>
      </c>
      <c r="C202" s="9" t="s">
        <v>63</v>
      </c>
      <c r="D202" s="10"/>
      <c r="E202" s="11" t="n">
        <f>2857</f>
        <v>2857.0</v>
      </c>
      <c r="F202" s="10"/>
      <c r="G202" s="11" t="n">
        <f>1366122900</f>
        <v>1.3661229E9</v>
      </c>
      <c r="H202" s="10"/>
      <c r="I202" s="11" t="str">
        <f>"－"</f>
        <v>－</v>
      </c>
      <c r="J202" s="10"/>
      <c r="K202" s="11" t="n">
        <f>36311</f>
        <v>36311.0</v>
      </c>
    </row>
    <row r="203">
      <c r="A203" s="8" t="s">
        <v>31</v>
      </c>
      <c r="B203" s="9" t="s">
        <v>62</v>
      </c>
      <c r="C203" s="9" t="s">
        <v>63</v>
      </c>
      <c r="D203" s="10"/>
      <c r="E203" s="11" t="n">
        <f>2806</f>
        <v>2806.0</v>
      </c>
      <c r="F203" s="10"/>
      <c r="G203" s="11" t="n">
        <f>1354740900</f>
        <v>1.3547409E9</v>
      </c>
      <c r="H203" s="10"/>
      <c r="I203" s="11" t="str">
        <f>"－"</f>
        <v>－</v>
      </c>
      <c r="J203" s="10"/>
      <c r="K203" s="11" t="n">
        <f>36897</f>
        <v>36897.0</v>
      </c>
    </row>
    <row r="204">
      <c r="A204" s="8" t="s">
        <v>32</v>
      </c>
      <c r="B204" s="9" t="s">
        <v>62</v>
      </c>
      <c r="C204" s="9" t="s">
        <v>63</v>
      </c>
      <c r="D204" s="10"/>
      <c r="E204" s="11" t="n">
        <f>1928</f>
        <v>1928.0</v>
      </c>
      <c r="F204" s="10"/>
      <c r="G204" s="11" t="n">
        <f>928283400</f>
        <v>9.282834E8</v>
      </c>
      <c r="H204" s="10"/>
      <c r="I204" s="11" t="str">
        <f>"－"</f>
        <v>－</v>
      </c>
      <c r="J204" s="10"/>
      <c r="K204" s="11" t="n">
        <f>37269</f>
        <v>37269.0</v>
      </c>
    </row>
    <row r="205">
      <c r="A205" s="8" t="s">
        <v>33</v>
      </c>
      <c r="B205" s="9" t="s">
        <v>62</v>
      </c>
      <c r="C205" s="9" t="s">
        <v>63</v>
      </c>
      <c r="D205" s="10"/>
      <c r="E205" s="11"/>
      <c r="F205" s="10"/>
      <c r="G205" s="11"/>
      <c r="H205" s="10"/>
      <c r="I205" s="11"/>
      <c r="J205" s="10"/>
      <c r="K205" s="11"/>
    </row>
    <row r="206">
      <c r="A206" s="8" t="s">
        <v>34</v>
      </c>
      <c r="B206" s="9" t="s">
        <v>62</v>
      </c>
      <c r="C206" s="9" t="s">
        <v>63</v>
      </c>
      <c r="D206" s="10"/>
      <c r="E206" s="11"/>
      <c r="F206" s="10"/>
      <c r="G206" s="11"/>
      <c r="H206" s="10"/>
      <c r="I206" s="11"/>
      <c r="J206" s="10"/>
      <c r="K206" s="11"/>
    </row>
    <row r="207">
      <c r="A207" s="8" t="s">
        <v>35</v>
      </c>
      <c r="B207" s="9" t="s">
        <v>62</v>
      </c>
      <c r="C207" s="9" t="s">
        <v>63</v>
      </c>
      <c r="D207" s="10"/>
      <c r="E207" s="11" t="n">
        <f>2081</f>
        <v>2081.0</v>
      </c>
      <c r="F207" s="10"/>
      <c r="G207" s="11" t="n">
        <f>987673400</f>
        <v>9.876734E8</v>
      </c>
      <c r="H207" s="10"/>
      <c r="I207" s="11" t="str">
        <f>"－"</f>
        <v>－</v>
      </c>
      <c r="J207" s="10"/>
      <c r="K207" s="11" t="n">
        <f>37472</f>
        <v>37472.0</v>
      </c>
    </row>
    <row r="208">
      <c r="A208" s="8" t="s">
        <v>36</v>
      </c>
      <c r="B208" s="9" t="s">
        <v>62</v>
      </c>
      <c r="C208" s="9" t="s">
        <v>63</v>
      </c>
      <c r="D208" s="10"/>
      <c r="E208" s="11" t="n">
        <f>3093</f>
        <v>3093.0</v>
      </c>
      <c r="F208" s="10"/>
      <c r="G208" s="11" t="n">
        <f>1466559700</f>
        <v>1.4665597E9</v>
      </c>
      <c r="H208" s="10"/>
      <c r="I208" s="11" t="str">
        <f>"－"</f>
        <v>－</v>
      </c>
      <c r="J208" s="10"/>
      <c r="K208" s="11" t="n">
        <f>37617</f>
        <v>37617.0</v>
      </c>
    </row>
    <row r="209">
      <c r="A209" s="8" t="s">
        <v>37</v>
      </c>
      <c r="B209" s="9" t="s">
        <v>62</v>
      </c>
      <c r="C209" s="9" t="s">
        <v>63</v>
      </c>
      <c r="D209" s="10"/>
      <c r="E209" s="11" t="n">
        <f>3283</f>
        <v>3283.0</v>
      </c>
      <c r="F209" s="10"/>
      <c r="G209" s="11" t="n">
        <f>1553083400</f>
        <v>1.5530834E9</v>
      </c>
      <c r="H209" s="10"/>
      <c r="I209" s="11" t="str">
        <f>"－"</f>
        <v>－</v>
      </c>
      <c r="J209" s="10"/>
      <c r="K209" s="11" t="n">
        <f>37504</f>
        <v>37504.0</v>
      </c>
    </row>
    <row r="210">
      <c r="A210" s="8" t="s">
        <v>38</v>
      </c>
      <c r="B210" s="9" t="s">
        <v>62</v>
      </c>
      <c r="C210" s="9" t="s">
        <v>63</v>
      </c>
      <c r="D210" s="10"/>
      <c r="E210" s="11" t="n">
        <f>3612</f>
        <v>3612.0</v>
      </c>
      <c r="F210" s="10"/>
      <c r="G210" s="11" t="n">
        <f>1720354700</f>
        <v>1.7203547E9</v>
      </c>
      <c r="H210" s="10"/>
      <c r="I210" s="11" t="str">
        <f>"－"</f>
        <v>－</v>
      </c>
      <c r="J210" s="10"/>
      <c r="K210" s="11" t="n">
        <f>38013</f>
        <v>38013.0</v>
      </c>
    </row>
    <row r="211">
      <c r="A211" s="8" t="s">
        <v>39</v>
      </c>
      <c r="B211" s="9" t="s">
        <v>62</v>
      </c>
      <c r="C211" s="9" t="s">
        <v>63</v>
      </c>
      <c r="D211" s="10"/>
      <c r="E211" s="11" t="n">
        <f>3104</f>
        <v>3104.0</v>
      </c>
      <c r="F211" s="10"/>
      <c r="G211" s="11" t="n">
        <f>1484080300</f>
        <v>1.4840803E9</v>
      </c>
      <c r="H211" s="10"/>
      <c r="I211" s="11" t="str">
        <f>"－"</f>
        <v>－</v>
      </c>
      <c r="J211" s="10"/>
      <c r="K211" s="11" t="n">
        <f>38374</f>
        <v>38374.0</v>
      </c>
    </row>
    <row r="212">
      <c r="A212" s="8" t="s">
        <v>40</v>
      </c>
      <c r="B212" s="9" t="s">
        <v>62</v>
      </c>
      <c r="C212" s="9" t="s">
        <v>63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41</v>
      </c>
      <c r="B213" s="9" t="s">
        <v>62</v>
      </c>
      <c r="C213" s="9" t="s">
        <v>63</v>
      </c>
      <c r="D213" s="10"/>
      <c r="E213" s="11"/>
      <c r="F213" s="10"/>
      <c r="G213" s="11"/>
      <c r="H213" s="10"/>
      <c r="I213" s="11"/>
      <c r="J213" s="10"/>
      <c r="K213" s="11"/>
    </row>
    <row r="214">
      <c r="A214" s="8" t="s">
        <v>42</v>
      </c>
      <c r="B214" s="9" t="s">
        <v>62</v>
      </c>
      <c r="C214" s="9" t="s">
        <v>63</v>
      </c>
      <c r="D214" s="10"/>
      <c r="E214" s="11" t="n">
        <f>3049</f>
        <v>3049.0</v>
      </c>
      <c r="F214" s="10"/>
      <c r="G214" s="11" t="n">
        <f>1464676600</f>
        <v>1.4646766E9</v>
      </c>
      <c r="H214" s="10"/>
      <c r="I214" s="11" t="str">
        <f>"－"</f>
        <v>－</v>
      </c>
      <c r="J214" s="10"/>
      <c r="K214" s="11" t="n">
        <f>38524</f>
        <v>38524.0</v>
      </c>
    </row>
    <row r="215">
      <c r="A215" s="8" t="s">
        <v>43</v>
      </c>
      <c r="B215" s="9" t="s">
        <v>62</v>
      </c>
      <c r="C215" s="9" t="s">
        <v>63</v>
      </c>
      <c r="D215" s="10"/>
      <c r="E215" s="11" t="n">
        <f>1830</f>
        <v>1830.0</v>
      </c>
      <c r="F215" s="10"/>
      <c r="G215" s="11" t="n">
        <f>881741100</f>
        <v>8.817411E8</v>
      </c>
      <c r="H215" s="10"/>
      <c r="I215" s="11" t="str">
        <f>"－"</f>
        <v>－</v>
      </c>
      <c r="J215" s="10"/>
      <c r="K215" s="11" t="n">
        <f>39045</f>
        <v>39045.0</v>
      </c>
    </row>
    <row r="216">
      <c r="A216" s="8" t="s">
        <v>44</v>
      </c>
      <c r="B216" s="9" t="s">
        <v>62</v>
      </c>
      <c r="C216" s="9" t="s">
        <v>63</v>
      </c>
      <c r="D216" s="10"/>
      <c r="E216" s="11" t="n">
        <f>1877</f>
        <v>1877.0</v>
      </c>
      <c r="F216" s="10"/>
      <c r="G216" s="11" t="n">
        <f>911918700</f>
        <v>9.119187E8</v>
      </c>
      <c r="H216" s="10"/>
      <c r="I216" s="11" t="str">
        <f>"－"</f>
        <v>－</v>
      </c>
      <c r="J216" s="10"/>
      <c r="K216" s="11" t="n">
        <f>39573</f>
        <v>39573.0</v>
      </c>
    </row>
    <row r="217">
      <c r="A217" s="8" t="s">
        <v>45</v>
      </c>
      <c r="B217" s="9" t="s">
        <v>62</v>
      </c>
      <c r="C217" s="9" t="s">
        <v>63</v>
      </c>
      <c r="D217" s="10"/>
      <c r="E217" s="11" t="n">
        <f>1897</f>
        <v>1897.0</v>
      </c>
      <c r="F217" s="10"/>
      <c r="G217" s="11" t="n">
        <f>921717200</f>
        <v>9.217172E8</v>
      </c>
      <c r="H217" s="10"/>
      <c r="I217" s="11" t="str">
        <f>"－"</f>
        <v>－</v>
      </c>
      <c r="J217" s="10"/>
      <c r="K217" s="11" t="n">
        <f>40250</f>
        <v>40250.0</v>
      </c>
    </row>
    <row r="218">
      <c r="A218" s="8" t="s">
        <v>46</v>
      </c>
      <c r="B218" s="9" t="s">
        <v>62</v>
      </c>
      <c r="C218" s="9" t="s">
        <v>63</v>
      </c>
      <c r="D218" s="10" t="s">
        <v>20</v>
      </c>
      <c r="E218" s="11" t="n">
        <f>1522</f>
        <v>1522.0</v>
      </c>
      <c r="F218" s="10" t="s">
        <v>20</v>
      </c>
      <c r="G218" s="11" t="n">
        <f>737464900</f>
        <v>7.374649E8</v>
      </c>
      <c r="H218" s="10"/>
      <c r="I218" s="11" t="str">
        <f>"－"</f>
        <v>－</v>
      </c>
      <c r="J218" s="10"/>
      <c r="K218" s="11" t="n">
        <f>40914</f>
        <v>40914.0</v>
      </c>
    </row>
    <row r="219">
      <c r="A219" s="8" t="s">
        <v>47</v>
      </c>
      <c r="B219" s="9" t="s">
        <v>62</v>
      </c>
      <c r="C219" s="9" t="s">
        <v>63</v>
      </c>
      <c r="D219" s="10"/>
      <c r="E219" s="11"/>
      <c r="F219" s="10"/>
      <c r="G219" s="11"/>
      <c r="H219" s="10"/>
      <c r="I219" s="11"/>
      <c r="J219" s="10"/>
      <c r="K219" s="11"/>
    </row>
    <row r="220">
      <c r="A220" s="8" t="s">
        <v>48</v>
      </c>
      <c r="B220" s="9" t="s">
        <v>62</v>
      </c>
      <c r="C220" s="9" t="s">
        <v>63</v>
      </c>
      <c r="D220" s="10"/>
      <c r="E220" s="11"/>
      <c r="F220" s="10"/>
      <c r="G220" s="11"/>
      <c r="H220" s="10"/>
      <c r="I220" s="11"/>
      <c r="J220" s="10"/>
      <c r="K220" s="11"/>
    </row>
    <row r="221">
      <c r="A221" s="8" t="s">
        <v>49</v>
      </c>
      <c r="B221" s="9" t="s">
        <v>62</v>
      </c>
      <c r="C221" s="9" t="s">
        <v>63</v>
      </c>
      <c r="D221" s="10"/>
      <c r="E221" s="11" t="n">
        <f>2926</f>
        <v>2926.0</v>
      </c>
      <c r="F221" s="10"/>
      <c r="G221" s="11" t="n">
        <f>1400652800</f>
        <v>1.4006528E9</v>
      </c>
      <c r="H221" s="10"/>
      <c r="I221" s="11" t="str">
        <f>"－"</f>
        <v>－</v>
      </c>
      <c r="J221" s="10" t="s">
        <v>30</v>
      </c>
      <c r="K221" s="11" t="n">
        <f>41206</f>
        <v>41206.0</v>
      </c>
    </row>
    <row r="222">
      <c r="A222" s="8" t="s">
        <v>50</v>
      </c>
      <c r="B222" s="9" t="s">
        <v>62</v>
      </c>
      <c r="C222" s="9" t="s">
        <v>63</v>
      </c>
      <c r="D222" s="10"/>
      <c r="E222" s="11"/>
      <c r="F222" s="10"/>
      <c r="G222" s="11"/>
      <c r="H222" s="10"/>
      <c r="I222" s="11"/>
      <c r="J222" s="10"/>
      <c r="K222" s="11"/>
    </row>
    <row r="223">
      <c r="A223" s="8" t="s">
        <v>16</v>
      </c>
      <c r="B223" s="9" t="s">
        <v>64</v>
      </c>
      <c r="C223" s="9" t="s">
        <v>65</v>
      </c>
      <c r="D223" s="10"/>
      <c r="E223" s="11"/>
      <c r="F223" s="10"/>
      <c r="G223" s="11"/>
      <c r="H223" s="10"/>
      <c r="I223" s="11"/>
      <c r="J223" s="10"/>
      <c r="K223" s="11"/>
    </row>
    <row r="224">
      <c r="A224" s="8" t="s">
        <v>19</v>
      </c>
      <c r="B224" s="9" t="s">
        <v>64</v>
      </c>
      <c r="C224" s="9" t="s">
        <v>65</v>
      </c>
      <c r="D224" s="10" t="s">
        <v>53</v>
      </c>
      <c r="E224" s="11" t="str">
        <f>"－"</f>
        <v>－</v>
      </c>
      <c r="F224" s="10" t="s">
        <v>53</v>
      </c>
      <c r="G224" s="11" t="str">
        <f>"－"</f>
        <v>－</v>
      </c>
      <c r="H224" s="10" t="s">
        <v>53</v>
      </c>
      <c r="I224" s="11" t="str">
        <f>"－"</f>
        <v>－</v>
      </c>
      <c r="J224" s="10" t="s">
        <v>53</v>
      </c>
      <c r="K224" s="11" t="str">
        <f>"－"</f>
        <v>－</v>
      </c>
    </row>
    <row r="225">
      <c r="A225" s="8" t="s">
        <v>21</v>
      </c>
      <c r="B225" s="9" t="s">
        <v>64</v>
      </c>
      <c r="C225" s="9" t="s">
        <v>65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22</v>
      </c>
      <c r="B226" s="9" t="s">
        <v>64</v>
      </c>
      <c r="C226" s="9" t="s">
        <v>65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23</v>
      </c>
      <c r="B227" s="9" t="s">
        <v>64</v>
      </c>
      <c r="C227" s="9" t="s">
        <v>65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24</v>
      </c>
      <c r="B228" s="9" t="s">
        <v>64</v>
      </c>
      <c r="C228" s="9" t="s">
        <v>65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25</v>
      </c>
      <c r="B229" s="9" t="s">
        <v>64</v>
      </c>
      <c r="C229" s="9" t="s">
        <v>65</v>
      </c>
      <c r="D229" s="10"/>
      <c r="E229" s="11"/>
      <c r="F229" s="10"/>
      <c r="G229" s="11"/>
      <c r="H229" s="10"/>
      <c r="I229" s="11"/>
      <c r="J229" s="10"/>
      <c r="K229" s="11"/>
    </row>
    <row r="230">
      <c r="A230" s="8" t="s">
        <v>26</v>
      </c>
      <c r="B230" s="9" t="s">
        <v>64</v>
      </c>
      <c r="C230" s="9" t="s">
        <v>65</v>
      </c>
      <c r="D230" s="10"/>
      <c r="E230" s="11"/>
      <c r="F230" s="10"/>
      <c r="G230" s="11"/>
      <c r="H230" s="10"/>
      <c r="I230" s="11"/>
      <c r="J230" s="10"/>
      <c r="K230" s="11"/>
    </row>
    <row r="231">
      <c r="A231" s="8" t="s">
        <v>27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28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29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31</v>
      </c>
      <c r="B234" s="9" t="s">
        <v>64</v>
      </c>
      <c r="C234" s="9" t="s">
        <v>65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32</v>
      </c>
      <c r="B235" s="9" t="s">
        <v>64</v>
      </c>
      <c r="C235" s="9" t="s">
        <v>65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33</v>
      </c>
      <c r="B236" s="9" t="s">
        <v>64</v>
      </c>
      <c r="C236" s="9" t="s">
        <v>65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34</v>
      </c>
      <c r="B237" s="9" t="s">
        <v>64</v>
      </c>
      <c r="C237" s="9" t="s">
        <v>65</v>
      </c>
      <c r="D237" s="10"/>
      <c r="E237" s="11"/>
      <c r="F237" s="10"/>
      <c r="G237" s="11"/>
      <c r="H237" s="10"/>
      <c r="I237" s="11"/>
      <c r="J237" s="10"/>
      <c r="K237" s="11"/>
    </row>
    <row r="238">
      <c r="A238" s="8" t="s">
        <v>35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36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37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38</v>
      </c>
      <c r="B241" s="9" t="s">
        <v>64</v>
      </c>
      <c r="C241" s="9" t="s">
        <v>65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39</v>
      </c>
      <c r="B242" s="9" t="s">
        <v>64</v>
      </c>
      <c r="C242" s="9" t="s">
        <v>65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40</v>
      </c>
      <c r="B243" s="9" t="s">
        <v>64</v>
      </c>
      <c r="C243" s="9" t="s">
        <v>65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41</v>
      </c>
      <c r="B244" s="9" t="s">
        <v>64</v>
      </c>
      <c r="C244" s="9" t="s">
        <v>65</v>
      </c>
      <c r="D244" s="10"/>
      <c r="E244" s="11"/>
      <c r="F244" s="10"/>
      <c r="G244" s="11"/>
      <c r="H244" s="10"/>
      <c r="I244" s="11"/>
      <c r="J244" s="10"/>
      <c r="K244" s="11"/>
    </row>
    <row r="245">
      <c r="A245" s="8" t="s">
        <v>42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43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44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45</v>
      </c>
      <c r="B248" s="9" t="s">
        <v>64</v>
      </c>
      <c r="C248" s="9" t="s">
        <v>65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str">
        <f>"－"</f>
        <v>－</v>
      </c>
    </row>
    <row r="249">
      <c r="A249" s="8" t="s">
        <v>46</v>
      </c>
      <c r="B249" s="9" t="s">
        <v>64</v>
      </c>
      <c r="C249" s="9" t="s">
        <v>65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47</v>
      </c>
      <c r="B250" s="9" t="s">
        <v>64</v>
      </c>
      <c r="C250" s="9" t="s">
        <v>65</v>
      </c>
      <c r="D250" s="10"/>
      <c r="E250" s="11"/>
      <c r="F250" s="10"/>
      <c r="G250" s="11"/>
      <c r="H250" s="10"/>
      <c r="I250" s="11"/>
      <c r="J250" s="10"/>
      <c r="K250" s="11"/>
    </row>
    <row r="251">
      <c r="A251" s="8" t="s">
        <v>48</v>
      </c>
      <c r="B251" s="9" t="s">
        <v>64</v>
      </c>
      <c r="C251" s="9" t="s">
        <v>65</v>
      </c>
      <c r="D251" s="10"/>
      <c r="E251" s="11"/>
      <c r="F251" s="10"/>
      <c r="G251" s="11"/>
      <c r="H251" s="10"/>
      <c r="I251" s="11"/>
      <c r="J251" s="10"/>
      <c r="K251" s="11"/>
    </row>
    <row r="252">
      <c r="A252" s="8" t="s">
        <v>49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50</v>
      </c>
      <c r="B253" s="9" t="s">
        <v>64</v>
      </c>
      <c r="C253" s="9" t="s">
        <v>65</v>
      </c>
      <c r="D253" s="10"/>
      <c r="E253" s="11"/>
      <c r="F253" s="10"/>
      <c r="G253" s="11"/>
      <c r="H253" s="10"/>
      <c r="I253" s="11"/>
      <c r="J253" s="10"/>
      <c r="K253" s="11"/>
    </row>
    <row r="254">
      <c r="A254" s="8" t="s">
        <v>16</v>
      </c>
      <c r="B254" s="9" t="s">
        <v>66</v>
      </c>
      <c r="C254" s="9" t="s">
        <v>67</v>
      </c>
      <c r="D254" s="10"/>
      <c r="E254" s="11"/>
      <c r="F254" s="10"/>
      <c r="G254" s="11"/>
      <c r="H254" s="10"/>
      <c r="I254" s="11"/>
      <c r="J254" s="10"/>
      <c r="K254" s="11"/>
    </row>
    <row r="255">
      <c r="A255" s="8" t="s">
        <v>19</v>
      </c>
      <c r="B255" s="9" t="s">
        <v>66</v>
      </c>
      <c r="C255" s="9" t="s">
        <v>67</v>
      </c>
      <c r="D255" s="10" t="s">
        <v>53</v>
      </c>
      <c r="E255" s="11" t="str">
        <f>"－"</f>
        <v>－</v>
      </c>
      <c r="F255" s="10" t="s">
        <v>53</v>
      </c>
      <c r="G255" s="11" t="str">
        <f>"－"</f>
        <v>－</v>
      </c>
      <c r="H255" s="10" t="s">
        <v>53</v>
      </c>
      <c r="I255" s="11" t="str">
        <f>"－"</f>
        <v>－</v>
      </c>
      <c r="J255" s="10" t="s">
        <v>53</v>
      </c>
      <c r="K255" s="11" t="str">
        <f>"－"</f>
        <v>－</v>
      </c>
    </row>
    <row r="256">
      <c r="A256" s="8" t="s">
        <v>21</v>
      </c>
      <c r="B256" s="9" t="s">
        <v>66</v>
      </c>
      <c r="C256" s="9" t="s">
        <v>67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22</v>
      </c>
      <c r="B257" s="9" t="s">
        <v>66</v>
      </c>
      <c r="C257" s="9" t="s">
        <v>67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23</v>
      </c>
      <c r="B258" s="9" t="s">
        <v>66</v>
      </c>
      <c r="C258" s="9" t="s">
        <v>67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str">
        <f>"－"</f>
        <v>－</v>
      </c>
    </row>
    <row r="259">
      <c r="A259" s="8" t="s">
        <v>24</v>
      </c>
      <c r="B259" s="9" t="s">
        <v>66</v>
      </c>
      <c r="C259" s="9" t="s">
        <v>67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str">
        <f>"－"</f>
        <v>－</v>
      </c>
    </row>
    <row r="260">
      <c r="A260" s="8" t="s">
        <v>25</v>
      </c>
      <c r="B260" s="9" t="s">
        <v>66</v>
      </c>
      <c r="C260" s="9" t="s">
        <v>67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26</v>
      </c>
      <c r="B261" s="9" t="s">
        <v>66</v>
      </c>
      <c r="C261" s="9" t="s">
        <v>67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27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28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29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31</v>
      </c>
      <c r="B265" s="9" t="s">
        <v>66</v>
      </c>
      <c r="C265" s="9" t="s">
        <v>67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str">
        <f>"－"</f>
        <v>－</v>
      </c>
    </row>
    <row r="266">
      <c r="A266" s="8" t="s">
        <v>32</v>
      </c>
      <c r="B266" s="9" t="s">
        <v>66</v>
      </c>
      <c r="C266" s="9" t="s">
        <v>67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str">
        <f>"－"</f>
        <v>－</v>
      </c>
    </row>
    <row r="267">
      <c r="A267" s="8" t="s">
        <v>33</v>
      </c>
      <c r="B267" s="9" t="s">
        <v>66</v>
      </c>
      <c r="C267" s="9" t="s">
        <v>67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34</v>
      </c>
      <c r="B268" s="9" t="s">
        <v>66</v>
      </c>
      <c r="C268" s="9" t="s">
        <v>67</v>
      </c>
      <c r="D268" s="10"/>
      <c r="E268" s="11"/>
      <c r="F268" s="10"/>
      <c r="G268" s="11"/>
      <c r="H268" s="10"/>
      <c r="I268" s="11"/>
      <c r="J268" s="10"/>
      <c r="K268" s="11"/>
    </row>
    <row r="269">
      <c r="A269" s="8" t="s">
        <v>35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36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37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38</v>
      </c>
      <c r="B272" s="9" t="s">
        <v>66</v>
      </c>
      <c r="C272" s="9" t="s">
        <v>67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str">
        <f>"－"</f>
        <v>－</v>
      </c>
    </row>
    <row r="273">
      <c r="A273" s="8" t="s">
        <v>39</v>
      </c>
      <c r="B273" s="9" t="s">
        <v>66</v>
      </c>
      <c r="C273" s="9" t="s">
        <v>67</v>
      </c>
      <c r="D273" s="10"/>
      <c r="E273" s="11" t="str">
        <f>"－"</f>
        <v>－</v>
      </c>
      <c r="F273" s="10"/>
      <c r="G273" s="11" t="str">
        <f>"－"</f>
        <v>－</v>
      </c>
      <c r="H273" s="10"/>
      <c r="I273" s="11" t="str">
        <f>"－"</f>
        <v>－</v>
      </c>
      <c r="J273" s="10"/>
      <c r="K273" s="11" t="str">
        <f>"－"</f>
        <v>－</v>
      </c>
    </row>
    <row r="274">
      <c r="A274" s="8" t="s">
        <v>40</v>
      </c>
      <c r="B274" s="9" t="s">
        <v>66</v>
      </c>
      <c r="C274" s="9" t="s">
        <v>67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41</v>
      </c>
      <c r="B275" s="9" t="s">
        <v>66</v>
      </c>
      <c r="C275" s="9" t="s">
        <v>67</v>
      </c>
      <c r="D275" s="10"/>
      <c r="E275" s="11"/>
      <c r="F275" s="10"/>
      <c r="G275" s="11"/>
      <c r="H275" s="10"/>
      <c r="I275" s="11"/>
      <c r="J275" s="10"/>
      <c r="K275" s="11"/>
    </row>
    <row r="276">
      <c r="A276" s="8" t="s">
        <v>42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str">
        <f>"－"</f>
        <v>－</v>
      </c>
    </row>
    <row r="277">
      <c r="A277" s="8" t="s">
        <v>43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str">
        <f>"－"</f>
        <v>－</v>
      </c>
    </row>
    <row r="278">
      <c r="A278" s="8" t="s">
        <v>44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str">
        <f>"－"</f>
        <v>－</v>
      </c>
    </row>
    <row r="279">
      <c r="A279" s="8" t="s">
        <v>45</v>
      </c>
      <c r="B279" s="9" t="s">
        <v>66</v>
      </c>
      <c r="C279" s="9" t="s">
        <v>67</v>
      </c>
      <c r="D279" s="10"/>
      <c r="E279" s="11" t="str">
        <f>"－"</f>
        <v>－</v>
      </c>
      <c r="F279" s="10"/>
      <c r="G279" s="11" t="str">
        <f>"－"</f>
        <v>－</v>
      </c>
      <c r="H279" s="10"/>
      <c r="I279" s="11" t="str">
        <f>"－"</f>
        <v>－</v>
      </c>
      <c r="J279" s="10"/>
      <c r="K279" s="11" t="str">
        <f>"－"</f>
        <v>－</v>
      </c>
    </row>
    <row r="280">
      <c r="A280" s="8" t="s">
        <v>46</v>
      </c>
      <c r="B280" s="9" t="s">
        <v>66</v>
      </c>
      <c r="C280" s="9" t="s">
        <v>67</v>
      </c>
      <c r="D280" s="10"/>
      <c r="E280" s="11" t="str">
        <f>"－"</f>
        <v>－</v>
      </c>
      <c r="F280" s="10"/>
      <c r="G280" s="11" t="str">
        <f>"－"</f>
        <v>－</v>
      </c>
      <c r="H280" s="10"/>
      <c r="I280" s="11" t="str">
        <f>"－"</f>
        <v>－</v>
      </c>
      <c r="J280" s="10"/>
      <c r="K280" s="11" t="str">
        <f>"－"</f>
        <v>－</v>
      </c>
    </row>
    <row r="281">
      <c r="A281" s="8" t="s">
        <v>47</v>
      </c>
      <c r="B281" s="9" t="s">
        <v>66</v>
      </c>
      <c r="C281" s="9" t="s">
        <v>67</v>
      </c>
      <c r="D281" s="10"/>
      <c r="E281" s="11"/>
      <c r="F281" s="10"/>
      <c r="G281" s="11"/>
      <c r="H281" s="10"/>
      <c r="I281" s="11"/>
      <c r="J281" s="10"/>
      <c r="K281" s="11"/>
    </row>
    <row r="282">
      <c r="A282" s="8" t="s">
        <v>48</v>
      </c>
      <c r="B282" s="9" t="s">
        <v>66</v>
      </c>
      <c r="C282" s="9" t="s">
        <v>67</v>
      </c>
      <c r="D282" s="10"/>
      <c r="E282" s="11"/>
      <c r="F282" s="10"/>
      <c r="G282" s="11"/>
      <c r="H282" s="10"/>
      <c r="I282" s="11"/>
      <c r="J282" s="10"/>
      <c r="K282" s="11"/>
    </row>
    <row r="283">
      <c r="A283" s="8" t="s">
        <v>49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str">
        <f>"－"</f>
        <v>－</v>
      </c>
    </row>
    <row r="284">
      <c r="A284" s="8" t="s">
        <v>50</v>
      </c>
      <c r="B284" s="9" t="s">
        <v>66</v>
      </c>
      <c r="C284" s="9" t="s">
        <v>67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16</v>
      </c>
      <c r="B285" s="9" t="s">
        <v>68</v>
      </c>
      <c r="C285" s="9" t="s">
        <v>69</v>
      </c>
      <c r="D285" s="10"/>
      <c r="E285" s="11"/>
      <c r="F285" s="10"/>
      <c r="G285" s="11"/>
      <c r="H285" s="10"/>
      <c r="I285" s="11"/>
      <c r="J285" s="10"/>
      <c r="K285" s="11"/>
    </row>
    <row r="286">
      <c r="A286" s="8" t="s">
        <v>19</v>
      </c>
      <c r="B286" s="9" t="s">
        <v>68</v>
      </c>
      <c r="C286" s="9" t="s">
        <v>69</v>
      </c>
      <c r="D286" s="10" t="s">
        <v>30</v>
      </c>
      <c r="E286" s="11" t="n">
        <f>2477</f>
        <v>2477.0</v>
      </c>
      <c r="F286" s="10" t="s">
        <v>30</v>
      </c>
      <c r="G286" s="11" t="n">
        <f>4521322500</f>
        <v>4.5213225E9</v>
      </c>
      <c r="H286" s="10" t="s">
        <v>20</v>
      </c>
      <c r="I286" s="11" t="str">
        <f>"－"</f>
        <v>－</v>
      </c>
      <c r="J286" s="10"/>
      <c r="K286" s="11" t="n">
        <f>4031</f>
        <v>4031.0</v>
      </c>
    </row>
    <row r="287">
      <c r="A287" s="8" t="s">
        <v>21</v>
      </c>
      <c r="B287" s="9" t="s">
        <v>68</v>
      </c>
      <c r="C287" s="9" t="s">
        <v>69</v>
      </c>
      <c r="D287" s="10"/>
      <c r="E287" s="11" t="n">
        <f>1570</f>
        <v>1570.0</v>
      </c>
      <c r="F287" s="10"/>
      <c r="G287" s="11" t="n">
        <f>2887195000</f>
        <v>2.887195E9</v>
      </c>
      <c r="H287" s="10"/>
      <c r="I287" s="11" t="str">
        <f>"－"</f>
        <v>－</v>
      </c>
      <c r="J287" s="10" t="s">
        <v>20</v>
      </c>
      <c r="K287" s="11" t="n">
        <f>3836</f>
        <v>3836.0</v>
      </c>
    </row>
    <row r="288">
      <c r="A288" s="8" t="s">
        <v>22</v>
      </c>
      <c r="B288" s="9" t="s">
        <v>68</v>
      </c>
      <c r="C288" s="9" t="s">
        <v>69</v>
      </c>
      <c r="D288" s="10"/>
      <c r="E288" s="11" t="n">
        <f>1676</f>
        <v>1676.0</v>
      </c>
      <c r="F288" s="10"/>
      <c r="G288" s="11" t="n">
        <f>3137618000</f>
        <v>3.137618E9</v>
      </c>
      <c r="H288" s="10"/>
      <c r="I288" s="11" t="str">
        <f>"－"</f>
        <v>－</v>
      </c>
      <c r="J288" s="10"/>
      <c r="K288" s="11" t="n">
        <f>4071</f>
        <v>4071.0</v>
      </c>
    </row>
    <row r="289">
      <c r="A289" s="8" t="s">
        <v>23</v>
      </c>
      <c r="B289" s="9" t="s">
        <v>68</v>
      </c>
      <c r="C289" s="9" t="s">
        <v>69</v>
      </c>
      <c r="D289" s="10"/>
      <c r="E289" s="11" t="n">
        <f>798</f>
        <v>798.0</v>
      </c>
      <c r="F289" s="10"/>
      <c r="G289" s="11" t="n">
        <f>1491418500</f>
        <v>1.4914185E9</v>
      </c>
      <c r="H289" s="10"/>
      <c r="I289" s="11" t="n">
        <f>1</f>
        <v>1.0</v>
      </c>
      <c r="J289" s="10"/>
      <c r="K289" s="11" t="n">
        <f>4100</f>
        <v>4100.0</v>
      </c>
    </row>
    <row r="290">
      <c r="A290" s="8" t="s">
        <v>24</v>
      </c>
      <c r="B290" s="9" t="s">
        <v>68</v>
      </c>
      <c r="C290" s="9" t="s">
        <v>69</v>
      </c>
      <c r="D290" s="10"/>
      <c r="E290" s="11" t="n">
        <f>547</f>
        <v>547.0</v>
      </c>
      <c r="F290" s="10"/>
      <c r="G290" s="11" t="n">
        <f>1028378000</f>
        <v>1.028378E9</v>
      </c>
      <c r="H290" s="10" t="s">
        <v>30</v>
      </c>
      <c r="I290" s="11" t="n">
        <f>4</f>
        <v>4.0</v>
      </c>
      <c r="J290" s="10"/>
      <c r="K290" s="11" t="n">
        <f>4159</f>
        <v>4159.0</v>
      </c>
    </row>
    <row r="291">
      <c r="A291" s="8" t="s">
        <v>25</v>
      </c>
      <c r="B291" s="9" t="s">
        <v>68</v>
      </c>
      <c r="C291" s="9" t="s">
        <v>69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26</v>
      </c>
      <c r="B292" s="9" t="s">
        <v>68</v>
      </c>
      <c r="C292" s="9" t="s">
        <v>69</v>
      </c>
      <c r="D292" s="10"/>
      <c r="E292" s="11"/>
      <c r="F292" s="10"/>
      <c r="G292" s="11"/>
      <c r="H292" s="10"/>
      <c r="I292" s="11"/>
      <c r="J292" s="10"/>
      <c r="K292" s="11"/>
    </row>
    <row r="293">
      <c r="A293" s="8" t="s">
        <v>27</v>
      </c>
      <c r="B293" s="9" t="s">
        <v>68</v>
      </c>
      <c r="C293" s="9" t="s">
        <v>69</v>
      </c>
      <c r="D293" s="10"/>
      <c r="E293" s="11" t="n">
        <f>1280</f>
        <v>1280.0</v>
      </c>
      <c r="F293" s="10"/>
      <c r="G293" s="11" t="n">
        <f>2380561500</f>
        <v>2.3805615E9</v>
      </c>
      <c r="H293" s="10"/>
      <c r="I293" s="11" t="n">
        <f>1</f>
        <v>1.0</v>
      </c>
      <c r="J293" s="10"/>
      <c r="K293" s="11" t="n">
        <f>4023</f>
        <v>4023.0</v>
      </c>
    </row>
    <row r="294">
      <c r="A294" s="8" t="s">
        <v>28</v>
      </c>
      <c r="B294" s="9" t="s">
        <v>68</v>
      </c>
      <c r="C294" s="9" t="s">
        <v>69</v>
      </c>
      <c r="D294" s="10"/>
      <c r="E294" s="11" t="n">
        <f>803</f>
        <v>803.0</v>
      </c>
      <c r="F294" s="10"/>
      <c r="G294" s="11" t="n">
        <f>1494766500</f>
        <v>1.4947665E9</v>
      </c>
      <c r="H294" s="10"/>
      <c r="I294" s="11" t="str">
        <f>"－"</f>
        <v>－</v>
      </c>
      <c r="J294" s="10"/>
      <c r="K294" s="11" t="n">
        <f>4296</f>
        <v>4296.0</v>
      </c>
    </row>
    <row r="295">
      <c r="A295" s="8" t="s">
        <v>29</v>
      </c>
      <c r="B295" s="9" t="s">
        <v>68</v>
      </c>
      <c r="C295" s="9" t="s">
        <v>69</v>
      </c>
      <c r="D295" s="10"/>
      <c r="E295" s="11" t="n">
        <f>1021</f>
        <v>1021.0</v>
      </c>
      <c r="F295" s="10"/>
      <c r="G295" s="11" t="n">
        <f>1899930500</f>
        <v>1.8999305E9</v>
      </c>
      <c r="H295" s="10"/>
      <c r="I295" s="11" t="str">
        <f>"－"</f>
        <v>－</v>
      </c>
      <c r="J295" s="10"/>
      <c r="K295" s="11" t="n">
        <f>4341</f>
        <v>4341.0</v>
      </c>
    </row>
    <row r="296">
      <c r="A296" s="8" t="s">
        <v>31</v>
      </c>
      <c r="B296" s="9" t="s">
        <v>68</v>
      </c>
      <c r="C296" s="9" t="s">
        <v>69</v>
      </c>
      <c r="D296" s="10"/>
      <c r="E296" s="11" t="n">
        <f>929</f>
        <v>929.0</v>
      </c>
      <c r="F296" s="10"/>
      <c r="G296" s="11" t="n">
        <f>1735433500</f>
        <v>1.7354335E9</v>
      </c>
      <c r="H296" s="10"/>
      <c r="I296" s="11" t="n">
        <f>1</f>
        <v>1.0</v>
      </c>
      <c r="J296" s="10"/>
      <c r="K296" s="11" t="n">
        <f>4219</f>
        <v>4219.0</v>
      </c>
    </row>
    <row r="297">
      <c r="A297" s="8" t="s">
        <v>32</v>
      </c>
      <c r="B297" s="9" t="s">
        <v>68</v>
      </c>
      <c r="C297" s="9" t="s">
        <v>69</v>
      </c>
      <c r="D297" s="10"/>
      <c r="E297" s="11" t="n">
        <f>811</f>
        <v>811.0</v>
      </c>
      <c r="F297" s="10"/>
      <c r="G297" s="11" t="n">
        <f>1494758500</f>
        <v>1.4947585E9</v>
      </c>
      <c r="H297" s="10"/>
      <c r="I297" s="11" t="n">
        <f>2</f>
        <v>2.0</v>
      </c>
      <c r="J297" s="10"/>
      <c r="K297" s="11" t="n">
        <f>4150</f>
        <v>4150.0</v>
      </c>
    </row>
    <row r="298">
      <c r="A298" s="8" t="s">
        <v>33</v>
      </c>
      <c r="B298" s="9" t="s">
        <v>68</v>
      </c>
      <c r="C298" s="9" t="s">
        <v>69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34</v>
      </c>
      <c r="B299" s="9" t="s">
        <v>68</v>
      </c>
      <c r="C299" s="9" t="s">
        <v>69</v>
      </c>
      <c r="D299" s="10"/>
      <c r="E299" s="11"/>
      <c r="F299" s="10"/>
      <c r="G299" s="11"/>
      <c r="H299" s="10"/>
      <c r="I299" s="11"/>
      <c r="J299" s="10"/>
      <c r="K299" s="11"/>
    </row>
    <row r="300">
      <c r="A300" s="8" t="s">
        <v>35</v>
      </c>
      <c r="B300" s="9" t="s">
        <v>68</v>
      </c>
      <c r="C300" s="9" t="s">
        <v>69</v>
      </c>
      <c r="D300" s="10"/>
      <c r="E300" s="11" t="n">
        <f>636</f>
        <v>636.0</v>
      </c>
      <c r="F300" s="10"/>
      <c r="G300" s="11" t="n">
        <f>1181647500</f>
        <v>1.1816475E9</v>
      </c>
      <c r="H300" s="10"/>
      <c r="I300" s="11" t="n">
        <f>1</f>
        <v>1.0</v>
      </c>
      <c r="J300" s="10"/>
      <c r="K300" s="11" t="n">
        <f>4138</f>
        <v>4138.0</v>
      </c>
    </row>
    <row r="301">
      <c r="A301" s="8" t="s">
        <v>36</v>
      </c>
      <c r="B301" s="9" t="s">
        <v>68</v>
      </c>
      <c r="C301" s="9" t="s">
        <v>69</v>
      </c>
      <c r="D301" s="10"/>
      <c r="E301" s="11" t="n">
        <f>405</f>
        <v>405.0</v>
      </c>
      <c r="F301" s="10"/>
      <c r="G301" s="11" t="n">
        <f>757123500</f>
        <v>7.571235E8</v>
      </c>
      <c r="H301" s="10"/>
      <c r="I301" s="11" t="str">
        <f>"－"</f>
        <v>－</v>
      </c>
      <c r="J301" s="10"/>
      <c r="K301" s="11" t="n">
        <f>4194</f>
        <v>4194.0</v>
      </c>
    </row>
    <row r="302">
      <c r="A302" s="8" t="s">
        <v>37</v>
      </c>
      <c r="B302" s="9" t="s">
        <v>68</v>
      </c>
      <c r="C302" s="9" t="s">
        <v>69</v>
      </c>
      <c r="D302" s="10"/>
      <c r="E302" s="11" t="n">
        <f>990</f>
        <v>990.0</v>
      </c>
      <c r="F302" s="10"/>
      <c r="G302" s="11" t="n">
        <f>1823512500</f>
        <v>1.8235125E9</v>
      </c>
      <c r="H302" s="10"/>
      <c r="I302" s="11" t="n">
        <f>4</f>
        <v>4.0</v>
      </c>
      <c r="J302" s="10"/>
      <c r="K302" s="11" t="n">
        <f>4180</f>
        <v>4180.0</v>
      </c>
    </row>
    <row r="303">
      <c r="A303" s="8" t="s">
        <v>38</v>
      </c>
      <c r="B303" s="9" t="s">
        <v>68</v>
      </c>
      <c r="C303" s="9" t="s">
        <v>69</v>
      </c>
      <c r="D303" s="10"/>
      <c r="E303" s="11" t="n">
        <f>822</f>
        <v>822.0</v>
      </c>
      <c r="F303" s="10"/>
      <c r="G303" s="11" t="n">
        <f>1517601500</f>
        <v>1.5176015E9</v>
      </c>
      <c r="H303" s="10"/>
      <c r="I303" s="11" t="n">
        <f>3</f>
        <v>3.0</v>
      </c>
      <c r="J303" s="10"/>
      <c r="K303" s="11" t="n">
        <f>3997</f>
        <v>3997.0</v>
      </c>
    </row>
    <row r="304">
      <c r="A304" s="8" t="s">
        <v>39</v>
      </c>
      <c r="B304" s="9" t="s">
        <v>68</v>
      </c>
      <c r="C304" s="9" t="s">
        <v>69</v>
      </c>
      <c r="D304" s="10"/>
      <c r="E304" s="11" t="n">
        <f>323</f>
        <v>323.0</v>
      </c>
      <c r="F304" s="10"/>
      <c r="G304" s="11" t="n">
        <f>596718000</f>
        <v>5.96718E8</v>
      </c>
      <c r="H304" s="10"/>
      <c r="I304" s="11" t="n">
        <f>2</f>
        <v>2.0</v>
      </c>
      <c r="J304" s="10"/>
      <c r="K304" s="11" t="n">
        <f>4015</f>
        <v>4015.0</v>
      </c>
    </row>
    <row r="305">
      <c r="A305" s="8" t="s">
        <v>40</v>
      </c>
      <c r="B305" s="9" t="s">
        <v>68</v>
      </c>
      <c r="C305" s="9" t="s">
        <v>69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41</v>
      </c>
      <c r="B306" s="9" t="s">
        <v>68</v>
      </c>
      <c r="C306" s="9" t="s">
        <v>69</v>
      </c>
      <c r="D306" s="10"/>
      <c r="E306" s="11"/>
      <c r="F306" s="10"/>
      <c r="G306" s="11"/>
      <c r="H306" s="10"/>
      <c r="I306" s="11"/>
      <c r="J306" s="10"/>
      <c r="K306" s="11"/>
    </row>
    <row r="307">
      <c r="A307" s="8" t="s">
        <v>42</v>
      </c>
      <c r="B307" s="9" t="s">
        <v>68</v>
      </c>
      <c r="C307" s="9" t="s">
        <v>69</v>
      </c>
      <c r="D307" s="10"/>
      <c r="E307" s="11" t="n">
        <f>751</f>
        <v>751.0</v>
      </c>
      <c r="F307" s="10"/>
      <c r="G307" s="11" t="n">
        <f>1368766000</f>
        <v>1.368766E9</v>
      </c>
      <c r="H307" s="10"/>
      <c r="I307" s="11" t="n">
        <f>2</f>
        <v>2.0</v>
      </c>
      <c r="J307" s="10"/>
      <c r="K307" s="11" t="n">
        <f>3975</f>
        <v>3975.0</v>
      </c>
    </row>
    <row r="308">
      <c r="A308" s="8" t="s">
        <v>43</v>
      </c>
      <c r="B308" s="9" t="s">
        <v>68</v>
      </c>
      <c r="C308" s="9" t="s">
        <v>69</v>
      </c>
      <c r="D308" s="10"/>
      <c r="E308" s="11" t="n">
        <f>394</f>
        <v>394.0</v>
      </c>
      <c r="F308" s="10"/>
      <c r="G308" s="11" t="n">
        <f>722127000</f>
        <v>7.22127E8</v>
      </c>
      <c r="H308" s="10"/>
      <c r="I308" s="11" t="str">
        <f>"－"</f>
        <v>－</v>
      </c>
      <c r="J308" s="10"/>
      <c r="K308" s="11" t="n">
        <f>3938</f>
        <v>3938.0</v>
      </c>
    </row>
    <row r="309">
      <c r="A309" s="8" t="s">
        <v>44</v>
      </c>
      <c r="B309" s="9" t="s">
        <v>68</v>
      </c>
      <c r="C309" s="9" t="s">
        <v>69</v>
      </c>
      <c r="D309" s="10" t="s">
        <v>20</v>
      </c>
      <c r="E309" s="11" t="n">
        <f>149</f>
        <v>149.0</v>
      </c>
      <c r="F309" s="10" t="s">
        <v>20</v>
      </c>
      <c r="G309" s="11" t="n">
        <f>275229000</f>
        <v>2.75229E8</v>
      </c>
      <c r="H309" s="10"/>
      <c r="I309" s="11" t="n">
        <f>2</f>
        <v>2.0</v>
      </c>
      <c r="J309" s="10"/>
      <c r="K309" s="11" t="n">
        <f>3933</f>
        <v>3933.0</v>
      </c>
    </row>
    <row r="310">
      <c r="A310" s="8" t="s">
        <v>45</v>
      </c>
      <c r="B310" s="9" t="s">
        <v>68</v>
      </c>
      <c r="C310" s="9" t="s">
        <v>69</v>
      </c>
      <c r="D310" s="10"/>
      <c r="E310" s="11" t="n">
        <f>201</f>
        <v>201.0</v>
      </c>
      <c r="F310" s="10"/>
      <c r="G310" s="11" t="n">
        <f>371553500</f>
        <v>3.715535E8</v>
      </c>
      <c r="H310" s="10"/>
      <c r="I310" s="11" t="str">
        <f>"－"</f>
        <v>－</v>
      </c>
      <c r="J310" s="10"/>
      <c r="K310" s="11" t="n">
        <f>3921</f>
        <v>3921.0</v>
      </c>
    </row>
    <row r="311">
      <c r="A311" s="8" t="s">
        <v>46</v>
      </c>
      <c r="B311" s="9" t="s">
        <v>68</v>
      </c>
      <c r="C311" s="9" t="s">
        <v>69</v>
      </c>
      <c r="D311" s="10"/>
      <c r="E311" s="11" t="n">
        <f>506</f>
        <v>506.0</v>
      </c>
      <c r="F311" s="10"/>
      <c r="G311" s="11" t="n">
        <f>935798000</f>
        <v>9.35798E8</v>
      </c>
      <c r="H311" s="10"/>
      <c r="I311" s="11" t="str">
        <f>"－"</f>
        <v>－</v>
      </c>
      <c r="J311" s="10"/>
      <c r="K311" s="11" t="n">
        <f>3923</f>
        <v>3923.0</v>
      </c>
    </row>
    <row r="312">
      <c r="A312" s="8" t="s">
        <v>47</v>
      </c>
      <c r="B312" s="9" t="s">
        <v>68</v>
      </c>
      <c r="C312" s="9" t="s">
        <v>69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48</v>
      </c>
      <c r="B313" s="9" t="s">
        <v>68</v>
      </c>
      <c r="C313" s="9" t="s">
        <v>69</v>
      </c>
      <c r="D313" s="10"/>
      <c r="E313" s="11"/>
      <c r="F313" s="10"/>
      <c r="G313" s="11"/>
      <c r="H313" s="10"/>
      <c r="I313" s="11"/>
      <c r="J313" s="10"/>
      <c r="K313" s="11"/>
    </row>
    <row r="314">
      <c r="A314" s="8" t="s">
        <v>49</v>
      </c>
      <c r="B314" s="9" t="s">
        <v>68</v>
      </c>
      <c r="C314" s="9" t="s">
        <v>69</v>
      </c>
      <c r="D314" s="10"/>
      <c r="E314" s="11" t="n">
        <f>1997</f>
        <v>1997.0</v>
      </c>
      <c r="F314" s="10"/>
      <c r="G314" s="11" t="n">
        <f>3719214000</f>
        <v>3.719214E9</v>
      </c>
      <c r="H314" s="10"/>
      <c r="I314" s="11" t="n">
        <f>1</f>
        <v>1.0</v>
      </c>
      <c r="J314" s="10" t="s">
        <v>30</v>
      </c>
      <c r="K314" s="11" t="n">
        <f>4417</f>
        <v>4417.0</v>
      </c>
    </row>
    <row r="315">
      <c r="A315" s="8" t="s">
        <v>50</v>
      </c>
      <c r="B315" s="9" t="s">
        <v>68</v>
      </c>
      <c r="C315" s="9" t="s">
        <v>69</v>
      </c>
      <c r="D315" s="10"/>
      <c r="E315" s="11"/>
      <c r="F315" s="10"/>
      <c r="G315" s="11"/>
      <c r="H315" s="10"/>
      <c r="I315" s="11"/>
      <c r="J315" s="10"/>
      <c r="K315" s="11"/>
    </row>
    <row r="316">
      <c r="A316" s="8" t="s">
        <v>16</v>
      </c>
      <c r="B316" s="9" t="s">
        <v>70</v>
      </c>
      <c r="C316" s="9" t="s">
        <v>71</v>
      </c>
      <c r="D316" s="10"/>
      <c r="E316" s="11"/>
      <c r="F316" s="10"/>
      <c r="G316" s="11"/>
      <c r="H316" s="10"/>
      <c r="I316" s="11"/>
      <c r="J316" s="10"/>
      <c r="K316" s="11"/>
    </row>
    <row r="317">
      <c r="A317" s="8" t="s">
        <v>19</v>
      </c>
      <c r="B317" s="9" t="s">
        <v>70</v>
      </c>
      <c r="C317" s="9" t="s">
        <v>71</v>
      </c>
      <c r="D317" s="10" t="s">
        <v>30</v>
      </c>
      <c r="E317" s="11" t="n">
        <f>45</f>
        <v>45.0</v>
      </c>
      <c r="F317" s="10" t="s">
        <v>30</v>
      </c>
      <c r="G317" s="11" t="n">
        <f>68536500</f>
        <v>6.85365E7</v>
      </c>
      <c r="H317" s="10" t="s">
        <v>53</v>
      </c>
      <c r="I317" s="11" t="str">
        <f>"－"</f>
        <v>－</v>
      </c>
      <c r="J317" s="10" t="s">
        <v>53</v>
      </c>
      <c r="K317" s="11" t="str">
        <f>"－"</f>
        <v>－</v>
      </c>
    </row>
    <row r="318">
      <c r="A318" s="8" t="s">
        <v>21</v>
      </c>
      <c r="B318" s="9" t="s">
        <v>70</v>
      </c>
      <c r="C318" s="9" t="s">
        <v>71</v>
      </c>
      <c r="D318" s="10" t="s">
        <v>20</v>
      </c>
      <c r="E318" s="11" t="str">
        <f>"－"</f>
        <v>－</v>
      </c>
      <c r="F318" s="10" t="s">
        <v>20</v>
      </c>
      <c r="G318" s="11" t="str">
        <f>"－"</f>
        <v>－</v>
      </c>
      <c r="H318" s="10"/>
      <c r="I318" s="11" t="str">
        <f>"－"</f>
        <v>－</v>
      </c>
      <c r="J318" s="10"/>
      <c r="K318" s="11" t="str">
        <f>"－"</f>
        <v>－</v>
      </c>
    </row>
    <row r="319">
      <c r="A319" s="8" t="s">
        <v>22</v>
      </c>
      <c r="B319" s="9" t="s">
        <v>70</v>
      </c>
      <c r="C319" s="9" t="s">
        <v>71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24</v>
      </c>
      <c r="B321" s="9" t="s">
        <v>70</v>
      </c>
      <c r="C321" s="9" t="s">
        <v>71</v>
      </c>
      <c r="D321" s="10"/>
      <c r="E321" s="11" t="str">
        <f>"－"</f>
        <v>－</v>
      </c>
      <c r="F321" s="10"/>
      <c r="G321" s="11" t="str">
        <f>"－"</f>
        <v>－</v>
      </c>
      <c r="H321" s="10"/>
      <c r="I321" s="11" t="str">
        <f>"－"</f>
        <v>－</v>
      </c>
      <c r="J321" s="10"/>
      <c r="K321" s="11" t="str">
        <f>"－"</f>
        <v>－</v>
      </c>
    </row>
    <row r="322">
      <c r="A322" s="8" t="s">
        <v>25</v>
      </c>
      <c r="B322" s="9" t="s">
        <v>70</v>
      </c>
      <c r="C322" s="9" t="s">
        <v>71</v>
      </c>
      <c r="D322" s="10"/>
      <c r="E322" s="11"/>
      <c r="F322" s="10"/>
      <c r="G322" s="11"/>
      <c r="H322" s="10"/>
      <c r="I322" s="11"/>
      <c r="J322" s="10"/>
      <c r="K322" s="11"/>
    </row>
    <row r="323">
      <c r="A323" s="8" t="s">
        <v>26</v>
      </c>
      <c r="B323" s="9" t="s">
        <v>70</v>
      </c>
      <c r="C323" s="9" t="s">
        <v>71</v>
      </c>
      <c r="D323" s="10"/>
      <c r="E323" s="11"/>
      <c r="F323" s="10"/>
      <c r="G323" s="11"/>
      <c r="H323" s="10"/>
      <c r="I323" s="11"/>
      <c r="J323" s="10"/>
      <c r="K323" s="11"/>
    </row>
    <row r="324">
      <c r="A324" s="8" t="s">
        <v>27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28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29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31</v>
      </c>
      <c r="B327" s="9" t="s">
        <v>70</v>
      </c>
      <c r="C327" s="9" t="s">
        <v>71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str">
        <f>"－"</f>
        <v>－</v>
      </c>
    </row>
    <row r="328">
      <c r="A328" s="8" t="s">
        <v>32</v>
      </c>
      <c r="B328" s="9" t="s">
        <v>70</v>
      </c>
      <c r="C328" s="9" t="s">
        <v>71</v>
      </c>
      <c r="D328" s="10"/>
      <c r="E328" s="11" t="str">
        <f>"－"</f>
        <v>－</v>
      </c>
      <c r="F328" s="10"/>
      <c r="G328" s="11" t="str">
        <f>"－"</f>
        <v>－</v>
      </c>
      <c r="H328" s="10"/>
      <c r="I328" s="11" t="str">
        <f>"－"</f>
        <v>－</v>
      </c>
      <c r="J328" s="10"/>
      <c r="K328" s="11" t="str">
        <f>"－"</f>
        <v>－</v>
      </c>
    </row>
    <row r="329">
      <c r="A329" s="8" t="s">
        <v>33</v>
      </c>
      <c r="B329" s="9" t="s">
        <v>70</v>
      </c>
      <c r="C329" s="9" t="s">
        <v>71</v>
      </c>
      <c r="D329" s="10"/>
      <c r="E329" s="11"/>
      <c r="F329" s="10"/>
      <c r="G329" s="11"/>
      <c r="H329" s="10"/>
      <c r="I329" s="11"/>
      <c r="J329" s="10"/>
      <c r="K329" s="11"/>
    </row>
    <row r="330">
      <c r="A330" s="8" t="s">
        <v>34</v>
      </c>
      <c r="B330" s="9" t="s">
        <v>70</v>
      </c>
      <c r="C330" s="9" t="s">
        <v>71</v>
      </c>
      <c r="D330" s="10"/>
      <c r="E330" s="11"/>
      <c r="F330" s="10"/>
      <c r="G330" s="11"/>
      <c r="H330" s="10"/>
      <c r="I330" s="11"/>
      <c r="J330" s="10"/>
      <c r="K330" s="11"/>
    </row>
    <row r="331">
      <c r="A331" s="8" t="s">
        <v>35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37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11" t="str">
        <f>"－"</f>
        <v>－</v>
      </c>
      <c r="F335" s="10"/>
      <c r="G335" s="11" t="str">
        <f>"－"</f>
        <v>－</v>
      </c>
      <c r="H335" s="10"/>
      <c r="I335" s="11" t="str">
        <f>"－"</f>
        <v>－</v>
      </c>
      <c r="J335" s="10"/>
      <c r="K335" s="11" t="str">
        <f>"－"</f>
        <v>－</v>
      </c>
    </row>
    <row r="336">
      <c r="A336" s="8" t="s">
        <v>40</v>
      </c>
      <c r="B336" s="9" t="s">
        <v>70</v>
      </c>
      <c r="C336" s="9" t="s">
        <v>71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41</v>
      </c>
      <c r="B337" s="9" t="s">
        <v>70</v>
      </c>
      <c r="C337" s="9" t="s">
        <v>71</v>
      </c>
      <c r="D337" s="10"/>
      <c r="E337" s="11"/>
      <c r="F337" s="10"/>
      <c r="G337" s="11"/>
      <c r="H337" s="10"/>
      <c r="I337" s="11"/>
      <c r="J337" s="10"/>
      <c r="K337" s="11"/>
    </row>
    <row r="338">
      <c r="A338" s="8" t="s">
        <v>42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11" t="str">
        <f>"－"</f>
        <v>－</v>
      </c>
      <c r="F339" s="10"/>
      <c r="G339" s="11" t="str">
        <f>"－"</f>
        <v>－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11" t="str">
        <f>"－"</f>
        <v>－</v>
      </c>
      <c r="F340" s="10"/>
      <c r="G340" s="11" t="str">
        <f>"－"</f>
        <v>－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11" t="str">
        <f>"－"</f>
        <v>－</v>
      </c>
      <c r="F342" s="10"/>
      <c r="G342" s="11" t="str">
        <f>"－"</f>
        <v>－</v>
      </c>
      <c r="H342" s="10"/>
      <c r="I342" s="11" t="str">
        <f>"－"</f>
        <v>－</v>
      </c>
      <c r="J342" s="10"/>
      <c r="K342" s="11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11"/>
      <c r="F343" s="10"/>
      <c r="G343" s="11"/>
      <c r="H343" s="10"/>
      <c r="I343" s="11"/>
      <c r="J343" s="10"/>
      <c r="K343" s="11"/>
    </row>
    <row r="344">
      <c r="A344" s="8" t="s">
        <v>48</v>
      </c>
      <c r="B344" s="9" t="s">
        <v>70</v>
      </c>
      <c r="C344" s="9" t="s">
        <v>71</v>
      </c>
      <c r="D344" s="10"/>
      <c r="E344" s="11"/>
      <c r="F344" s="10"/>
      <c r="G344" s="11"/>
      <c r="H344" s="10"/>
      <c r="I344" s="11"/>
      <c r="J344" s="10"/>
      <c r="K344" s="11"/>
    </row>
    <row r="345">
      <c r="A345" s="8" t="s">
        <v>49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11"/>
      <c r="F346" s="10"/>
      <c r="G346" s="11"/>
      <c r="H346" s="10"/>
      <c r="I346" s="11"/>
      <c r="J346" s="10"/>
      <c r="K346" s="11"/>
    </row>
    <row r="347">
      <c r="A347" s="8" t="s">
        <v>16</v>
      </c>
      <c r="B347" s="9" t="s">
        <v>72</v>
      </c>
      <c r="C347" s="9" t="s">
        <v>73</v>
      </c>
      <c r="D347" s="10"/>
      <c r="E347" s="11"/>
      <c r="F347" s="10"/>
      <c r="G347" s="11"/>
      <c r="H347" s="10"/>
      <c r="I347" s="11"/>
      <c r="J347" s="10"/>
      <c r="K347" s="11"/>
    </row>
    <row r="348">
      <c r="A348" s="8" t="s">
        <v>19</v>
      </c>
      <c r="B348" s="9" t="s">
        <v>72</v>
      </c>
      <c r="C348" s="9" t="s">
        <v>73</v>
      </c>
      <c r="D348" s="10"/>
      <c r="E348" s="11" t="n">
        <f>6</f>
        <v>6.0</v>
      </c>
      <c r="F348" s="10"/>
      <c r="G348" s="11" t="n">
        <f>11584500</f>
        <v>1.15845E7</v>
      </c>
      <c r="H348" s="10" t="s">
        <v>53</v>
      </c>
      <c r="I348" s="11" t="str">
        <f>"－"</f>
        <v>－</v>
      </c>
      <c r="J348" s="10" t="s">
        <v>30</v>
      </c>
      <c r="K348" s="11" t="n">
        <f>180</f>
        <v>180.0</v>
      </c>
    </row>
    <row r="349">
      <c r="A349" s="8" t="s">
        <v>21</v>
      </c>
      <c r="B349" s="9" t="s">
        <v>72</v>
      </c>
      <c r="C349" s="9" t="s">
        <v>73</v>
      </c>
      <c r="D349" s="10" t="s">
        <v>20</v>
      </c>
      <c r="E349" s="11" t="str">
        <f>"－"</f>
        <v>－</v>
      </c>
      <c r="F349" s="10" t="s">
        <v>20</v>
      </c>
      <c r="G349" s="11" t="str">
        <f>"－"</f>
        <v>－</v>
      </c>
      <c r="H349" s="10"/>
      <c r="I349" s="11" t="str">
        <f>"－"</f>
        <v>－</v>
      </c>
      <c r="J349" s="10"/>
      <c r="K349" s="11" t="n">
        <f>180</f>
        <v>180.0</v>
      </c>
    </row>
    <row r="350">
      <c r="A350" s="8" t="s">
        <v>22</v>
      </c>
      <c r="B350" s="9" t="s">
        <v>72</v>
      </c>
      <c r="C350" s="9" t="s">
        <v>73</v>
      </c>
      <c r="D350" s="10"/>
      <c r="E350" s="11" t="str">
        <f>"－"</f>
        <v>－</v>
      </c>
      <c r="F350" s="10"/>
      <c r="G350" s="11" t="str">
        <f>"－"</f>
        <v>－</v>
      </c>
      <c r="H350" s="10"/>
      <c r="I350" s="11" t="str">
        <f>"－"</f>
        <v>－</v>
      </c>
      <c r="J350" s="10"/>
      <c r="K350" s="11" t="n">
        <f>180</f>
        <v>180.0</v>
      </c>
    </row>
    <row r="351">
      <c r="A351" s="8" t="s">
        <v>23</v>
      </c>
      <c r="B351" s="9" t="s">
        <v>72</v>
      </c>
      <c r="C351" s="9" t="s">
        <v>73</v>
      </c>
      <c r="D351" s="10"/>
      <c r="E351" s="11" t="str">
        <f>"－"</f>
        <v>－</v>
      </c>
      <c r="F351" s="10"/>
      <c r="G351" s="11" t="str">
        <f>"－"</f>
        <v>－</v>
      </c>
      <c r="H351" s="10"/>
      <c r="I351" s="11" t="str">
        <f>"－"</f>
        <v>－</v>
      </c>
      <c r="J351" s="10"/>
      <c r="K351" s="11" t="n">
        <f>180</f>
        <v>180.0</v>
      </c>
    </row>
    <row r="352">
      <c r="A352" s="8" t="s">
        <v>24</v>
      </c>
      <c r="B352" s="9" t="s">
        <v>72</v>
      </c>
      <c r="C352" s="9" t="s">
        <v>73</v>
      </c>
      <c r="D352" s="10"/>
      <c r="E352" s="11" t="str">
        <f>"－"</f>
        <v>－</v>
      </c>
      <c r="F352" s="10"/>
      <c r="G352" s="11" t="str">
        <f>"－"</f>
        <v>－</v>
      </c>
      <c r="H352" s="10"/>
      <c r="I352" s="11" t="str">
        <f>"－"</f>
        <v>－</v>
      </c>
      <c r="J352" s="10"/>
      <c r="K352" s="11" t="n">
        <f>180</f>
        <v>180.0</v>
      </c>
    </row>
    <row r="353">
      <c r="A353" s="8" t="s">
        <v>25</v>
      </c>
      <c r="B353" s="9" t="s">
        <v>72</v>
      </c>
      <c r="C353" s="9" t="s">
        <v>73</v>
      </c>
      <c r="D353" s="10"/>
      <c r="E353" s="11"/>
      <c r="F353" s="10"/>
      <c r="G353" s="11"/>
      <c r="H353" s="10"/>
      <c r="I353" s="11"/>
      <c r="J353" s="10"/>
      <c r="K353" s="11"/>
    </row>
    <row r="354">
      <c r="A354" s="8" t="s">
        <v>26</v>
      </c>
      <c r="B354" s="9" t="s">
        <v>72</v>
      </c>
      <c r="C354" s="9" t="s">
        <v>73</v>
      </c>
      <c r="D354" s="10"/>
      <c r="E354" s="11"/>
      <c r="F354" s="10"/>
      <c r="G354" s="11"/>
      <c r="H354" s="10"/>
      <c r="I354" s="11"/>
      <c r="J354" s="10"/>
      <c r="K354" s="11"/>
    </row>
    <row r="355">
      <c r="A355" s="8" t="s">
        <v>27</v>
      </c>
      <c r="B355" s="9" t="s">
        <v>72</v>
      </c>
      <c r="C355" s="9" t="s">
        <v>73</v>
      </c>
      <c r="D355" s="10"/>
      <c r="E355" s="11" t="n">
        <f>3</f>
        <v>3.0</v>
      </c>
      <c r="F355" s="10"/>
      <c r="G355" s="11" t="n">
        <f>5470500</f>
        <v>5470500.0</v>
      </c>
      <c r="H355" s="10"/>
      <c r="I355" s="11" t="str">
        <f>"－"</f>
        <v>－</v>
      </c>
      <c r="J355" s="10"/>
      <c r="K355" s="11" t="n">
        <f>180</f>
        <v>180.0</v>
      </c>
    </row>
    <row r="356">
      <c r="A356" s="8" t="s">
        <v>28</v>
      </c>
      <c r="B356" s="9" t="s">
        <v>72</v>
      </c>
      <c r="C356" s="9" t="s">
        <v>73</v>
      </c>
      <c r="D356" s="10"/>
      <c r="E356" s="11" t="str">
        <f>"－"</f>
        <v>－</v>
      </c>
      <c r="F356" s="10"/>
      <c r="G356" s="11" t="str">
        <f>"－"</f>
        <v>－</v>
      </c>
      <c r="H356" s="10"/>
      <c r="I356" s="11" t="str">
        <f>"－"</f>
        <v>－</v>
      </c>
      <c r="J356" s="10"/>
      <c r="K356" s="11" t="n">
        <f>180</f>
        <v>180.0</v>
      </c>
    </row>
    <row r="357">
      <c r="A357" s="8" t="s">
        <v>29</v>
      </c>
      <c r="B357" s="9" t="s">
        <v>72</v>
      </c>
      <c r="C357" s="9" t="s">
        <v>73</v>
      </c>
      <c r="D357" s="10"/>
      <c r="E357" s="11" t="str">
        <f>"－"</f>
        <v>－</v>
      </c>
      <c r="F357" s="10"/>
      <c r="G357" s="11" t="str">
        <f>"－"</f>
        <v>－</v>
      </c>
      <c r="H357" s="10"/>
      <c r="I357" s="11" t="str">
        <f>"－"</f>
        <v>－</v>
      </c>
      <c r="J357" s="10"/>
      <c r="K357" s="11" t="n">
        <f>180</f>
        <v>180.0</v>
      </c>
    </row>
    <row r="358">
      <c r="A358" s="8" t="s">
        <v>31</v>
      </c>
      <c r="B358" s="9" t="s">
        <v>72</v>
      </c>
      <c r="C358" s="9" t="s">
        <v>73</v>
      </c>
      <c r="D358" s="10"/>
      <c r="E358" s="11" t="n">
        <f>2</f>
        <v>2.0</v>
      </c>
      <c r="F358" s="10"/>
      <c r="G358" s="11" t="n">
        <f>3850000</f>
        <v>3850000.0</v>
      </c>
      <c r="H358" s="10"/>
      <c r="I358" s="11" t="str">
        <f>"－"</f>
        <v>－</v>
      </c>
      <c r="J358" s="10"/>
      <c r="K358" s="11" t="n">
        <f>178</f>
        <v>178.0</v>
      </c>
    </row>
    <row r="359">
      <c r="A359" s="8" t="s">
        <v>32</v>
      </c>
      <c r="B359" s="9" t="s">
        <v>72</v>
      </c>
      <c r="C359" s="9" t="s">
        <v>73</v>
      </c>
      <c r="D359" s="10"/>
      <c r="E359" s="11" t="str">
        <f>"－"</f>
        <v>－</v>
      </c>
      <c r="F359" s="10"/>
      <c r="G359" s="11" t="str">
        <f>"－"</f>
        <v>－</v>
      </c>
      <c r="H359" s="10"/>
      <c r="I359" s="11" t="str">
        <f>"－"</f>
        <v>－</v>
      </c>
      <c r="J359" s="10"/>
      <c r="K359" s="11" t="n">
        <f>178</f>
        <v>178.0</v>
      </c>
    </row>
    <row r="360">
      <c r="A360" s="8" t="s">
        <v>33</v>
      </c>
      <c r="B360" s="9" t="s">
        <v>72</v>
      </c>
      <c r="C360" s="9" t="s">
        <v>73</v>
      </c>
      <c r="D360" s="10"/>
      <c r="E360" s="11"/>
      <c r="F360" s="10"/>
      <c r="G360" s="11"/>
      <c r="H360" s="10"/>
      <c r="I360" s="11"/>
      <c r="J360" s="10"/>
      <c r="K360" s="11"/>
    </row>
    <row r="361">
      <c r="A361" s="8" t="s">
        <v>34</v>
      </c>
      <c r="B361" s="9" t="s">
        <v>72</v>
      </c>
      <c r="C361" s="9" t="s">
        <v>73</v>
      </c>
      <c r="D361" s="10"/>
      <c r="E361" s="11"/>
      <c r="F361" s="10"/>
      <c r="G361" s="11"/>
      <c r="H361" s="10"/>
      <c r="I361" s="11"/>
      <c r="J361" s="10"/>
      <c r="K361" s="11"/>
    </row>
    <row r="362">
      <c r="A362" s="8" t="s">
        <v>35</v>
      </c>
      <c r="B362" s="9" t="s">
        <v>72</v>
      </c>
      <c r="C362" s="9" t="s">
        <v>73</v>
      </c>
      <c r="D362" s="10"/>
      <c r="E362" s="11" t="str">
        <f>"－"</f>
        <v>－</v>
      </c>
      <c r="F362" s="10"/>
      <c r="G362" s="11" t="str">
        <f>"－"</f>
        <v>－</v>
      </c>
      <c r="H362" s="10"/>
      <c r="I362" s="11" t="str">
        <f>"－"</f>
        <v>－</v>
      </c>
      <c r="J362" s="10" t="s">
        <v>20</v>
      </c>
      <c r="K362" s="11" t="n">
        <f>172</f>
        <v>172.0</v>
      </c>
    </row>
    <row r="363">
      <c r="A363" s="8" t="s">
        <v>36</v>
      </c>
      <c r="B363" s="9" t="s">
        <v>72</v>
      </c>
      <c r="C363" s="9" t="s">
        <v>73</v>
      </c>
      <c r="D363" s="10" t="s">
        <v>30</v>
      </c>
      <c r="E363" s="11" t="n">
        <f>13</f>
        <v>13.0</v>
      </c>
      <c r="F363" s="10" t="s">
        <v>30</v>
      </c>
      <c r="G363" s="11" t="n">
        <f>24615000</f>
        <v>2.4615E7</v>
      </c>
      <c r="H363" s="10"/>
      <c r="I363" s="11" t="str">
        <f>"－"</f>
        <v>－</v>
      </c>
      <c r="J363" s="10"/>
      <c r="K363" s="11" t="n">
        <f>173</f>
        <v>173.0</v>
      </c>
    </row>
    <row r="364">
      <c r="A364" s="8" t="s">
        <v>37</v>
      </c>
      <c r="B364" s="9" t="s">
        <v>72</v>
      </c>
      <c r="C364" s="9" t="s">
        <v>73</v>
      </c>
      <c r="D364" s="10"/>
      <c r="E364" s="11" t="n">
        <f>4</f>
        <v>4.0</v>
      </c>
      <c r="F364" s="10"/>
      <c r="G364" s="11" t="n">
        <f>7514000</f>
        <v>7514000.0</v>
      </c>
      <c r="H364" s="10"/>
      <c r="I364" s="11" t="str">
        <f>"－"</f>
        <v>－</v>
      </c>
      <c r="J364" s="10"/>
      <c r="K364" s="11" t="n">
        <f>175</f>
        <v>175.0</v>
      </c>
    </row>
    <row r="365">
      <c r="A365" s="8" t="s">
        <v>38</v>
      </c>
      <c r="B365" s="9" t="s">
        <v>72</v>
      </c>
      <c r="C365" s="9" t="s">
        <v>73</v>
      </c>
      <c r="D365" s="10"/>
      <c r="E365" s="11" t="str">
        <f>"－"</f>
        <v>－</v>
      </c>
      <c r="F365" s="10"/>
      <c r="G365" s="11" t="str">
        <f>"－"</f>
        <v>－</v>
      </c>
      <c r="H365" s="10"/>
      <c r="I365" s="11" t="str">
        <f>"－"</f>
        <v>－</v>
      </c>
      <c r="J365" s="10"/>
      <c r="K365" s="11" t="n">
        <f>175</f>
        <v>175.0</v>
      </c>
    </row>
    <row r="366">
      <c r="A366" s="8" t="s">
        <v>39</v>
      </c>
      <c r="B366" s="9" t="s">
        <v>72</v>
      </c>
      <c r="C366" s="9" t="s">
        <v>73</v>
      </c>
      <c r="D366" s="10"/>
      <c r="E366" s="11" t="str">
        <f>"－"</f>
        <v>－</v>
      </c>
      <c r="F366" s="10"/>
      <c r="G366" s="11" t="str">
        <f>"－"</f>
        <v>－</v>
      </c>
      <c r="H366" s="10"/>
      <c r="I366" s="11" t="str">
        <f>"－"</f>
        <v>－</v>
      </c>
      <c r="J366" s="10"/>
      <c r="K366" s="11" t="n">
        <f>175</f>
        <v>175.0</v>
      </c>
    </row>
    <row r="367">
      <c r="A367" s="8" t="s">
        <v>40</v>
      </c>
      <c r="B367" s="9" t="s">
        <v>72</v>
      </c>
      <c r="C367" s="9" t="s">
        <v>73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41</v>
      </c>
      <c r="B368" s="9" t="s">
        <v>72</v>
      </c>
      <c r="C368" s="9" t="s">
        <v>73</v>
      </c>
      <c r="D368" s="10"/>
      <c r="E368" s="11"/>
      <c r="F368" s="10"/>
      <c r="G368" s="11"/>
      <c r="H368" s="10"/>
      <c r="I368" s="11"/>
      <c r="J368" s="10"/>
      <c r="K368" s="11"/>
    </row>
    <row r="369">
      <c r="A369" s="8" t="s">
        <v>42</v>
      </c>
      <c r="B369" s="9" t="s">
        <v>72</v>
      </c>
      <c r="C369" s="9" t="s">
        <v>73</v>
      </c>
      <c r="D369" s="10"/>
      <c r="E369" s="11" t="n">
        <f>2</f>
        <v>2.0</v>
      </c>
      <c r="F369" s="10"/>
      <c r="G369" s="11" t="n">
        <f>3840000</f>
        <v>3840000.0</v>
      </c>
      <c r="H369" s="10"/>
      <c r="I369" s="11" t="str">
        <f>"－"</f>
        <v>－</v>
      </c>
      <c r="J369" s="10"/>
      <c r="K369" s="11" t="n">
        <f>173</f>
        <v>173.0</v>
      </c>
    </row>
    <row r="370">
      <c r="A370" s="8" t="s">
        <v>43</v>
      </c>
      <c r="B370" s="9" t="s">
        <v>72</v>
      </c>
      <c r="C370" s="9" t="s">
        <v>73</v>
      </c>
      <c r="D370" s="10"/>
      <c r="E370" s="11" t="str">
        <f>"－"</f>
        <v>－</v>
      </c>
      <c r="F370" s="10"/>
      <c r="G370" s="11" t="str">
        <f>"－"</f>
        <v>－</v>
      </c>
      <c r="H370" s="10"/>
      <c r="I370" s="11" t="str">
        <f>"－"</f>
        <v>－</v>
      </c>
      <c r="J370" s="10"/>
      <c r="K370" s="11" t="n">
        <f>173</f>
        <v>173.0</v>
      </c>
    </row>
    <row r="371">
      <c r="A371" s="8" t="s">
        <v>44</v>
      </c>
      <c r="B371" s="9" t="s">
        <v>72</v>
      </c>
      <c r="C371" s="9" t="s">
        <v>73</v>
      </c>
      <c r="D371" s="10"/>
      <c r="E371" s="11" t="n">
        <f>3</f>
        <v>3.0</v>
      </c>
      <c r="F371" s="10"/>
      <c r="G371" s="11" t="n">
        <f>5751000</f>
        <v>5751000.0</v>
      </c>
      <c r="H371" s="10"/>
      <c r="I371" s="11" t="str">
        <f>"－"</f>
        <v>－</v>
      </c>
      <c r="J371" s="10"/>
      <c r="K371" s="11" t="n">
        <f>173</f>
        <v>173.0</v>
      </c>
    </row>
    <row r="372">
      <c r="A372" s="8" t="s">
        <v>45</v>
      </c>
      <c r="B372" s="9" t="s">
        <v>72</v>
      </c>
      <c r="C372" s="9" t="s">
        <v>73</v>
      </c>
      <c r="D372" s="10"/>
      <c r="E372" s="11" t="str">
        <f>"－"</f>
        <v>－</v>
      </c>
      <c r="F372" s="10"/>
      <c r="G372" s="11" t="str">
        <f>"－"</f>
        <v>－</v>
      </c>
      <c r="H372" s="10"/>
      <c r="I372" s="11" t="str">
        <f>"－"</f>
        <v>－</v>
      </c>
      <c r="J372" s="10"/>
      <c r="K372" s="11" t="n">
        <f>173</f>
        <v>173.0</v>
      </c>
    </row>
    <row r="373">
      <c r="A373" s="8" t="s">
        <v>46</v>
      </c>
      <c r="B373" s="9" t="s">
        <v>72</v>
      </c>
      <c r="C373" s="9" t="s">
        <v>73</v>
      </c>
      <c r="D373" s="10"/>
      <c r="E373" s="11" t="n">
        <f>1</f>
        <v>1.0</v>
      </c>
      <c r="F373" s="10"/>
      <c r="G373" s="11" t="n">
        <f>1925000</f>
        <v>1925000.0</v>
      </c>
      <c r="H373" s="10"/>
      <c r="I373" s="11" t="str">
        <f>"－"</f>
        <v>－</v>
      </c>
      <c r="J373" s="10"/>
      <c r="K373" s="11" t="n">
        <f>173</f>
        <v>173.0</v>
      </c>
    </row>
    <row r="374">
      <c r="A374" s="8" t="s">
        <v>47</v>
      </c>
      <c r="B374" s="9" t="s">
        <v>72</v>
      </c>
      <c r="C374" s="9" t="s">
        <v>73</v>
      </c>
      <c r="D374" s="10"/>
      <c r="E374" s="11"/>
      <c r="F374" s="10"/>
      <c r="G374" s="11"/>
      <c r="H374" s="10"/>
      <c r="I374" s="11"/>
      <c r="J374" s="10"/>
      <c r="K374" s="11"/>
    </row>
    <row r="375">
      <c r="A375" s="8" t="s">
        <v>48</v>
      </c>
      <c r="B375" s="9" t="s">
        <v>72</v>
      </c>
      <c r="C375" s="9" t="s">
        <v>73</v>
      </c>
      <c r="D375" s="10"/>
      <c r="E375" s="11"/>
      <c r="F375" s="10"/>
      <c r="G375" s="11"/>
      <c r="H375" s="10"/>
      <c r="I375" s="11"/>
      <c r="J375" s="10"/>
      <c r="K375" s="11"/>
    </row>
    <row r="376">
      <c r="A376" s="8" t="s">
        <v>49</v>
      </c>
      <c r="B376" s="9" t="s">
        <v>72</v>
      </c>
      <c r="C376" s="9" t="s">
        <v>73</v>
      </c>
      <c r="D376" s="10"/>
      <c r="E376" s="11" t="n">
        <f>1</f>
        <v>1.0</v>
      </c>
      <c r="F376" s="10"/>
      <c r="G376" s="11" t="n">
        <f>2009000</f>
        <v>2009000.0</v>
      </c>
      <c r="H376" s="10"/>
      <c r="I376" s="11" t="str">
        <f>"－"</f>
        <v>－</v>
      </c>
      <c r="J376" s="10"/>
      <c r="K376" s="11" t="n">
        <f>173</f>
        <v>173.0</v>
      </c>
    </row>
    <row r="377">
      <c r="A377" s="8" t="s">
        <v>50</v>
      </c>
      <c r="B377" s="9" t="s">
        <v>72</v>
      </c>
      <c r="C377" s="9" t="s">
        <v>73</v>
      </c>
      <c r="D377" s="10"/>
      <c r="E377" s="11"/>
      <c r="F377" s="10"/>
      <c r="G377" s="11"/>
      <c r="H377" s="10"/>
      <c r="I377" s="11"/>
      <c r="J377" s="10"/>
      <c r="K377" s="11"/>
    </row>
    <row r="378">
      <c r="A378" s="8" t="s">
        <v>16</v>
      </c>
      <c r="B378" s="9" t="s">
        <v>74</v>
      </c>
      <c r="C378" s="9" t="s">
        <v>75</v>
      </c>
      <c r="D378" s="10"/>
      <c r="E378" s="11"/>
      <c r="F378" s="10"/>
      <c r="G378" s="11"/>
      <c r="H378" s="10"/>
      <c r="I378" s="11"/>
      <c r="J378" s="10"/>
      <c r="K378" s="11"/>
    </row>
    <row r="379">
      <c r="A379" s="8" t="s">
        <v>19</v>
      </c>
      <c r="B379" s="9" t="s">
        <v>74</v>
      </c>
      <c r="C379" s="9" t="s">
        <v>75</v>
      </c>
      <c r="D379" s="10" t="s">
        <v>53</v>
      </c>
      <c r="E379" s="11" t="str">
        <f>"－"</f>
        <v>－</v>
      </c>
      <c r="F379" s="10" t="s">
        <v>53</v>
      </c>
      <c r="G379" s="11" t="str">
        <f>"－"</f>
        <v>－</v>
      </c>
      <c r="H379" s="10" t="s">
        <v>53</v>
      </c>
      <c r="I379" s="11" t="str">
        <f>"－"</f>
        <v>－</v>
      </c>
      <c r="J379" s="10" t="s">
        <v>53</v>
      </c>
      <c r="K379" s="11" t="str">
        <f>"－"</f>
        <v>－</v>
      </c>
    </row>
    <row r="380">
      <c r="A380" s="8" t="s">
        <v>21</v>
      </c>
      <c r="B380" s="9" t="s">
        <v>74</v>
      </c>
      <c r="C380" s="9" t="s">
        <v>75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22</v>
      </c>
      <c r="B381" s="9" t="s">
        <v>74</v>
      </c>
      <c r="C381" s="9" t="s">
        <v>75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23</v>
      </c>
      <c r="B382" s="9" t="s">
        <v>74</v>
      </c>
      <c r="C382" s="9" t="s">
        <v>75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24</v>
      </c>
      <c r="B383" s="9" t="s">
        <v>74</v>
      </c>
      <c r="C383" s="9" t="s">
        <v>75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25</v>
      </c>
      <c r="B384" s="9" t="s">
        <v>74</v>
      </c>
      <c r="C384" s="9" t="s">
        <v>75</v>
      </c>
      <c r="D384" s="10"/>
      <c r="E384" s="11"/>
      <c r="F384" s="10"/>
      <c r="G384" s="11"/>
      <c r="H384" s="10"/>
      <c r="I384" s="11"/>
      <c r="J384" s="10"/>
      <c r="K384" s="11"/>
    </row>
    <row r="385">
      <c r="A385" s="8" t="s">
        <v>26</v>
      </c>
      <c r="B385" s="9" t="s">
        <v>74</v>
      </c>
      <c r="C385" s="9" t="s">
        <v>75</v>
      </c>
      <c r="D385" s="10"/>
      <c r="E385" s="11"/>
      <c r="F385" s="10"/>
      <c r="G385" s="11"/>
      <c r="H385" s="10"/>
      <c r="I385" s="11"/>
      <c r="J385" s="10"/>
      <c r="K385" s="11"/>
    </row>
    <row r="386">
      <c r="A386" s="8" t="s">
        <v>27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28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29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31</v>
      </c>
      <c r="B389" s="9" t="s">
        <v>74</v>
      </c>
      <c r="C389" s="9" t="s">
        <v>75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32</v>
      </c>
      <c r="B390" s="9" t="s">
        <v>74</v>
      </c>
      <c r="C390" s="9" t="s">
        <v>75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33</v>
      </c>
      <c r="B391" s="9" t="s">
        <v>74</v>
      </c>
      <c r="C391" s="9" t="s">
        <v>75</v>
      </c>
      <c r="D391" s="10"/>
      <c r="E391" s="11"/>
      <c r="F391" s="10"/>
      <c r="G391" s="11"/>
      <c r="H391" s="10"/>
      <c r="I391" s="11"/>
      <c r="J391" s="10"/>
      <c r="K391" s="11"/>
    </row>
    <row r="392">
      <c r="A392" s="8" t="s">
        <v>34</v>
      </c>
      <c r="B392" s="9" t="s">
        <v>74</v>
      </c>
      <c r="C392" s="9" t="s">
        <v>75</v>
      </c>
      <c r="D392" s="10"/>
      <c r="E392" s="11"/>
      <c r="F392" s="10"/>
      <c r="G392" s="11"/>
      <c r="H392" s="10"/>
      <c r="I392" s="11"/>
      <c r="J392" s="10"/>
      <c r="K392" s="11"/>
    </row>
    <row r="393">
      <c r="A393" s="8" t="s">
        <v>35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36</v>
      </c>
      <c r="B394" s="9" t="s">
        <v>74</v>
      </c>
      <c r="C394" s="9" t="s">
        <v>75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37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38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39</v>
      </c>
      <c r="B397" s="9" t="s">
        <v>74</v>
      </c>
      <c r="C397" s="9" t="s">
        <v>75</v>
      </c>
      <c r="D397" s="10"/>
      <c r="E397" s="11" t="str">
        <f>"－"</f>
        <v>－</v>
      </c>
      <c r="F397" s="10"/>
      <c r="G397" s="11" t="str">
        <f>"－"</f>
        <v>－</v>
      </c>
      <c r="H397" s="10"/>
      <c r="I397" s="11" t="str">
        <f>"－"</f>
        <v>－</v>
      </c>
      <c r="J397" s="10"/>
      <c r="K397" s="11" t="str">
        <f>"－"</f>
        <v>－</v>
      </c>
    </row>
    <row r="398">
      <c r="A398" s="8" t="s">
        <v>40</v>
      </c>
      <c r="B398" s="9" t="s">
        <v>74</v>
      </c>
      <c r="C398" s="9" t="s">
        <v>75</v>
      </c>
      <c r="D398" s="10"/>
      <c r="E398" s="11"/>
      <c r="F398" s="10"/>
      <c r="G398" s="11"/>
      <c r="H398" s="10"/>
      <c r="I398" s="11"/>
      <c r="J398" s="10"/>
      <c r="K398" s="11"/>
    </row>
    <row r="399">
      <c r="A399" s="8" t="s">
        <v>41</v>
      </c>
      <c r="B399" s="9" t="s">
        <v>74</v>
      </c>
      <c r="C399" s="9" t="s">
        <v>75</v>
      </c>
      <c r="D399" s="10"/>
      <c r="E399" s="11"/>
      <c r="F399" s="10"/>
      <c r="G399" s="11"/>
      <c r="H399" s="10"/>
      <c r="I399" s="11"/>
      <c r="J399" s="10"/>
      <c r="K399" s="11"/>
    </row>
    <row r="400">
      <c r="A400" s="8" t="s">
        <v>42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43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44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45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46</v>
      </c>
      <c r="B404" s="9" t="s">
        <v>74</v>
      </c>
      <c r="C404" s="9" t="s">
        <v>75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47</v>
      </c>
      <c r="B405" s="9" t="s">
        <v>74</v>
      </c>
      <c r="C405" s="9" t="s">
        <v>75</v>
      </c>
      <c r="D405" s="10"/>
      <c r="E405" s="11"/>
      <c r="F405" s="10"/>
      <c r="G405" s="11"/>
      <c r="H405" s="10"/>
      <c r="I405" s="11"/>
      <c r="J405" s="10"/>
      <c r="K405" s="11"/>
    </row>
    <row r="406">
      <c r="A406" s="8" t="s">
        <v>48</v>
      </c>
      <c r="B406" s="9" t="s">
        <v>74</v>
      </c>
      <c r="C406" s="9" t="s">
        <v>75</v>
      </c>
      <c r="D406" s="10"/>
      <c r="E406" s="11"/>
      <c r="F406" s="10"/>
      <c r="G406" s="11"/>
      <c r="H406" s="10"/>
      <c r="I406" s="11"/>
      <c r="J406" s="10"/>
      <c r="K406" s="11"/>
    </row>
    <row r="407">
      <c r="A407" s="8" t="s">
        <v>49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50</v>
      </c>
      <c r="B408" s="9" t="s">
        <v>74</v>
      </c>
      <c r="C408" s="9" t="s">
        <v>75</v>
      </c>
      <c r="D408" s="10"/>
      <c r="E408" s="11"/>
      <c r="F408" s="10"/>
      <c r="G408" s="11"/>
      <c r="H408" s="10"/>
      <c r="I408" s="11"/>
      <c r="J408" s="10"/>
      <c r="K408" s="11"/>
    </row>
    <row r="409">
      <c r="A409" s="8" t="s">
        <v>16</v>
      </c>
      <c r="B409" s="9" t="s">
        <v>76</v>
      </c>
      <c r="C409" s="9" t="s">
        <v>77</v>
      </c>
      <c r="D409" s="10"/>
      <c r="E409" s="11"/>
      <c r="F409" s="10"/>
      <c r="G409" s="11"/>
      <c r="H409" s="10"/>
      <c r="I409" s="11"/>
      <c r="J409" s="10"/>
      <c r="K409" s="11"/>
    </row>
    <row r="410">
      <c r="A410" s="8" t="s">
        <v>19</v>
      </c>
      <c r="B410" s="9" t="s">
        <v>76</v>
      </c>
      <c r="C410" s="9" t="s">
        <v>77</v>
      </c>
      <c r="D410" s="10" t="s">
        <v>53</v>
      </c>
      <c r="E410" s="11" t="str">
        <f>"－"</f>
        <v>－</v>
      </c>
      <c r="F410" s="10" t="s">
        <v>53</v>
      </c>
      <c r="G410" s="11" t="str">
        <f>"－"</f>
        <v>－</v>
      </c>
      <c r="H410" s="10" t="s">
        <v>53</v>
      </c>
      <c r="I410" s="11" t="str">
        <f>"－"</f>
        <v>－</v>
      </c>
      <c r="J410" s="10" t="s">
        <v>53</v>
      </c>
      <c r="K410" s="11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22</v>
      </c>
      <c r="B412" s="9" t="s">
        <v>76</v>
      </c>
      <c r="C412" s="9" t="s">
        <v>77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24</v>
      </c>
      <c r="B414" s="9" t="s">
        <v>76</v>
      </c>
      <c r="C414" s="9" t="s">
        <v>77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25</v>
      </c>
      <c r="B415" s="9" t="s">
        <v>76</v>
      </c>
      <c r="C415" s="9" t="s">
        <v>77</v>
      </c>
      <c r="D415" s="10"/>
      <c r="E415" s="11"/>
      <c r="F415" s="10"/>
      <c r="G415" s="11"/>
      <c r="H415" s="10"/>
      <c r="I415" s="11"/>
      <c r="J415" s="10"/>
      <c r="K415" s="11"/>
    </row>
    <row r="416">
      <c r="A416" s="8" t="s">
        <v>26</v>
      </c>
      <c r="B416" s="9" t="s">
        <v>76</v>
      </c>
      <c r="C416" s="9" t="s">
        <v>77</v>
      </c>
      <c r="D416" s="10"/>
      <c r="E416" s="11"/>
      <c r="F416" s="10"/>
      <c r="G416" s="11"/>
      <c r="H416" s="10"/>
      <c r="I416" s="11"/>
      <c r="J416" s="10"/>
      <c r="K416" s="11"/>
    </row>
    <row r="417">
      <c r="A417" s="8" t="s">
        <v>27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28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33</v>
      </c>
      <c r="B422" s="9" t="s">
        <v>76</v>
      </c>
      <c r="C422" s="9" t="s">
        <v>77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34</v>
      </c>
      <c r="B423" s="9" t="s">
        <v>76</v>
      </c>
      <c r="C423" s="9" t="s">
        <v>77</v>
      </c>
      <c r="D423" s="10"/>
      <c r="E423" s="11"/>
      <c r="F423" s="10"/>
      <c r="G423" s="11"/>
      <c r="H423" s="10"/>
      <c r="I423" s="11"/>
      <c r="J423" s="10"/>
      <c r="K423" s="11"/>
    </row>
    <row r="424">
      <c r="A424" s="8" t="s">
        <v>35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11" t="str">
        <f>"－"</f>
        <v>－</v>
      </c>
      <c r="F428" s="10"/>
      <c r="G428" s="11" t="str">
        <f>"－"</f>
        <v>－</v>
      </c>
      <c r="H428" s="10"/>
      <c r="I428" s="11" t="str">
        <f>"－"</f>
        <v>－</v>
      </c>
      <c r="J428" s="10"/>
      <c r="K428" s="11" t="str">
        <f>"－"</f>
        <v>－</v>
      </c>
    </row>
    <row r="429">
      <c r="A429" s="8" t="s">
        <v>40</v>
      </c>
      <c r="B429" s="9" t="s">
        <v>76</v>
      </c>
      <c r="C429" s="9" t="s">
        <v>77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41</v>
      </c>
      <c r="B430" s="9" t="s">
        <v>76</v>
      </c>
      <c r="C430" s="9" t="s">
        <v>77</v>
      </c>
      <c r="D430" s="10"/>
      <c r="E430" s="11"/>
      <c r="F430" s="10"/>
      <c r="G430" s="11"/>
      <c r="H430" s="10"/>
      <c r="I430" s="11"/>
      <c r="J430" s="10"/>
      <c r="K430" s="11"/>
    </row>
    <row r="431">
      <c r="A431" s="8" t="s">
        <v>42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11"/>
      <c r="F436" s="10"/>
      <c r="G436" s="11"/>
      <c r="H436" s="10"/>
      <c r="I436" s="11"/>
      <c r="J436" s="10"/>
      <c r="K436" s="11"/>
    </row>
    <row r="437">
      <c r="A437" s="8" t="s">
        <v>48</v>
      </c>
      <c r="B437" s="9" t="s">
        <v>76</v>
      </c>
      <c r="C437" s="9" t="s">
        <v>77</v>
      </c>
      <c r="D437" s="10"/>
      <c r="E437" s="11"/>
      <c r="F437" s="10"/>
      <c r="G437" s="11"/>
      <c r="H437" s="10"/>
      <c r="I437" s="11"/>
      <c r="J437" s="10"/>
      <c r="K437" s="11"/>
    </row>
    <row r="438">
      <c r="A438" s="8" t="s">
        <v>49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11"/>
      <c r="F439" s="10"/>
      <c r="G439" s="11"/>
      <c r="H439" s="10"/>
      <c r="I439" s="11"/>
      <c r="J439" s="10"/>
      <c r="K439" s="11"/>
    </row>
    <row r="440">
      <c r="A440" s="8" t="s">
        <v>16</v>
      </c>
      <c r="B440" s="9" t="s">
        <v>78</v>
      </c>
      <c r="C440" s="9" t="s">
        <v>79</v>
      </c>
      <c r="D440" s="10"/>
      <c r="E440" s="11"/>
      <c r="F440" s="10"/>
      <c r="G440" s="11"/>
      <c r="H440" s="10"/>
      <c r="I440" s="11"/>
      <c r="J440" s="10"/>
      <c r="K440" s="11"/>
    </row>
    <row r="441">
      <c r="A441" s="8" t="s">
        <v>19</v>
      </c>
      <c r="B441" s="9" t="s">
        <v>78</v>
      </c>
      <c r="C441" s="9" t="s">
        <v>79</v>
      </c>
      <c r="D441" s="10" t="s">
        <v>53</v>
      </c>
      <c r="E441" s="11" t="str">
        <f>"－"</f>
        <v>－</v>
      </c>
      <c r="F441" s="10" t="s">
        <v>53</v>
      </c>
      <c r="G441" s="11" t="str">
        <f>"－"</f>
        <v>－</v>
      </c>
      <c r="H441" s="10" t="s">
        <v>53</v>
      </c>
      <c r="I441" s="11" t="str">
        <f>"－"</f>
        <v>－</v>
      </c>
      <c r="J441" s="10" t="s">
        <v>53</v>
      </c>
      <c r="K441" s="11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22</v>
      </c>
      <c r="B443" s="9" t="s">
        <v>78</v>
      </c>
      <c r="C443" s="9" t="s">
        <v>79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24</v>
      </c>
      <c r="B445" s="9" t="s">
        <v>78</v>
      </c>
      <c r="C445" s="9" t="s">
        <v>79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25</v>
      </c>
      <c r="B446" s="9" t="s">
        <v>78</v>
      </c>
      <c r="C446" s="9" t="s">
        <v>79</v>
      </c>
      <c r="D446" s="10"/>
      <c r="E446" s="11"/>
      <c r="F446" s="10"/>
      <c r="G446" s="11"/>
      <c r="H446" s="10"/>
      <c r="I446" s="11"/>
      <c r="J446" s="10"/>
      <c r="K446" s="11"/>
    </row>
    <row r="447">
      <c r="A447" s="8" t="s">
        <v>26</v>
      </c>
      <c r="B447" s="9" t="s">
        <v>78</v>
      </c>
      <c r="C447" s="9" t="s">
        <v>79</v>
      </c>
      <c r="D447" s="10"/>
      <c r="E447" s="11"/>
      <c r="F447" s="10"/>
      <c r="G447" s="11"/>
      <c r="H447" s="10"/>
      <c r="I447" s="11"/>
      <c r="J447" s="10"/>
      <c r="K447" s="11"/>
    </row>
    <row r="448">
      <c r="A448" s="8" t="s">
        <v>27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28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32</v>
      </c>
      <c r="B452" s="9" t="s">
        <v>78</v>
      </c>
      <c r="C452" s="9" t="s">
        <v>79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33</v>
      </c>
      <c r="B453" s="9" t="s">
        <v>78</v>
      </c>
      <c r="C453" s="9" t="s">
        <v>79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34</v>
      </c>
      <c r="B454" s="9" t="s">
        <v>78</v>
      </c>
      <c r="C454" s="9" t="s">
        <v>79</v>
      </c>
      <c r="D454" s="10"/>
      <c r="E454" s="11"/>
      <c r="F454" s="10"/>
      <c r="G454" s="11"/>
      <c r="H454" s="10"/>
      <c r="I454" s="11"/>
      <c r="J454" s="10"/>
      <c r="K454" s="11"/>
    </row>
    <row r="455">
      <c r="A455" s="8" t="s">
        <v>35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40</v>
      </c>
      <c r="B460" s="9" t="s">
        <v>78</v>
      </c>
      <c r="C460" s="9" t="s">
        <v>79</v>
      </c>
      <c r="D460" s="10"/>
      <c r="E460" s="11"/>
      <c r="F460" s="10"/>
      <c r="G460" s="11"/>
      <c r="H460" s="10"/>
      <c r="I460" s="11"/>
      <c r="J460" s="10"/>
      <c r="K460" s="11"/>
    </row>
    <row r="461">
      <c r="A461" s="8" t="s">
        <v>41</v>
      </c>
      <c r="B461" s="9" t="s">
        <v>78</v>
      </c>
      <c r="C461" s="9" t="s">
        <v>79</v>
      </c>
      <c r="D461" s="10"/>
      <c r="E461" s="11"/>
      <c r="F461" s="10"/>
      <c r="G461" s="11"/>
      <c r="H461" s="10"/>
      <c r="I461" s="11"/>
      <c r="J461" s="10"/>
      <c r="K461" s="11"/>
    </row>
    <row r="462">
      <c r="A462" s="8" t="s">
        <v>42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11"/>
      <c r="F467" s="10"/>
      <c r="G467" s="11"/>
      <c r="H467" s="10"/>
      <c r="I467" s="11"/>
      <c r="J467" s="10"/>
      <c r="K467" s="11"/>
    </row>
    <row r="468">
      <c r="A468" s="8" t="s">
        <v>48</v>
      </c>
      <c r="B468" s="9" t="s">
        <v>78</v>
      </c>
      <c r="C468" s="9" t="s">
        <v>79</v>
      </c>
      <c r="D468" s="10"/>
      <c r="E468" s="11"/>
      <c r="F468" s="10"/>
      <c r="G468" s="11"/>
      <c r="H468" s="10"/>
      <c r="I468" s="11"/>
      <c r="J468" s="10"/>
      <c r="K468" s="11"/>
    </row>
    <row r="469">
      <c r="A469" s="8" t="s">
        <v>49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11"/>
      <c r="F470" s="10"/>
      <c r="G470" s="11"/>
      <c r="H470" s="10"/>
      <c r="I470" s="11"/>
      <c r="J470" s="10"/>
      <c r="K470" s="11"/>
    </row>
    <row r="471">
      <c r="A471" s="8" t="s">
        <v>16</v>
      </c>
      <c r="B471" s="9" t="s">
        <v>80</v>
      </c>
      <c r="C471" s="9" t="s">
        <v>81</v>
      </c>
      <c r="D471" s="10"/>
      <c r="E471" s="11"/>
      <c r="F471" s="10"/>
      <c r="G471" s="11"/>
      <c r="H471" s="10"/>
      <c r="I471" s="11"/>
      <c r="J471" s="10"/>
      <c r="K471" s="11"/>
    </row>
    <row r="472">
      <c r="A472" s="8" t="s">
        <v>19</v>
      </c>
      <c r="B472" s="9" t="s">
        <v>80</v>
      </c>
      <c r="C472" s="9" t="s">
        <v>81</v>
      </c>
      <c r="D472" s="10" t="s">
        <v>53</v>
      </c>
      <c r="E472" s="11" t="str">
        <f>"－"</f>
        <v>－</v>
      </c>
      <c r="F472" s="10" t="s">
        <v>53</v>
      </c>
      <c r="G472" s="11" t="str">
        <f>"－"</f>
        <v>－</v>
      </c>
      <c r="H472" s="10" t="s">
        <v>53</v>
      </c>
      <c r="I472" s="11" t="str">
        <f>"－"</f>
        <v>－</v>
      </c>
      <c r="J472" s="10" t="s">
        <v>53</v>
      </c>
      <c r="K472" s="11" t="str">
        <f>"－"</f>
        <v>－</v>
      </c>
    </row>
    <row r="473">
      <c r="A473" s="8" t="s">
        <v>21</v>
      </c>
      <c r="B473" s="9" t="s">
        <v>80</v>
      </c>
      <c r="C473" s="9" t="s">
        <v>81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22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23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24</v>
      </c>
      <c r="B476" s="9" t="s">
        <v>80</v>
      </c>
      <c r="C476" s="9" t="s">
        <v>81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25</v>
      </c>
      <c r="B477" s="9" t="s">
        <v>80</v>
      </c>
      <c r="C477" s="9" t="s">
        <v>81</v>
      </c>
      <c r="D477" s="10"/>
      <c r="E477" s="11"/>
      <c r="F477" s="10"/>
      <c r="G477" s="11"/>
      <c r="H477" s="10"/>
      <c r="I477" s="11"/>
      <c r="J477" s="10"/>
      <c r="K477" s="11"/>
    </row>
    <row r="478">
      <c r="A478" s="8" t="s">
        <v>26</v>
      </c>
      <c r="B478" s="9" t="s">
        <v>80</v>
      </c>
      <c r="C478" s="9" t="s">
        <v>81</v>
      </c>
      <c r="D478" s="10"/>
      <c r="E478" s="11"/>
      <c r="F478" s="10"/>
      <c r="G478" s="11"/>
      <c r="H478" s="10"/>
      <c r="I478" s="11"/>
      <c r="J478" s="10"/>
      <c r="K478" s="11"/>
    </row>
    <row r="479">
      <c r="A479" s="8" t="s">
        <v>27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28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29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31</v>
      </c>
      <c r="B482" s="9" t="s">
        <v>80</v>
      </c>
      <c r="C482" s="9" t="s">
        <v>81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32</v>
      </c>
      <c r="B483" s="9" t="s">
        <v>80</v>
      </c>
      <c r="C483" s="9" t="s">
        <v>81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33</v>
      </c>
      <c r="B484" s="9" t="s">
        <v>80</v>
      </c>
      <c r="C484" s="9" t="s">
        <v>81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34</v>
      </c>
      <c r="B485" s="9" t="s">
        <v>80</v>
      </c>
      <c r="C485" s="9" t="s">
        <v>81</v>
      </c>
      <c r="D485" s="10"/>
      <c r="E485" s="11"/>
      <c r="F485" s="10"/>
      <c r="G485" s="11"/>
      <c r="H485" s="10"/>
      <c r="I485" s="11"/>
      <c r="J485" s="10"/>
      <c r="K485" s="11"/>
    </row>
    <row r="486">
      <c r="A486" s="8" t="s">
        <v>35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36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37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38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39</v>
      </c>
      <c r="B490" s="9" t="s">
        <v>80</v>
      </c>
      <c r="C490" s="9" t="s">
        <v>81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40</v>
      </c>
      <c r="B491" s="9" t="s">
        <v>80</v>
      </c>
      <c r="C491" s="9" t="s">
        <v>81</v>
      </c>
      <c r="D491" s="10"/>
      <c r="E491" s="11"/>
      <c r="F491" s="10"/>
      <c r="G491" s="11"/>
      <c r="H491" s="10"/>
      <c r="I491" s="11"/>
      <c r="J491" s="10"/>
      <c r="K491" s="11"/>
    </row>
    <row r="492">
      <c r="A492" s="8" t="s">
        <v>41</v>
      </c>
      <c r="B492" s="9" t="s">
        <v>80</v>
      </c>
      <c r="C492" s="9" t="s">
        <v>81</v>
      </c>
      <c r="D492" s="10"/>
      <c r="E492" s="11"/>
      <c r="F492" s="10"/>
      <c r="G492" s="11"/>
      <c r="H492" s="10"/>
      <c r="I492" s="11"/>
      <c r="J492" s="10"/>
      <c r="K492" s="11"/>
    </row>
    <row r="493">
      <c r="A493" s="8" t="s">
        <v>42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43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44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45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46</v>
      </c>
      <c r="B497" s="9" t="s">
        <v>80</v>
      </c>
      <c r="C497" s="9" t="s">
        <v>81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47</v>
      </c>
      <c r="B498" s="9" t="s">
        <v>80</v>
      </c>
      <c r="C498" s="9" t="s">
        <v>81</v>
      </c>
      <c r="D498" s="10"/>
      <c r="E498" s="11"/>
      <c r="F498" s="10"/>
      <c r="G498" s="11"/>
      <c r="H498" s="10"/>
      <c r="I498" s="11"/>
      <c r="J498" s="10"/>
      <c r="K498" s="11"/>
    </row>
    <row r="499">
      <c r="A499" s="8" t="s">
        <v>48</v>
      </c>
      <c r="B499" s="9" t="s">
        <v>80</v>
      </c>
      <c r="C499" s="9" t="s">
        <v>81</v>
      </c>
      <c r="D499" s="10"/>
      <c r="E499" s="11"/>
      <c r="F499" s="10"/>
      <c r="G499" s="11"/>
      <c r="H499" s="10"/>
      <c r="I499" s="11"/>
      <c r="J499" s="10"/>
      <c r="K499" s="11"/>
    </row>
    <row r="500">
      <c r="A500" s="8" t="s">
        <v>49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50</v>
      </c>
      <c r="B501" s="9" t="s">
        <v>80</v>
      </c>
      <c r="C501" s="9" t="s">
        <v>81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16</v>
      </c>
      <c r="B502" s="9" t="s">
        <v>82</v>
      </c>
      <c r="C502" s="9" t="s">
        <v>83</v>
      </c>
      <c r="D502" s="10"/>
      <c r="E502" s="11"/>
      <c r="F502" s="10"/>
      <c r="G502" s="11"/>
      <c r="H502" s="10"/>
      <c r="I502" s="11"/>
      <c r="J502" s="10"/>
      <c r="K502" s="11"/>
    </row>
    <row r="503">
      <c r="A503" s="8" t="s">
        <v>19</v>
      </c>
      <c r="B503" s="9" t="s">
        <v>82</v>
      </c>
      <c r="C503" s="9" t="s">
        <v>83</v>
      </c>
      <c r="D503" s="10" t="s">
        <v>53</v>
      </c>
      <c r="E503" s="11" t="str">
        <f>"－"</f>
        <v>－</v>
      </c>
      <c r="F503" s="10" t="s">
        <v>53</v>
      </c>
      <c r="G503" s="11" t="str">
        <f>"－"</f>
        <v>－</v>
      </c>
      <c r="H503" s="10" t="s">
        <v>53</v>
      </c>
      <c r="I503" s="11" t="str">
        <f>"－"</f>
        <v>－</v>
      </c>
      <c r="J503" s="10" t="s">
        <v>53</v>
      </c>
      <c r="K503" s="11" t="str">
        <f>"－"</f>
        <v>－</v>
      </c>
    </row>
    <row r="504">
      <c r="A504" s="8" t="s">
        <v>21</v>
      </c>
      <c r="B504" s="9" t="s">
        <v>82</v>
      </c>
      <c r="C504" s="9" t="s">
        <v>83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22</v>
      </c>
      <c r="B505" s="9" t="s">
        <v>82</v>
      </c>
      <c r="C505" s="9" t="s">
        <v>83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23</v>
      </c>
      <c r="B506" s="9" t="s">
        <v>82</v>
      </c>
      <c r="C506" s="9" t="s">
        <v>83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24</v>
      </c>
      <c r="B507" s="9" t="s">
        <v>82</v>
      </c>
      <c r="C507" s="9" t="s">
        <v>83</v>
      </c>
      <c r="D507" s="10"/>
      <c r="E507" s="11" t="str">
        <f>"－"</f>
        <v>－</v>
      </c>
      <c r="F507" s="10"/>
      <c r="G507" s="11" t="str">
        <f>"－"</f>
        <v>－</v>
      </c>
      <c r="H507" s="10"/>
      <c r="I507" s="11" t="str">
        <f>"－"</f>
        <v>－</v>
      </c>
      <c r="J507" s="10"/>
      <c r="K507" s="11" t="str">
        <f>"－"</f>
        <v>－</v>
      </c>
    </row>
    <row r="508">
      <c r="A508" s="8" t="s">
        <v>25</v>
      </c>
      <c r="B508" s="9" t="s">
        <v>82</v>
      </c>
      <c r="C508" s="9" t="s">
        <v>83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26</v>
      </c>
      <c r="B509" s="9" t="s">
        <v>82</v>
      </c>
      <c r="C509" s="9" t="s">
        <v>83</v>
      </c>
      <c r="D509" s="10"/>
      <c r="E509" s="11"/>
      <c r="F509" s="10"/>
      <c r="G509" s="11"/>
      <c r="H509" s="10"/>
      <c r="I509" s="11"/>
      <c r="J509" s="10"/>
      <c r="K509" s="11"/>
    </row>
    <row r="510">
      <c r="A510" s="8" t="s">
        <v>27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28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29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31</v>
      </c>
      <c r="B513" s="9" t="s">
        <v>82</v>
      </c>
      <c r="C513" s="9" t="s">
        <v>83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32</v>
      </c>
      <c r="B514" s="9" t="s">
        <v>82</v>
      </c>
      <c r="C514" s="9" t="s">
        <v>83</v>
      </c>
      <c r="D514" s="10"/>
      <c r="E514" s="11" t="str">
        <f>"－"</f>
        <v>－</v>
      </c>
      <c r="F514" s="10"/>
      <c r="G514" s="11" t="str">
        <f>"－"</f>
        <v>－</v>
      </c>
      <c r="H514" s="10"/>
      <c r="I514" s="11" t="str">
        <f>"－"</f>
        <v>－</v>
      </c>
      <c r="J514" s="10"/>
      <c r="K514" s="11" t="str">
        <f>"－"</f>
        <v>－</v>
      </c>
    </row>
    <row r="515">
      <c r="A515" s="8" t="s">
        <v>33</v>
      </c>
      <c r="B515" s="9" t="s">
        <v>82</v>
      </c>
      <c r="C515" s="9" t="s">
        <v>83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34</v>
      </c>
      <c r="B516" s="9" t="s">
        <v>82</v>
      </c>
      <c r="C516" s="9" t="s">
        <v>83</v>
      </c>
      <c r="D516" s="10"/>
      <c r="E516" s="11"/>
      <c r="F516" s="10"/>
      <c r="G516" s="11"/>
      <c r="H516" s="10"/>
      <c r="I516" s="11"/>
      <c r="J516" s="10"/>
      <c r="K516" s="11"/>
    </row>
    <row r="517">
      <c r="A517" s="8" t="s">
        <v>35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36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37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38</v>
      </c>
      <c r="B520" s="9" t="s">
        <v>82</v>
      </c>
      <c r="C520" s="9" t="s">
        <v>83</v>
      </c>
      <c r="D520" s="10"/>
      <c r="E520" s="11" t="str">
        <f>"－"</f>
        <v>－</v>
      </c>
      <c r="F520" s="10"/>
      <c r="G520" s="11" t="str">
        <f>"－"</f>
        <v>－</v>
      </c>
      <c r="H520" s="10"/>
      <c r="I520" s="11" t="str">
        <f>"－"</f>
        <v>－</v>
      </c>
      <c r="J520" s="10"/>
      <c r="K520" s="11" t="str">
        <f>"－"</f>
        <v>－</v>
      </c>
    </row>
    <row r="521">
      <c r="A521" s="8" t="s">
        <v>39</v>
      </c>
      <c r="B521" s="9" t="s">
        <v>82</v>
      </c>
      <c r="C521" s="9" t="s">
        <v>83</v>
      </c>
      <c r="D521" s="10"/>
      <c r="E521" s="11" t="str">
        <f>"－"</f>
        <v>－</v>
      </c>
      <c r="F521" s="10"/>
      <c r="G521" s="11" t="str">
        <f>"－"</f>
        <v>－</v>
      </c>
      <c r="H521" s="10"/>
      <c r="I521" s="11" t="str">
        <f>"－"</f>
        <v>－</v>
      </c>
      <c r="J521" s="10"/>
      <c r="K521" s="11" t="str">
        <f>"－"</f>
        <v>－</v>
      </c>
    </row>
    <row r="522">
      <c r="A522" s="8" t="s">
        <v>40</v>
      </c>
      <c r="B522" s="9" t="s">
        <v>82</v>
      </c>
      <c r="C522" s="9" t="s">
        <v>83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41</v>
      </c>
      <c r="B523" s="9" t="s">
        <v>82</v>
      </c>
      <c r="C523" s="9" t="s">
        <v>83</v>
      </c>
      <c r="D523" s="10"/>
      <c r="E523" s="11"/>
      <c r="F523" s="10"/>
      <c r="G523" s="11"/>
      <c r="H523" s="10"/>
      <c r="I523" s="11"/>
      <c r="J523" s="10"/>
      <c r="K523" s="11"/>
    </row>
    <row r="524">
      <c r="A524" s="8" t="s">
        <v>42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43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44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45</v>
      </c>
      <c r="B527" s="9" t="s">
        <v>82</v>
      </c>
      <c r="C527" s="9" t="s">
        <v>83</v>
      </c>
      <c r="D527" s="10"/>
      <c r="E527" s="11" t="str">
        <f>"－"</f>
        <v>－</v>
      </c>
      <c r="F527" s="10"/>
      <c r="G527" s="11" t="str">
        <f>"－"</f>
        <v>－</v>
      </c>
      <c r="H527" s="10"/>
      <c r="I527" s="11" t="str">
        <f>"－"</f>
        <v>－</v>
      </c>
      <c r="J527" s="10"/>
      <c r="K527" s="11" t="str">
        <f>"－"</f>
        <v>－</v>
      </c>
    </row>
    <row r="528">
      <c r="A528" s="8" t="s">
        <v>46</v>
      </c>
      <c r="B528" s="9" t="s">
        <v>82</v>
      </c>
      <c r="C528" s="9" t="s">
        <v>83</v>
      </c>
      <c r="D528" s="10"/>
      <c r="E528" s="11" t="str">
        <f>"－"</f>
        <v>－</v>
      </c>
      <c r="F528" s="10"/>
      <c r="G528" s="11" t="str">
        <f>"－"</f>
        <v>－</v>
      </c>
      <c r="H528" s="10"/>
      <c r="I528" s="11" t="str">
        <f>"－"</f>
        <v>－</v>
      </c>
      <c r="J528" s="10"/>
      <c r="K528" s="11" t="str">
        <f>"－"</f>
        <v>－</v>
      </c>
    </row>
    <row r="529">
      <c r="A529" s="8" t="s">
        <v>47</v>
      </c>
      <c r="B529" s="9" t="s">
        <v>82</v>
      </c>
      <c r="C529" s="9" t="s">
        <v>83</v>
      </c>
      <c r="D529" s="10"/>
      <c r="E529" s="11"/>
      <c r="F529" s="10"/>
      <c r="G529" s="11"/>
      <c r="H529" s="10"/>
      <c r="I529" s="11"/>
      <c r="J529" s="10"/>
      <c r="K529" s="11"/>
    </row>
    <row r="530">
      <c r="A530" s="8" t="s">
        <v>48</v>
      </c>
      <c r="B530" s="9" t="s">
        <v>82</v>
      </c>
      <c r="C530" s="9" t="s">
        <v>83</v>
      </c>
      <c r="D530" s="10"/>
      <c r="E530" s="11"/>
      <c r="F530" s="10"/>
      <c r="G530" s="11"/>
      <c r="H530" s="10"/>
      <c r="I530" s="11"/>
      <c r="J530" s="10"/>
      <c r="K530" s="11"/>
    </row>
    <row r="531">
      <c r="A531" s="8" t="s">
        <v>49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50</v>
      </c>
      <c r="B532" s="9" t="s">
        <v>82</v>
      </c>
      <c r="C532" s="9" t="s">
        <v>83</v>
      </c>
      <c r="D532" s="10"/>
      <c r="E532" s="11"/>
      <c r="F532" s="10"/>
      <c r="G532" s="11"/>
      <c r="H532" s="10"/>
      <c r="I532" s="11"/>
      <c r="J532" s="10"/>
      <c r="K532" s="11"/>
    </row>
    <row r="533">
      <c r="A533" s="8" t="s">
        <v>16</v>
      </c>
      <c r="B533" s="9" t="s">
        <v>84</v>
      </c>
      <c r="C533" s="9" t="s">
        <v>85</v>
      </c>
      <c r="D533" s="10"/>
      <c r="E533" s="11"/>
      <c r="F533" s="10"/>
      <c r="G533" s="11"/>
      <c r="H533" s="10"/>
      <c r="I533" s="11"/>
      <c r="J533" s="10"/>
      <c r="K533" s="11"/>
    </row>
    <row r="534">
      <c r="A534" s="8" t="s">
        <v>19</v>
      </c>
      <c r="B534" s="9" t="s">
        <v>84</v>
      </c>
      <c r="C534" s="9" t="s">
        <v>85</v>
      </c>
      <c r="D534" s="10"/>
      <c r="E534" s="11" t="n">
        <f>1935</f>
        <v>1935.0</v>
      </c>
      <c r="F534" s="10"/>
      <c r="G534" s="11" t="n">
        <f>6351082500</f>
        <v>6.3510825E9</v>
      </c>
      <c r="H534" s="10" t="s">
        <v>53</v>
      </c>
      <c r="I534" s="11" t="str">
        <f>"－"</f>
        <v>－</v>
      </c>
      <c r="J534" s="10"/>
      <c r="K534" s="11" t="n">
        <f>31693</f>
        <v>31693.0</v>
      </c>
    </row>
    <row r="535">
      <c r="A535" s="8" t="s">
        <v>21</v>
      </c>
      <c r="B535" s="9" t="s">
        <v>84</v>
      </c>
      <c r="C535" s="9" t="s">
        <v>85</v>
      </c>
      <c r="D535" s="10"/>
      <c r="E535" s="11" t="n">
        <f>3002</f>
        <v>3002.0</v>
      </c>
      <c r="F535" s="10"/>
      <c r="G535" s="11" t="n">
        <f>9772875000</f>
        <v>9.772875E9</v>
      </c>
      <c r="H535" s="10"/>
      <c r="I535" s="11" t="str">
        <f>"－"</f>
        <v>－</v>
      </c>
      <c r="J535" s="10"/>
      <c r="K535" s="11" t="n">
        <f>29883</f>
        <v>29883.0</v>
      </c>
    </row>
    <row r="536">
      <c r="A536" s="8" t="s">
        <v>22</v>
      </c>
      <c r="B536" s="9" t="s">
        <v>84</v>
      </c>
      <c r="C536" s="9" t="s">
        <v>85</v>
      </c>
      <c r="D536" s="10"/>
      <c r="E536" s="11" t="n">
        <f>3467</f>
        <v>3467.0</v>
      </c>
      <c r="F536" s="10"/>
      <c r="G536" s="11" t="n">
        <f>11505911500</f>
        <v>1.15059115E10</v>
      </c>
      <c r="H536" s="10"/>
      <c r="I536" s="11" t="str">
        <f>"－"</f>
        <v>－</v>
      </c>
      <c r="J536" s="10"/>
      <c r="K536" s="11" t="n">
        <f>30066</f>
        <v>30066.0</v>
      </c>
    </row>
    <row r="537">
      <c r="A537" s="8" t="s">
        <v>23</v>
      </c>
      <c r="B537" s="9" t="s">
        <v>84</v>
      </c>
      <c r="C537" s="9" t="s">
        <v>85</v>
      </c>
      <c r="D537" s="10"/>
      <c r="E537" s="11" t="n">
        <f>3260</f>
        <v>3260.0</v>
      </c>
      <c r="F537" s="10"/>
      <c r="G537" s="11" t="n">
        <f>10708207000</f>
        <v>1.0708207E10</v>
      </c>
      <c r="H537" s="10"/>
      <c r="I537" s="11" t="str">
        <f>"－"</f>
        <v>－</v>
      </c>
      <c r="J537" s="10" t="s">
        <v>20</v>
      </c>
      <c r="K537" s="11" t="n">
        <f>29821</f>
        <v>29821.0</v>
      </c>
    </row>
    <row r="538">
      <c r="A538" s="8" t="s">
        <v>24</v>
      </c>
      <c r="B538" s="9" t="s">
        <v>84</v>
      </c>
      <c r="C538" s="9" t="s">
        <v>85</v>
      </c>
      <c r="D538" s="10"/>
      <c r="E538" s="11" t="n">
        <f>10242</f>
        <v>10242.0</v>
      </c>
      <c r="F538" s="10"/>
      <c r="G538" s="11" t="n">
        <f>33273757000</f>
        <v>3.3273757E10</v>
      </c>
      <c r="H538" s="10"/>
      <c r="I538" s="11" t="str">
        <f>"－"</f>
        <v>－</v>
      </c>
      <c r="J538" s="10"/>
      <c r="K538" s="11" t="n">
        <f>30118</f>
        <v>30118.0</v>
      </c>
    </row>
    <row r="539">
      <c r="A539" s="8" t="s">
        <v>25</v>
      </c>
      <c r="B539" s="9" t="s">
        <v>84</v>
      </c>
      <c r="C539" s="9" t="s">
        <v>85</v>
      </c>
      <c r="D539" s="10"/>
      <c r="E539" s="11"/>
      <c r="F539" s="10"/>
      <c r="G539" s="11"/>
      <c r="H539" s="10"/>
      <c r="I539" s="11"/>
      <c r="J539" s="10"/>
      <c r="K539" s="11"/>
    </row>
    <row r="540">
      <c r="A540" s="8" t="s">
        <v>26</v>
      </c>
      <c r="B540" s="9" t="s">
        <v>84</v>
      </c>
      <c r="C540" s="9" t="s">
        <v>85</v>
      </c>
      <c r="D540" s="10"/>
      <c r="E540" s="11"/>
      <c r="F540" s="10"/>
      <c r="G540" s="11"/>
      <c r="H540" s="10"/>
      <c r="I540" s="11"/>
      <c r="J540" s="10"/>
      <c r="K540" s="11"/>
    </row>
    <row r="541">
      <c r="A541" s="8" t="s">
        <v>27</v>
      </c>
      <c r="B541" s="9" t="s">
        <v>84</v>
      </c>
      <c r="C541" s="9" t="s">
        <v>85</v>
      </c>
      <c r="D541" s="10"/>
      <c r="E541" s="11" t="n">
        <f>9568</f>
        <v>9568.0</v>
      </c>
      <c r="F541" s="10"/>
      <c r="G541" s="11" t="n">
        <f>30967828500</f>
        <v>3.09678285E10</v>
      </c>
      <c r="H541" s="10"/>
      <c r="I541" s="11" t="str">
        <f>"－"</f>
        <v>－</v>
      </c>
      <c r="J541" s="10"/>
      <c r="K541" s="11" t="n">
        <f>30628</f>
        <v>30628.0</v>
      </c>
    </row>
    <row r="542">
      <c r="A542" s="8" t="s">
        <v>28</v>
      </c>
      <c r="B542" s="9" t="s">
        <v>84</v>
      </c>
      <c r="C542" s="9" t="s">
        <v>85</v>
      </c>
      <c r="D542" s="10"/>
      <c r="E542" s="11" t="n">
        <f>10817</f>
        <v>10817.0</v>
      </c>
      <c r="F542" s="10"/>
      <c r="G542" s="11" t="n">
        <f>35455567000</f>
        <v>3.5455567E10</v>
      </c>
      <c r="H542" s="10"/>
      <c r="I542" s="11" t="str">
        <f>"－"</f>
        <v>－</v>
      </c>
      <c r="J542" s="10"/>
      <c r="K542" s="11" t="n">
        <f>31901</f>
        <v>31901.0</v>
      </c>
    </row>
    <row r="543">
      <c r="A543" s="8" t="s">
        <v>29</v>
      </c>
      <c r="B543" s="9" t="s">
        <v>84</v>
      </c>
      <c r="C543" s="9" t="s">
        <v>85</v>
      </c>
      <c r="D543" s="10"/>
      <c r="E543" s="11" t="n">
        <f>9409</f>
        <v>9409.0</v>
      </c>
      <c r="F543" s="10"/>
      <c r="G543" s="11" t="n">
        <f>31246310000</f>
        <v>3.124631E10</v>
      </c>
      <c r="H543" s="10"/>
      <c r="I543" s="11" t="str">
        <f>"－"</f>
        <v>－</v>
      </c>
      <c r="J543" s="10"/>
      <c r="K543" s="11" t="n">
        <f>33180</f>
        <v>33180.0</v>
      </c>
    </row>
    <row r="544">
      <c r="A544" s="8" t="s">
        <v>31</v>
      </c>
      <c r="B544" s="9" t="s">
        <v>84</v>
      </c>
      <c r="C544" s="9" t="s">
        <v>85</v>
      </c>
      <c r="D544" s="10" t="s">
        <v>30</v>
      </c>
      <c r="E544" s="11" t="n">
        <f>12334</f>
        <v>12334.0</v>
      </c>
      <c r="F544" s="10" t="s">
        <v>30</v>
      </c>
      <c r="G544" s="11" t="n">
        <f>41551543000</f>
        <v>4.1551543E10</v>
      </c>
      <c r="H544" s="10"/>
      <c r="I544" s="11" t="str">
        <f>"－"</f>
        <v>－</v>
      </c>
      <c r="J544" s="10" t="s">
        <v>30</v>
      </c>
      <c r="K544" s="11" t="n">
        <f>33764</f>
        <v>33764.0</v>
      </c>
    </row>
    <row r="545">
      <c r="A545" s="8" t="s">
        <v>32</v>
      </c>
      <c r="B545" s="9" t="s">
        <v>84</v>
      </c>
      <c r="C545" s="9" t="s">
        <v>85</v>
      </c>
      <c r="D545" s="10"/>
      <c r="E545" s="11" t="n">
        <f>2715</f>
        <v>2715.0</v>
      </c>
      <c r="F545" s="10"/>
      <c r="G545" s="11" t="n">
        <f>9183903500</f>
        <v>9.1839035E9</v>
      </c>
      <c r="H545" s="10"/>
      <c r="I545" s="11" t="str">
        <f>"－"</f>
        <v>－</v>
      </c>
      <c r="J545" s="10"/>
      <c r="K545" s="11" t="n">
        <f>33289</f>
        <v>33289.0</v>
      </c>
    </row>
    <row r="546">
      <c r="A546" s="8" t="s">
        <v>33</v>
      </c>
      <c r="B546" s="9" t="s">
        <v>84</v>
      </c>
      <c r="C546" s="9" t="s">
        <v>85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34</v>
      </c>
      <c r="B547" s="9" t="s">
        <v>84</v>
      </c>
      <c r="C547" s="9" t="s">
        <v>85</v>
      </c>
      <c r="D547" s="10"/>
      <c r="E547" s="11"/>
      <c r="F547" s="10"/>
      <c r="G547" s="11"/>
      <c r="H547" s="10"/>
      <c r="I547" s="11"/>
      <c r="J547" s="10"/>
      <c r="K547" s="11"/>
    </row>
    <row r="548">
      <c r="A548" s="8" t="s">
        <v>35</v>
      </c>
      <c r="B548" s="9" t="s">
        <v>84</v>
      </c>
      <c r="C548" s="9" t="s">
        <v>85</v>
      </c>
      <c r="D548" s="10"/>
      <c r="E548" s="11" t="n">
        <f>2791</f>
        <v>2791.0</v>
      </c>
      <c r="F548" s="10"/>
      <c r="G548" s="11" t="n">
        <f>9579710000</f>
        <v>9.57971E9</v>
      </c>
      <c r="H548" s="10"/>
      <c r="I548" s="11" t="str">
        <f>"－"</f>
        <v>－</v>
      </c>
      <c r="J548" s="10"/>
      <c r="K548" s="11" t="n">
        <f>33312</f>
        <v>33312.0</v>
      </c>
    </row>
    <row r="549">
      <c r="A549" s="8" t="s">
        <v>36</v>
      </c>
      <c r="B549" s="9" t="s">
        <v>84</v>
      </c>
      <c r="C549" s="9" t="s">
        <v>85</v>
      </c>
      <c r="D549" s="10"/>
      <c r="E549" s="11" t="n">
        <f>2128</f>
        <v>2128.0</v>
      </c>
      <c r="F549" s="10"/>
      <c r="G549" s="11" t="n">
        <f>7307815000</f>
        <v>7.307815E9</v>
      </c>
      <c r="H549" s="10"/>
      <c r="I549" s="11" t="str">
        <f>"－"</f>
        <v>－</v>
      </c>
      <c r="J549" s="10"/>
      <c r="K549" s="11" t="n">
        <f>33130</f>
        <v>33130.0</v>
      </c>
    </row>
    <row r="550">
      <c r="A550" s="8" t="s">
        <v>37</v>
      </c>
      <c r="B550" s="9" t="s">
        <v>84</v>
      </c>
      <c r="C550" s="9" t="s">
        <v>85</v>
      </c>
      <c r="D550" s="10" t="s">
        <v>20</v>
      </c>
      <c r="E550" s="11" t="n">
        <f>1864</f>
        <v>1864.0</v>
      </c>
      <c r="F550" s="10" t="s">
        <v>20</v>
      </c>
      <c r="G550" s="11" t="n">
        <f>6320508000</f>
        <v>6.320508E9</v>
      </c>
      <c r="H550" s="10"/>
      <c r="I550" s="11" t="str">
        <f>"－"</f>
        <v>－</v>
      </c>
      <c r="J550" s="10"/>
      <c r="K550" s="11" t="n">
        <f>32684</f>
        <v>32684.0</v>
      </c>
    </row>
    <row r="551">
      <c r="A551" s="8" t="s">
        <v>38</v>
      </c>
      <c r="B551" s="9" t="s">
        <v>84</v>
      </c>
      <c r="C551" s="9" t="s">
        <v>85</v>
      </c>
      <c r="D551" s="10"/>
      <c r="E551" s="11" t="n">
        <f>2405</f>
        <v>2405.0</v>
      </c>
      <c r="F551" s="10"/>
      <c r="G551" s="11" t="n">
        <f>8208668500</f>
        <v>8.2086685E9</v>
      </c>
      <c r="H551" s="10"/>
      <c r="I551" s="11" t="str">
        <f>"－"</f>
        <v>－</v>
      </c>
      <c r="J551" s="10"/>
      <c r="K551" s="11" t="n">
        <f>32597</f>
        <v>32597.0</v>
      </c>
    </row>
    <row r="552">
      <c r="A552" s="8" t="s">
        <v>39</v>
      </c>
      <c r="B552" s="9" t="s">
        <v>84</v>
      </c>
      <c r="C552" s="9" t="s">
        <v>85</v>
      </c>
      <c r="D552" s="10"/>
      <c r="E552" s="11" t="n">
        <f>2025</f>
        <v>2025.0</v>
      </c>
      <c r="F552" s="10"/>
      <c r="G552" s="11" t="n">
        <f>6969470500</f>
        <v>6.9694705E9</v>
      </c>
      <c r="H552" s="10"/>
      <c r="I552" s="11" t="str">
        <f>"－"</f>
        <v>－</v>
      </c>
      <c r="J552" s="10"/>
      <c r="K552" s="11" t="n">
        <f>32421</f>
        <v>32421.0</v>
      </c>
    </row>
    <row r="553">
      <c r="A553" s="8" t="s">
        <v>40</v>
      </c>
      <c r="B553" s="9" t="s">
        <v>84</v>
      </c>
      <c r="C553" s="9" t="s">
        <v>85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41</v>
      </c>
      <c r="B554" s="9" t="s">
        <v>84</v>
      </c>
      <c r="C554" s="9" t="s">
        <v>85</v>
      </c>
      <c r="D554" s="10"/>
      <c r="E554" s="11"/>
      <c r="F554" s="10"/>
      <c r="G554" s="11"/>
      <c r="H554" s="10"/>
      <c r="I554" s="11"/>
      <c r="J554" s="10"/>
      <c r="K554" s="11"/>
    </row>
    <row r="555">
      <c r="A555" s="8" t="s">
        <v>42</v>
      </c>
      <c r="B555" s="9" t="s">
        <v>84</v>
      </c>
      <c r="C555" s="9" t="s">
        <v>85</v>
      </c>
      <c r="D555" s="10"/>
      <c r="E555" s="11" t="n">
        <f>2083</f>
        <v>2083.0</v>
      </c>
      <c r="F555" s="10"/>
      <c r="G555" s="11" t="n">
        <f>7187170500</f>
        <v>7.1871705E9</v>
      </c>
      <c r="H555" s="10"/>
      <c r="I555" s="11" t="str">
        <f>"－"</f>
        <v>－</v>
      </c>
      <c r="J555" s="10"/>
      <c r="K555" s="11" t="n">
        <f>32298</f>
        <v>32298.0</v>
      </c>
    </row>
    <row r="556">
      <c r="A556" s="8" t="s">
        <v>43</v>
      </c>
      <c r="B556" s="9" t="s">
        <v>84</v>
      </c>
      <c r="C556" s="9" t="s">
        <v>85</v>
      </c>
      <c r="D556" s="10"/>
      <c r="E556" s="11" t="n">
        <f>2061</f>
        <v>2061.0</v>
      </c>
      <c r="F556" s="10"/>
      <c r="G556" s="11" t="n">
        <f>7110770500</f>
        <v>7.1107705E9</v>
      </c>
      <c r="H556" s="10"/>
      <c r="I556" s="11" t="str">
        <f>"－"</f>
        <v>－</v>
      </c>
      <c r="J556" s="10"/>
      <c r="K556" s="11" t="n">
        <f>32203</f>
        <v>32203.0</v>
      </c>
    </row>
    <row r="557">
      <c r="A557" s="8" t="s">
        <v>44</v>
      </c>
      <c r="B557" s="9" t="s">
        <v>84</v>
      </c>
      <c r="C557" s="9" t="s">
        <v>85</v>
      </c>
      <c r="D557" s="10"/>
      <c r="E557" s="11" t="n">
        <f>2904</f>
        <v>2904.0</v>
      </c>
      <c r="F557" s="10"/>
      <c r="G557" s="11" t="n">
        <f>10108975500</f>
        <v>1.01089755E10</v>
      </c>
      <c r="H557" s="10"/>
      <c r="I557" s="11" t="str">
        <f>"－"</f>
        <v>－</v>
      </c>
      <c r="J557" s="10"/>
      <c r="K557" s="11" t="n">
        <f>31487</f>
        <v>31487.0</v>
      </c>
    </row>
    <row r="558">
      <c r="A558" s="8" t="s">
        <v>45</v>
      </c>
      <c r="B558" s="9" t="s">
        <v>84</v>
      </c>
      <c r="C558" s="9" t="s">
        <v>85</v>
      </c>
      <c r="D558" s="10"/>
      <c r="E558" s="11" t="n">
        <f>2662</f>
        <v>2662.0</v>
      </c>
      <c r="F558" s="10"/>
      <c r="G558" s="11" t="n">
        <f>9331372500</f>
        <v>9.3313725E9</v>
      </c>
      <c r="H558" s="10"/>
      <c r="I558" s="11" t="str">
        <f>"－"</f>
        <v>－</v>
      </c>
      <c r="J558" s="10"/>
      <c r="K558" s="11" t="n">
        <f>31137</f>
        <v>31137.0</v>
      </c>
    </row>
    <row r="559">
      <c r="A559" s="8" t="s">
        <v>46</v>
      </c>
      <c r="B559" s="9" t="s">
        <v>84</v>
      </c>
      <c r="C559" s="9" t="s">
        <v>85</v>
      </c>
      <c r="D559" s="10"/>
      <c r="E559" s="11" t="n">
        <f>2129</f>
        <v>2129.0</v>
      </c>
      <c r="F559" s="10"/>
      <c r="G559" s="11" t="n">
        <f>7434020000</f>
        <v>7.43402E9</v>
      </c>
      <c r="H559" s="10"/>
      <c r="I559" s="11" t="str">
        <f>"－"</f>
        <v>－</v>
      </c>
      <c r="J559" s="10"/>
      <c r="K559" s="11" t="n">
        <f>31159</f>
        <v>31159.0</v>
      </c>
    </row>
    <row r="560">
      <c r="A560" s="8" t="s">
        <v>47</v>
      </c>
      <c r="B560" s="9" t="s">
        <v>84</v>
      </c>
      <c r="C560" s="9" t="s">
        <v>85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48</v>
      </c>
      <c r="B561" s="9" t="s">
        <v>84</v>
      </c>
      <c r="C561" s="9" t="s">
        <v>85</v>
      </c>
      <c r="D561" s="10"/>
      <c r="E561" s="11"/>
      <c r="F561" s="10"/>
      <c r="G561" s="11"/>
      <c r="H561" s="10"/>
      <c r="I561" s="11"/>
      <c r="J561" s="10"/>
      <c r="K561" s="11"/>
    </row>
    <row r="562">
      <c r="A562" s="8" t="s">
        <v>49</v>
      </c>
      <c r="B562" s="9" t="s">
        <v>84</v>
      </c>
      <c r="C562" s="9" t="s">
        <v>85</v>
      </c>
      <c r="D562" s="10"/>
      <c r="E562" s="11" t="n">
        <f>2063</f>
        <v>2063.0</v>
      </c>
      <c r="F562" s="10"/>
      <c r="G562" s="11" t="n">
        <f>7221846500</f>
        <v>7.2218465E9</v>
      </c>
      <c r="H562" s="10"/>
      <c r="I562" s="11" t="str">
        <f>"－"</f>
        <v>－</v>
      </c>
      <c r="J562" s="10"/>
      <c r="K562" s="11" t="n">
        <f>31678</f>
        <v>31678.0</v>
      </c>
    </row>
    <row r="563">
      <c r="A563" s="8" t="s">
        <v>50</v>
      </c>
      <c r="B563" s="9" t="s">
        <v>84</v>
      </c>
      <c r="C563" s="9" t="s">
        <v>85</v>
      </c>
      <c r="D563" s="10"/>
      <c r="E563" s="11"/>
      <c r="F563" s="10"/>
      <c r="G563" s="11"/>
      <c r="H563" s="10"/>
      <c r="I563" s="11"/>
      <c r="J563" s="10"/>
      <c r="K563" s="11"/>
    </row>
    <row r="564">
      <c r="A564" s="8" t="s">
        <v>16</v>
      </c>
      <c r="B564" s="9" t="s">
        <v>86</v>
      </c>
      <c r="C564" s="9" t="s">
        <v>87</v>
      </c>
      <c r="D564" s="10"/>
      <c r="E564" s="11"/>
      <c r="F564" s="10"/>
      <c r="G564" s="11"/>
      <c r="H564" s="10"/>
      <c r="I564" s="11"/>
      <c r="J564" s="10"/>
      <c r="K564" s="11"/>
    </row>
    <row r="565">
      <c r="A565" s="8" t="s">
        <v>19</v>
      </c>
      <c r="B565" s="9" t="s">
        <v>86</v>
      </c>
      <c r="C565" s="9" t="s">
        <v>87</v>
      </c>
      <c r="D565" s="10" t="s">
        <v>20</v>
      </c>
      <c r="E565" s="11" t="str">
        <f>"－"</f>
        <v>－</v>
      </c>
      <c r="F565" s="10" t="s">
        <v>20</v>
      </c>
      <c r="G565" s="11" t="str">
        <f>"－"</f>
        <v>－</v>
      </c>
      <c r="H565" s="10" t="s">
        <v>53</v>
      </c>
      <c r="I565" s="11" t="str">
        <f>"－"</f>
        <v>－</v>
      </c>
      <c r="J565" s="10"/>
      <c r="K565" s="11" t="n">
        <f>3763</f>
        <v>3763.0</v>
      </c>
    </row>
    <row r="566">
      <c r="A566" s="8" t="s">
        <v>21</v>
      </c>
      <c r="B566" s="9" t="s">
        <v>86</v>
      </c>
      <c r="C566" s="9" t="s">
        <v>87</v>
      </c>
      <c r="D566" s="10"/>
      <c r="E566" s="11" t="str">
        <f>"－"</f>
        <v>－</v>
      </c>
      <c r="F566" s="10"/>
      <c r="G566" s="11" t="str">
        <f>"－"</f>
        <v>－</v>
      </c>
      <c r="H566" s="10"/>
      <c r="I566" s="11" t="str">
        <f>"－"</f>
        <v>－</v>
      </c>
      <c r="J566" s="10" t="s">
        <v>20</v>
      </c>
      <c r="K566" s="11" t="n">
        <f>3608</f>
        <v>3608.0</v>
      </c>
    </row>
    <row r="567">
      <c r="A567" s="8" t="s">
        <v>22</v>
      </c>
      <c r="B567" s="9" t="s">
        <v>86</v>
      </c>
      <c r="C567" s="9" t="s">
        <v>87</v>
      </c>
      <c r="D567" s="10" t="s">
        <v>30</v>
      </c>
      <c r="E567" s="11" t="n">
        <f>120</f>
        <v>120.0</v>
      </c>
      <c r="F567" s="10" t="s">
        <v>30</v>
      </c>
      <c r="G567" s="11" t="n">
        <f>136659120</f>
        <v>1.3665912E8</v>
      </c>
      <c r="H567" s="10"/>
      <c r="I567" s="11" t="str">
        <f>"－"</f>
        <v>－</v>
      </c>
      <c r="J567" s="10"/>
      <c r="K567" s="11" t="n">
        <f>3728</f>
        <v>3728.0</v>
      </c>
    </row>
    <row r="568">
      <c r="A568" s="8" t="s">
        <v>23</v>
      </c>
      <c r="B568" s="9" t="s">
        <v>86</v>
      </c>
      <c r="C568" s="9" t="s">
        <v>87</v>
      </c>
      <c r="D568" s="10"/>
      <c r="E568" s="11" t="str">
        <f>"－"</f>
        <v>－</v>
      </c>
      <c r="F568" s="10"/>
      <c r="G568" s="11" t="str">
        <f>"－"</f>
        <v>－</v>
      </c>
      <c r="H568" s="10"/>
      <c r="I568" s="11" t="str">
        <f>"－"</f>
        <v>－</v>
      </c>
      <c r="J568" s="10"/>
      <c r="K568" s="11" t="n">
        <f>3728</f>
        <v>3728.0</v>
      </c>
    </row>
    <row r="569">
      <c r="A569" s="8" t="s">
        <v>24</v>
      </c>
      <c r="B569" s="9" t="s">
        <v>86</v>
      </c>
      <c r="C569" s="9" t="s">
        <v>87</v>
      </c>
      <c r="D569" s="10"/>
      <c r="E569" s="11" t="str">
        <f>"－"</f>
        <v>－</v>
      </c>
      <c r="F569" s="10"/>
      <c r="G569" s="11" t="str">
        <f>"－"</f>
        <v>－</v>
      </c>
      <c r="H569" s="10"/>
      <c r="I569" s="11" t="str">
        <f>"－"</f>
        <v>－</v>
      </c>
      <c r="J569" s="10"/>
      <c r="K569" s="11" t="n">
        <f>3728</f>
        <v>3728.0</v>
      </c>
    </row>
    <row r="570">
      <c r="A570" s="8" t="s">
        <v>25</v>
      </c>
      <c r="B570" s="9" t="s">
        <v>86</v>
      </c>
      <c r="C570" s="9" t="s">
        <v>87</v>
      </c>
      <c r="D570" s="10"/>
      <c r="E570" s="11"/>
      <c r="F570" s="10"/>
      <c r="G570" s="11"/>
      <c r="H570" s="10"/>
      <c r="I570" s="11"/>
      <c r="J570" s="10"/>
      <c r="K570" s="11"/>
    </row>
    <row r="571">
      <c r="A571" s="8" t="s">
        <v>26</v>
      </c>
      <c r="B571" s="9" t="s">
        <v>86</v>
      </c>
      <c r="C571" s="9" t="s">
        <v>87</v>
      </c>
      <c r="D571" s="10"/>
      <c r="E571" s="11"/>
      <c r="F571" s="10"/>
      <c r="G571" s="11"/>
      <c r="H571" s="10"/>
      <c r="I571" s="11"/>
      <c r="J571" s="10"/>
      <c r="K571" s="11"/>
    </row>
    <row r="572">
      <c r="A572" s="8" t="s">
        <v>27</v>
      </c>
      <c r="B572" s="9" t="s">
        <v>86</v>
      </c>
      <c r="C572" s="9" t="s">
        <v>87</v>
      </c>
      <c r="D572" s="10"/>
      <c r="E572" s="11" t="n">
        <f>4</f>
        <v>4.0</v>
      </c>
      <c r="F572" s="10"/>
      <c r="G572" s="11" t="n">
        <f>4672320</f>
        <v>4672320.0</v>
      </c>
      <c r="H572" s="10"/>
      <c r="I572" s="11" t="str">
        <f>"－"</f>
        <v>－</v>
      </c>
      <c r="J572" s="10"/>
      <c r="K572" s="11" t="n">
        <f>3732</f>
        <v>3732.0</v>
      </c>
    </row>
    <row r="573">
      <c r="A573" s="8" t="s">
        <v>28</v>
      </c>
      <c r="B573" s="9" t="s">
        <v>86</v>
      </c>
      <c r="C573" s="9" t="s">
        <v>87</v>
      </c>
      <c r="D573" s="10"/>
      <c r="E573" s="11" t="str">
        <f>"－"</f>
        <v>－</v>
      </c>
      <c r="F573" s="10"/>
      <c r="G573" s="11" t="str">
        <f>"－"</f>
        <v>－</v>
      </c>
      <c r="H573" s="10"/>
      <c r="I573" s="11" t="str">
        <f>"－"</f>
        <v>－</v>
      </c>
      <c r="J573" s="10"/>
      <c r="K573" s="11" t="n">
        <f>3732</f>
        <v>3732.0</v>
      </c>
    </row>
    <row r="574">
      <c r="A574" s="8" t="s">
        <v>29</v>
      </c>
      <c r="B574" s="9" t="s">
        <v>86</v>
      </c>
      <c r="C574" s="9" t="s">
        <v>87</v>
      </c>
      <c r="D574" s="10"/>
      <c r="E574" s="11" t="str">
        <f>"－"</f>
        <v>－</v>
      </c>
      <c r="F574" s="10"/>
      <c r="G574" s="11" t="str">
        <f>"－"</f>
        <v>－</v>
      </c>
      <c r="H574" s="10"/>
      <c r="I574" s="11" t="str">
        <f>"－"</f>
        <v>－</v>
      </c>
      <c r="J574" s="10"/>
      <c r="K574" s="11" t="n">
        <f>3732</f>
        <v>3732.0</v>
      </c>
    </row>
    <row r="575">
      <c r="A575" s="8" t="s">
        <v>31</v>
      </c>
      <c r="B575" s="9" t="s">
        <v>86</v>
      </c>
      <c r="C575" s="9" t="s">
        <v>87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3732</f>
        <v>3732.0</v>
      </c>
    </row>
    <row r="576">
      <c r="A576" s="8" t="s">
        <v>32</v>
      </c>
      <c r="B576" s="9" t="s">
        <v>86</v>
      </c>
      <c r="C576" s="9" t="s">
        <v>87</v>
      </c>
      <c r="D576" s="10"/>
      <c r="E576" s="11" t="str">
        <f>"－"</f>
        <v>－</v>
      </c>
      <c r="F576" s="10"/>
      <c r="G576" s="11" t="str">
        <f>"－"</f>
        <v>－</v>
      </c>
      <c r="H576" s="10"/>
      <c r="I576" s="11" t="str">
        <f>"－"</f>
        <v>－</v>
      </c>
      <c r="J576" s="10"/>
      <c r="K576" s="11" t="n">
        <f>3732</f>
        <v>3732.0</v>
      </c>
    </row>
    <row r="577">
      <c r="A577" s="8" t="s">
        <v>33</v>
      </c>
      <c r="B577" s="9" t="s">
        <v>86</v>
      </c>
      <c r="C577" s="9" t="s">
        <v>87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34</v>
      </c>
      <c r="B578" s="9" t="s">
        <v>86</v>
      </c>
      <c r="C578" s="9" t="s">
        <v>87</v>
      </c>
      <c r="D578" s="10"/>
      <c r="E578" s="11"/>
      <c r="F578" s="10"/>
      <c r="G578" s="11"/>
      <c r="H578" s="10"/>
      <c r="I578" s="11"/>
      <c r="J578" s="10"/>
      <c r="K578" s="11"/>
    </row>
    <row r="579">
      <c r="A579" s="8" t="s">
        <v>35</v>
      </c>
      <c r="B579" s="9" t="s">
        <v>86</v>
      </c>
      <c r="C579" s="9" t="s">
        <v>87</v>
      </c>
      <c r="D579" s="10"/>
      <c r="E579" s="11" t="n">
        <f>5</f>
        <v>5.0</v>
      </c>
      <c r="F579" s="10"/>
      <c r="G579" s="11" t="n">
        <f>4572000</f>
        <v>4572000.0</v>
      </c>
      <c r="H579" s="10"/>
      <c r="I579" s="11" t="str">
        <f>"－"</f>
        <v>－</v>
      </c>
      <c r="J579" s="10"/>
      <c r="K579" s="11" t="n">
        <f>3737</f>
        <v>3737.0</v>
      </c>
    </row>
    <row r="580">
      <c r="A580" s="8" t="s">
        <v>36</v>
      </c>
      <c r="B580" s="9" t="s">
        <v>86</v>
      </c>
      <c r="C580" s="9" t="s">
        <v>87</v>
      </c>
      <c r="D580" s="10"/>
      <c r="E580" s="11" t="n">
        <f>116</f>
        <v>116.0</v>
      </c>
      <c r="F580" s="10"/>
      <c r="G580" s="11" t="n">
        <f>122016000</f>
        <v>1.22016E8</v>
      </c>
      <c r="H580" s="10"/>
      <c r="I580" s="11" t="str">
        <f>"－"</f>
        <v>－</v>
      </c>
      <c r="J580" s="10"/>
      <c r="K580" s="11" t="n">
        <f>3842</f>
        <v>3842.0</v>
      </c>
    </row>
    <row r="581">
      <c r="A581" s="8" t="s">
        <v>37</v>
      </c>
      <c r="B581" s="9" t="s">
        <v>86</v>
      </c>
      <c r="C581" s="9" t="s">
        <v>87</v>
      </c>
      <c r="D581" s="10"/>
      <c r="E581" s="11" t="n">
        <f>45</f>
        <v>45.0</v>
      </c>
      <c r="F581" s="10"/>
      <c r="G581" s="11" t="n">
        <f>45232800</f>
        <v>4.52328E7</v>
      </c>
      <c r="H581" s="10"/>
      <c r="I581" s="11" t="str">
        <f>"－"</f>
        <v>－</v>
      </c>
      <c r="J581" s="10" t="s">
        <v>30</v>
      </c>
      <c r="K581" s="11" t="n">
        <f>3882</f>
        <v>3882.0</v>
      </c>
    </row>
    <row r="582">
      <c r="A582" s="8" t="s">
        <v>38</v>
      </c>
      <c r="B582" s="9" t="s">
        <v>86</v>
      </c>
      <c r="C582" s="9" t="s">
        <v>87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3882</f>
        <v>3882.0</v>
      </c>
    </row>
    <row r="583">
      <c r="A583" s="8" t="s">
        <v>39</v>
      </c>
      <c r="B583" s="9" t="s">
        <v>86</v>
      </c>
      <c r="C583" s="9" t="s">
        <v>87</v>
      </c>
      <c r="D583" s="10"/>
      <c r="E583" s="11" t="n">
        <f>30</f>
        <v>30.0</v>
      </c>
      <c r="F583" s="10"/>
      <c r="G583" s="11" t="n">
        <f>30567600</f>
        <v>3.05676E7</v>
      </c>
      <c r="H583" s="10"/>
      <c r="I583" s="11" t="str">
        <f>"－"</f>
        <v>－</v>
      </c>
      <c r="J583" s="10"/>
      <c r="K583" s="11" t="n">
        <f>3872</f>
        <v>3872.0</v>
      </c>
    </row>
    <row r="584">
      <c r="A584" s="8" t="s">
        <v>40</v>
      </c>
      <c r="B584" s="9" t="s">
        <v>86</v>
      </c>
      <c r="C584" s="9" t="s">
        <v>87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41</v>
      </c>
      <c r="B585" s="9" t="s">
        <v>86</v>
      </c>
      <c r="C585" s="9" t="s">
        <v>87</v>
      </c>
      <c r="D585" s="10"/>
      <c r="E585" s="11"/>
      <c r="F585" s="10"/>
      <c r="G585" s="11"/>
      <c r="H585" s="10"/>
      <c r="I585" s="11"/>
      <c r="J585" s="10"/>
      <c r="K585" s="11"/>
    </row>
    <row r="586">
      <c r="A586" s="8" t="s">
        <v>42</v>
      </c>
      <c r="B586" s="9" t="s">
        <v>86</v>
      </c>
      <c r="C586" s="9" t="s">
        <v>87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3872</f>
        <v>3872.0</v>
      </c>
    </row>
    <row r="587">
      <c r="A587" s="8" t="s">
        <v>43</v>
      </c>
      <c r="B587" s="9" t="s">
        <v>86</v>
      </c>
      <c r="C587" s="9" t="s">
        <v>87</v>
      </c>
      <c r="D587" s="10"/>
      <c r="E587" s="11" t="str">
        <f>"－"</f>
        <v>－</v>
      </c>
      <c r="F587" s="10"/>
      <c r="G587" s="11" t="str">
        <f>"－"</f>
        <v>－</v>
      </c>
      <c r="H587" s="10"/>
      <c r="I587" s="11" t="str">
        <f>"－"</f>
        <v>－</v>
      </c>
      <c r="J587" s="10"/>
      <c r="K587" s="11" t="n">
        <f>3872</f>
        <v>3872.0</v>
      </c>
    </row>
    <row r="588">
      <c r="A588" s="8" t="s">
        <v>44</v>
      </c>
      <c r="B588" s="9" t="s">
        <v>86</v>
      </c>
      <c r="C588" s="9" t="s">
        <v>87</v>
      </c>
      <c r="D588" s="10"/>
      <c r="E588" s="11" t="str">
        <f>"－"</f>
        <v>－</v>
      </c>
      <c r="F588" s="10"/>
      <c r="G588" s="11" t="str">
        <f>"－"</f>
        <v>－</v>
      </c>
      <c r="H588" s="10"/>
      <c r="I588" s="11" t="str">
        <f>"－"</f>
        <v>－</v>
      </c>
      <c r="J588" s="10"/>
      <c r="K588" s="11" t="n">
        <f>3872</f>
        <v>3872.0</v>
      </c>
    </row>
    <row r="589">
      <c r="A589" s="8" t="s">
        <v>45</v>
      </c>
      <c r="B589" s="9" t="s">
        <v>86</v>
      </c>
      <c r="C589" s="9" t="s">
        <v>87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3872</f>
        <v>3872.0</v>
      </c>
    </row>
    <row r="590">
      <c r="A590" s="8" t="s">
        <v>46</v>
      </c>
      <c r="B590" s="9" t="s">
        <v>86</v>
      </c>
      <c r="C590" s="9" t="s">
        <v>87</v>
      </c>
      <c r="D590" s="10"/>
      <c r="E590" s="11" t="str">
        <f>"－"</f>
        <v>－</v>
      </c>
      <c r="F590" s="10"/>
      <c r="G590" s="11" t="str">
        <f>"－"</f>
        <v>－</v>
      </c>
      <c r="H590" s="10"/>
      <c r="I590" s="11" t="str">
        <f>"－"</f>
        <v>－</v>
      </c>
      <c r="J590" s="10"/>
      <c r="K590" s="11" t="n">
        <f>3872</f>
        <v>3872.0</v>
      </c>
    </row>
    <row r="591">
      <c r="A591" s="8" t="s">
        <v>47</v>
      </c>
      <c r="B591" s="9" t="s">
        <v>86</v>
      </c>
      <c r="C591" s="9" t="s">
        <v>87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48</v>
      </c>
      <c r="B592" s="9" t="s">
        <v>86</v>
      </c>
      <c r="C592" s="9" t="s">
        <v>87</v>
      </c>
      <c r="D592" s="10"/>
      <c r="E592" s="11"/>
      <c r="F592" s="10"/>
      <c r="G592" s="11"/>
      <c r="H592" s="10"/>
      <c r="I592" s="11"/>
      <c r="J592" s="10"/>
      <c r="K592" s="11"/>
    </row>
    <row r="593">
      <c r="A593" s="8" t="s">
        <v>49</v>
      </c>
      <c r="B593" s="9" t="s">
        <v>86</v>
      </c>
      <c r="C593" s="9" t="s">
        <v>87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3872</f>
        <v>3872.0</v>
      </c>
    </row>
    <row r="594">
      <c r="A594" s="8" t="s">
        <v>50</v>
      </c>
      <c r="B594" s="9" t="s">
        <v>86</v>
      </c>
      <c r="C594" s="9" t="s">
        <v>87</v>
      </c>
      <c r="D594" s="10"/>
      <c r="E594" s="11"/>
      <c r="F594" s="10"/>
      <c r="G594" s="11"/>
      <c r="H594" s="10"/>
      <c r="I594" s="11"/>
      <c r="J594" s="10"/>
      <c r="K594" s="11"/>
    </row>
    <row r="595">
      <c r="A595" s="8" t="s">
        <v>16</v>
      </c>
      <c r="B595" s="9" t="s">
        <v>88</v>
      </c>
      <c r="C595" s="9" t="s">
        <v>89</v>
      </c>
      <c r="D595" s="10"/>
      <c r="E595" s="11"/>
      <c r="F595" s="10"/>
      <c r="G595" s="11"/>
      <c r="H595" s="10"/>
      <c r="I595" s="11"/>
      <c r="J595" s="10"/>
      <c r="K595" s="11"/>
    </row>
    <row r="596">
      <c r="A596" s="8" t="s">
        <v>19</v>
      </c>
      <c r="B596" s="9" t="s">
        <v>88</v>
      </c>
      <c r="C596" s="9" t="s">
        <v>89</v>
      </c>
      <c r="D596" s="10" t="s">
        <v>20</v>
      </c>
      <c r="E596" s="11" t="str">
        <f>"－"</f>
        <v>－</v>
      </c>
      <c r="F596" s="10" t="s">
        <v>20</v>
      </c>
      <c r="G596" s="11" t="str">
        <f>"－"</f>
        <v>－</v>
      </c>
      <c r="H596" s="10" t="s">
        <v>53</v>
      </c>
      <c r="I596" s="11" t="str">
        <f>"－"</f>
        <v>－</v>
      </c>
      <c r="J596" s="10"/>
      <c r="K596" s="11" t="n">
        <f>630</f>
        <v>630.0</v>
      </c>
    </row>
    <row r="597">
      <c r="A597" s="8" t="s">
        <v>21</v>
      </c>
      <c r="B597" s="9" t="s">
        <v>88</v>
      </c>
      <c r="C597" s="9" t="s">
        <v>89</v>
      </c>
      <c r="D597" s="10"/>
      <c r="E597" s="11" t="str">
        <f>"－"</f>
        <v>－</v>
      </c>
      <c r="F597" s="10"/>
      <c r="G597" s="11" t="str">
        <f>"－"</f>
        <v>－</v>
      </c>
      <c r="H597" s="10"/>
      <c r="I597" s="11" t="str">
        <f>"－"</f>
        <v>－</v>
      </c>
      <c r="J597" s="10" t="s">
        <v>20</v>
      </c>
      <c r="K597" s="11" t="n">
        <f>570</f>
        <v>570.0</v>
      </c>
    </row>
    <row r="598">
      <c r="A598" s="8" t="s">
        <v>22</v>
      </c>
      <c r="B598" s="9" t="s">
        <v>88</v>
      </c>
      <c r="C598" s="9" t="s">
        <v>89</v>
      </c>
      <c r="D598" s="10"/>
      <c r="E598" s="11" t="n">
        <f>38</f>
        <v>38.0</v>
      </c>
      <c r="F598" s="10"/>
      <c r="G598" s="11" t="n">
        <f>36915120</f>
        <v>3.691512E7</v>
      </c>
      <c r="H598" s="10"/>
      <c r="I598" s="11" t="str">
        <f>"－"</f>
        <v>－</v>
      </c>
      <c r="J598" s="10"/>
      <c r="K598" s="11" t="n">
        <f>599</f>
        <v>599.0</v>
      </c>
    </row>
    <row r="599">
      <c r="A599" s="8" t="s">
        <v>23</v>
      </c>
      <c r="B599" s="9" t="s">
        <v>88</v>
      </c>
      <c r="C599" s="9" t="s">
        <v>89</v>
      </c>
      <c r="D599" s="10"/>
      <c r="E599" s="11" t="n">
        <f>10</f>
        <v>10.0</v>
      </c>
      <c r="F599" s="10"/>
      <c r="G599" s="11" t="n">
        <f>10006800</f>
        <v>1.00068E7</v>
      </c>
      <c r="H599" s="10"/>
      <c r="I599" s="11" t="str">
        <f>"－"</f>
        <v>－</v>
      </c>
      <c r="J599" s="10"/>
      <c r="K599" s="11" t="n">
        <f>609</f>
        <v>609.0</v>
      </c>
    </row>
    <row r="600">
      <c r="A600" s="8" t="s">
        <v>24</v>
      </c>
      <c r="B600" s="9" t="s">
        <v>88</v>
      </c>
      <c r="C600" s="9" t="s">
        <v>89</v>
      </c>
      <c r="D600" s="10"/>
      <c r="E600" s="11" t="str">
        <f>"－"</f>
        <v>－</v>
      </c>
      <c r="F600" s="10"/>
      <c r="G600" s="11" t="str">
        <f>"－"</f>
        <v>－</v>
      </c>
      <c r="H600" s="10"/>
      <c r="I600" s="11" t="str">
        <f>"－"</f>
        <v>－</v>
      </c>
      <c r="J600" s="10"/>
      <c r="K600" s="11" t="n">
        <f>609</f>
        <v>609.0</v>
      </c>
    </row>
    <row r="601">
      <c r="A601" s="8" t="s">
        <v>25</v>
      </c>
      <c r="B601" s="9" t="s">
        <v>88</v>
      </c>
      <c r="C601" s="9" t="s">
        <v>89</v>
      </c>
      <c r="D601" s="10"/>
      <c r="E601" s="11"/>
      <c r="F601" s="10"/>
      <c r="G601" s="11"/>
      <c r="H601" s="10"/>
      <c r="I601" s="11"/>
      <c r="J601" s="10"/>
      <c r="K601" s="11"/>
    </row>
    <row r="602">
      <c r="A602" s="8" t="s">
        <v>26</v>
      </c>
      <c r="B602" s="9" t="s">
        <v>88</v>
      </c>
      <c r="C602" s="9" t="s">
        <v>89</v>
      </c>
      <c r="D602" s="10"/>
      <c r="E602" s="11"/>
      <c r="F602" s="10"/>
      <c r="G602" s="11"/>
      <c r="H602" s="10"/>
      <c r="I602" s="11"/>
      <c r="J602" s="10"/>
      <c r="K602" s="11"/>
    </row>
    <row r="603">
      <c r="A603" s="8" t="s">
        <v>27</v>
      </c>
      <c r="B603" s="9" t="s">
        <v>88</v>
      </c>
      <c r="C603" s="9" t="s">
        <v>89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609</f>
        <v>609.0</v>
      </c>
    </row>
    <row r="604">
      <c r="A604" s="8" t="s">
        <v>28</v>
      </c>
      <c r="B604" s="9" t="s">
        <v>88</v>
      </c>
      <c r="C604" s="9" t="s">
        <v>89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609</f>
        <v>609.0</v>
      </c>
    </row>
    <row r="605">
      <c r="A605" s="8" t="s">
        <v>29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609</f>
        <v>609.0</v>
      </c>
    </row>
    <row r="606">
      <c r="A606" s="8" t="s">
        <v>31</v>
      </c>
      <c r="B606" s="9" t="s">
        <v>88</v>
      </c>
      <c r="C606" s="9" t="s">
        <v>89</v>
      </c>
      <c r="D606" s="10"/>
      <c r="E606" s="11" t="str">
        <f>"－"</f>
        <v>－</v>
      </c>
      <c r="F606" s="10"/>
      <c r="G606" s="11" t="str">
        <f>"－"</f>
        <v>－</v>
      </c>
      <c r="H606" s="10"/>
      <c r="I606" s="11" t="str">
        <f>"－"</f>
        <v>－</v>
      </c>
      <c r="J606" s="10"/>
      <c r="K606" s="11" t="n">
        <f>609</f>
        <v>609.0</v>
      </c>
    </row>
    <row r="607">
      <c r="A607" s="8" t="s">
        <v>32</v>
      </c>
      <c r="B607" s="9" t="s">
        <v>88</v>
      </c>
      <c r="C607" s="9" t="s">
        <v>89</v>
      </c>
      <c r="D607" s="10"/>
      <c r="E607" s="11" t="n">
        <f>40</f>
        <v>40.0</v>
      </c>
      <c r="F607" s="10"/>
      <c r="G607" s="11" t="n">
        <f>37125600</f>
        <v>3.71256E7</v>
      </c>
      <c r="H607" s="10"/>
      <c r="I607" s="11" t="str">
        <f>"－"</f>
        <v>－</v>
      </c>
      <c r="J607" s="10"/>
      <c r="K607" s="11" t="n">
        <f>615</f>
        <v>615.0</v>
      </c>
    </row>
    <row r="608">
      <c r="A608" s="8" t="s">
        <v>33</v>
      </c>
      <c r="B608" s="9" t="s">
        <v>88</v>
      </c>
      <c r="C608" s="9" t="s">
        <v>89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34</v>
      </c>
      <c r="B609" s="9" t="s">
        <v>88</v>
      </c>
      <c r="C609" s="9" t="s">
        <v>89</v>
      </c>
      <c r="D609" s="10"/>
      <c r="E609" s="11"/>
      <c r="F609" s="10"/>
      <c r="G609" s="11"/>
      <c r="H609" s="10"/>
      <c r="I609" s="11"/>
      <c r="J609" s="10"/>
      <c r="K609" s="11"/>
    </row>
    <row r="610">
      <c r="A610" s="8" t="s">
        <v>35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615</f>
        <v>615.0</v>
      </c>
    </row>
    <row r="611">
      <c r="A611" s="8" t="s">
        <v>36</v>
      </c>
      <c r="B611" s="9" t="s">
        <v>88</v>
      </c>
      <c r="C611" s="9" t="s">
        <v>89</v>
      </c>
      <c r="D611" s="10" t="s">
        <v>30</v>
      </c>
      <c r="E611" s="11" t="n">
        <f>310</f>
        <v>310.0</v>
      </c>
      <c r="F611" s="10" t="s">
        <v>30</v>
      </c>
      <c r="G611" s="11" t="n">
        <f>277640160</f>
        <v>2.7764016E8</v>
      </c>
      <c r="H611" s="10"/>
      <c r="I611" s="11" t="str">
        <f>"－"</f>
        <v>－</v>
      </c>
      <c r="J611" s="10" t="s">
        <v>30</v>
      </c>
      <c r="K611" s="11" t="n">
        <f>851</f>
        <v>851.0</v>
      </c>
    </row>
    <row r="612">
      <c r="A612" s="8" t="s">
        <v>37</v>
      </c>
      <c r="B612" s="9" t="s">
        <v>88</v>
      </c>
      <c r="C612" s="9" t="s">
        <v>89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851</f>
        <v>851.0</v>
      </c>
    </row>
    <row r="613">
      <c r="A613" s="8" t="s">
        <v>38</v>
      </c>
      <c r="B613" s="9" t="s">
        <v>88</v>
      </c>
      <c r="C613" s="9" t="s">
        <v>89</v>
      </c>
      <c r="D613" s="10"/>
      <c r="E613" s="11" t="str">
        <f>"－"</f>
        <v>－</v>
      </c>
      <c r="F613" s="10"/>
      <c r="G613" s="11" t="str">
        <f>"－"</f>
        <v>－</v>
      </c>
      <c r="H613" s="10"/>
      <c r="I613" s="11" t="str">
        <f>"－"</f>
        <v>－</v>
      </c>
      <c r="J613" s="10"/>
      <c r="K613" s="11" t="n">
        <f>851</f>
        <v>851.0</v>
      </c>
    </row>
    <row r="614">
      <c r="A614" s="8" t="s">
        <v>39</v>
      </c>
      <c r="B614" s="9" t="s">
        <v>88</v>
      </c>
      <c r="C614" s="9" t="s">
        <v>89</v>
      </c>
      <c r="D614" s="10"/>
      <c r="E614" s="11" t="str">
        <f>"－"</f>
        <v>－</v>
      </c>
      <c r="F614" s="10"/>
      <c r="G614" s="11" t="str">
        <f>"－"</f>
        <v>－</v>
      </c>
      <c r="H614" s="10"/>
      <c r="I614" s="11" t="str">
        <f>"－"</f>
        <v>－</v>
      </c>
      <c r="J614" s="10"/>
      <c r="K614" s="11" t="n">
        <f>851</f>
        <v>851.0</v>
      </c>
    </row>
    <row r="615">
      <c r="A615" s="8" t="s">
        <v>40</v>
      </c>
      <c r="B615" s="9" t="s">
        <v>88</v>
      </c>
      <c r="C615" s="9" t="s">
        <v>89</v>
      </c>
      <c r="D615" s="10"/>
      <c r="E615" s="11"/>
      <c r="F615" s="10"/>
      <c r="G615" s="11"/>
      <c r="H615" s="10"/>
      <c r="I615" s="11"/>
      <c r="J615" s="10"/>
      <c r="K615" s="11"/>
    </row>
    <row r="616">
      <c r="A616" s="8" t="s">
        <v>41</v>
      </c>
      <c r="B616" s="9" t="s">
        <v>88</v>
      </c>
      <c r="C616" s="9" t="s">
        <v>89</v>
      </c>
      <c r="D616" s="10"/>
      <c r="E616" s="11"/>
      <c r="F616" s="10"/>
      <c r="G616" s="11"/>
      <c r="H616" s="10"/>
      <c r="I616" s="11"/>
      <c r="J616" s="10"/>
      <c r="K616" s="11"/>
    </row>
    <row r="617">
      <c r="A617" s="8" t="s">
        <v>42</v>
      </c>
      <c r="B617" s="9" t="s">
        <v>88</v>
      </c>
      <c r="C617" s="9" t="s">
        <v>89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851</f>
        <v>851.0</v>
      </c>
    </row>
    <row r="618">
      <c r="A618" s="8" t="s">
        <v>43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851</f>
        <v>851.0</v>
      </c>
    </row>
    <row r="619">
      <c r="A619" s="8" t="s">
        <v>44</v>
      </c>
      <c r="B619" s="9" t="s">
        <v>88</v>
      </c>
      <c r="C619" s="9" t="s">
        <v>89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851</f>
        <v>851.0</v>
      </c>
    </row>
    <row r="620">
      <c r="A620" s="8" t="s">
        <v>45</v>
      </c>
      <c r="B620" s="9" t="s">
        <v>88</v>
      </c>
      <c r="C620" s="9" t="s">
        <v>89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851</f>
        <v>851.0</v>
      </c>
    </row>
    <row r="621">
      <c r="A621" s="8" t="s">
        <v>46</v>
      </c>
      <c r="B621" s="9" t="s">
        <v>88</v>
      </c>
      <c r="C621" s="9" t="s">
        <v>89</v>
      </c>
      <c r="D621" s="10"/>
      <c r="E621" s="11" t="str">
        <f>"－"</f>
        <v>－</v>
      </c>
      <c r="F621" s="10"/>
      <c r="G621" s="11" t="str">
        <f>"－"</f>
        <v>－</v>
      </c>
      <c r="H621" s="10"/>
      <c r="I621" s="11" t="str">
        <f>"－"</f>
        <v>－</v>
      </c>
      <c r="J621" s="10"/>
      <c r="K621" s="11" t="n">
        <f>851</f>
        <v>851.0</v>
      </c>
    </row>
    <row r="622">
      <c r="A622" s="8" t="s">
        <v>47</v>
      </c>
      <c r="B622" s="9" t="s">
        <v>88</v>
      </c>
      <c r="C622" s="9" t="s">
        <v>89</v>
      </c>
      <c r="D622" s="10"/>
      <c r="E622" s="11"/>
      <c r="F622" s="10"/>
      <c r="G622" s="11"/>
      <c r="H622" s="10"/>
      <c r="I622" s="11"/>
      <c r="J622" s="10"/>
      <c r="K622" s="11"/>
    </row>
    <row r="623">
      <c r="A623" s="8" t="s">
        <v>48</v>
      </c>
      <c r="B623" s="9" t="s">
        <v>88</v>
      </c>
      <c r="C623" s="9" t="s">
        <v>89</v>
      </c>
      <c r="D623" s="10"/>
      <c r="E623" s="11"/>
      <c r="F623" s="10"/>
      <c r="G623" s="11"/>
      <c r="H623" s="10"/>
      <c r="I623" s="11"/>
      <c r="J623" s="10"/>
      <c r="K623" s="11"/>
    </row>
    <row r="624">
      <c r="A624" s="8" t="s">
        <v>49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851</f>
        <v>851.0</v>
      </c>
    </row>
    <row r="625">
      <c r="A625" s="8" t="s">
        <v>50</v>
      </c>
      <c r="B625" s="9" t="s">
        <v>88</v>
      </c>
      <c r="C625" s="9" t="s">
        <v>89</v>
      </c>
      <c r="D625" s="10"/>
      <c r="E625" s="11"/>
      <c r="F625" s="10"/>
      <c r="G625" s="11"/>
      <c r="H625" s="10"/>
      <c r="I625" s="11"/>
      <c r="J625" s="10"/>
      <c r="K625" s="11"/>
    </row>
    <row r="626">
      <c r="A626" s="8" t="s">
        <v>16</v>
      </c>
      <c r="B626" s="9" t="s">
        <v>90</v>
      </c>
      <c r="C626" s="9" t="s">
        <v>91</v>
      </c>
      <c r="D626" s="10"/>
      <c r="E626" s="11"/>
      <c r="F626" s="10"/>
      <c r="G626" s="11"/>
      <c r="H626" s="10"/>
      <c r="I626" s="11"/>
      <c r="J626" s="10"/>
      <c r="K626" s="11"/>
    </row>
    <row r="627">
      <c r="A627" s="8" t="s">
        <v>19</v>
      </c>
      <c r="B627" s="9" t="s">
        <v>90</v>
      </c>
      <c r="C627" s="9" t="s">
        <v>91</v>
      </c>
      <c r="D627" s="10"/>
      <c r="E627" s="11" t="n">
        <f>20</f>
        <v>20.0</v>
      </c>
      <c r="F627" s="10"/>
      <c r="G627" s="11" t="n">
        <f>8208000</f>
        <v>8208000.0</v>
      </c>
      <c r="H627" s="10" t="s">
        <v>53</v>
      </c>
      <c r="I627" s="11" t="str">
        <f>"－"</f>
        <v>－</v>
      </c>
      <c r="J627" s="10" t="s">
        <v>20</v>
      </c>
      <c r="K627" s="11" t="n">
        <f>1311</f>
        <v>1311.0</v>
      </c>
    </row>
    <row r="628">
      <c r="A628" s="8" t="s">
        <v>21</v>
      </c>
      <c r="B628" s="9" t="s">
        <v>90</v>
      </c>
      <c r="C628" s="9" t="s">
        <v>91</v>
      </c>
      <c r="D628" s="10" t="s">
        <v>20</v>
      </c>
      <c r="E628" s="11" t="str">
        <f>"－"</f>
        <v>－</v>
      </c>
      <c r="F628" s="10" t="s">
        <v>20</v>
      </c>
      <c r="G628" s="11" t="str">
        <f>"－"</f>
        <v>－</v>
      </c>
      <c r="H628" s="10"/>
      <c r="I628" s="11" t="str">
        <f>"－"</f>
        <v>－</v>
      </c>
      <c r="J628" s="10"/>
      <c r="K628" s="11" t="n">
        <f>1311</f>
        <v>1311.0</v>
      </c>
    </row>
    <row r="629">
      <c r="A629" s="8" t="s">
        <v>22</v>
      </c>
      <c r="B629" s="9" t="s">
        <v>90</v>
      </c>
      <c r="C629" s="9" t="s">
        <v>91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/>
      <c r="K629" s="11" t="n">
        <f>1311</f>
        <v>1311.0</v>
      </c>
    </row>
    <row r="630">
      <c r="A630" s="8" t="s">
        <v>23</v>
      </c>
      <c r="B630" s="9" t="s">
        <v>90</v>
      </c>
      <c r="C630" s="9" t="s">
        <v>91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1311</f>
        <v>1311.0</v>
      </c>
    </row>
    <row r="631">
      <c r="A631" s="8" t="s">
        <v>24</v>
      </c>
      <c r="B631" s="9" t="s">
        <v>90</v>
      </c>
      <c r="C631" s="9" t="s">
        <v>91</v>
      </c>
      <c r="D631" s="10"/>
      <c r="E631" s="11" t="str">
        <f>"－"</f>
        <v>－</v>
      </c>
      <c r="F631" s="10"/>
      <c r="G631" s="11" t="str">
        <f>"－"</f>
        <v>－</v>
      </c>
      <c r="H631" s="10"/>
      <c r="I631" s="11" t="str">
        <f>"－"</f>
        <v>－</v>
      </c>
      <c r="J631" s="10"/>
      <c r="K631" s="11" t="n">
        <f>1311</f>
        <v>1311.0</v>
      </c>
    </row>
    <row r="632">
      <c r="A632" s="8" t="s">
        <v>25</v>
      </c>
      <c r="B632" s="9" t="s">
        <v>90</v>
      </c>
      <c r="C632" s="9" t="s">
        <v>91</v>
      </c>
      <c r="D632" s="10"/>
      <c r="E632" s="11"/>
      <c r="F632" s="10"/>
      <c r="G632" s="11"/>
      <c r="H632" s="10"/>
      <c r="I632" s="11"/>
      <c r="J632" s="10"/>
      <c r="K632" s="11"/>
    </row>
    <row r="633">
      <c r="A633" s="8" t="s">
        <v>26</v>
      </c>
      <c r="B633" s="9" t="s">
        <v>90</v>
      </c>
      <c r="C633" s="9" t="s">
        <v>91</v>
      </c>
      <c r="D633" s="10"/>
      <c r="E633" s="11"/>
      <c r="F633" s="10"/>
      <c r="G633" s="11"/>
      <c r="H633" s="10"/>
      <c r="I633" s="11"/>
      <c r="J633" s="10"/>
      <c r="K633" s="11"/>
    </row>
    <row r="634">
      <c r="A634" s="8" t="s">
        <v>27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1311</f>
        <v>1311.0</v>
      </c>
    </row>
    <row r="635">
      <c r="A635" s="8" t="s">
        <v>28</v>
      </c>
      <c r="B635" s="9" t="s">
        <v>90</v>
      </c>
      <c r="C635" s="9" t="s">
        <v>91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1311</f>
        <v>1311.0</v>
      </c>
    </row>
    <row r="636">
      <c r="A636" s="8" t="s">
        <v>29</v>
      </c>
      <c r="B636" s="9" t="s">
        <v>90</v>
      </c>
      <c r="C636" s="9" t="s">
        <v>91</v>
      </c>
      <c r="D636" s="10"/>
      <c r="E636" s="11" t="str">
        <f>"－"</f>
        <v>－</v>
      </c>
      <c r="F636" s="10"/>
      <c r="G636" s="11" t="str">
        <f>"－"</f>
        <v>－</v>
      </c>
      <c r="H636" s="10"/>
      <c r="I636" s="11" t="str">
        <f>"－"</f>
        <v>－</v>
      </c>
      <c r="J636" s="10"/>
      <c r="K636" s="11" t="n">
        <f>1311</f>
        <v>1311.0</v>
      </c>
    </row>
    <row r="637">
      <c r="A637" s="8" t="s">
        <v>31</v>
      </c>
      <c r="B637" s="9" t="s">
        <v>90</v>
      </c>
      <c r="C637" s="9" t="s">
        <v>91</v>
      </c>
      <c r="D637" s="10"/>
      <c r="E637" s="11" t="str">
        <f>"－"</f>
        <v>－</v>
      </c>
      <c r="F637" s="10"/>
      <c r="G637" s="11" t="str">
        <f>"－"</f>
        <v>－</v>
      </c>
      <c r="H637" s="10"/>
      <c r="I637" s="11" t="str">
        <f>"－"</f>
        <v>－</v>
      </c>
      <c r="J637" s="10"/>
      <c r="K637" s="11" t="n">
        <f>1311</f>
        <v>1311.0</v>
      </c>
    </row>
    <row r="638">
      <c r="A638" s="8" t="s">
        <v>32</v>
      </c>
      <c r="B638" s="9" t="s">
        <v>90</v>
      </c>
      <c r="C638" s="9" t="s">
        <v>91</v>
      </c>
      <c r="D638" s="10"/>
      <c r="E638" s="11" t="str">
        <f>"－"</f>
        <v>－</v>
      </c>
      <c r="F638" s="10"/>
      <c r="G638" s="11" t="str">
        <f>"－"</f>
        <v>－</v>
      </c>
      <c r="H638" s="10"/>
      <c r="I638" s="11" t="str">
        <f>"－"</f>
        <v>－</v>
      </c>
      <c r="J638" s="10"/>
      <c r="K638" s="11" t="n">
        <f>1311</f>
        <v>1311.0</v>
      </c>
    </row>
    <row r="639">
      <c r="A639" s="8" t="s">
        <v>33</v>
      </c>
      <c r="B639" s="9" t="s">
        <v>90</v>
      </c>
      <c r="C639" s="9" t="s">
        <v>91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34</v>
      </c>
      <c r="B640" s="9" t="s">
        <v>90</v>
      </c>
      <c r="C640" s="9" t="s">
        <v>91</v>
      </c>
      <c r="D640" s="10"/>
      <c r="E640" s="11"/>
      <c r="F640" s="10"/>
      <c r="G640" s="11"/>
      <c r="H640" s="10"/>
      <c r="I640" s="11"/>
      <c r="J640" s="10"/>
      <c r="K640" s="11"/>
    </row>
    <row r="641">
      <c r="A641" s="8" t="s">
        <v>35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1311</f>
        <v>1311.0</v>
      </c>
    </row>
    <row r="642">
      <c r="A642" s="8" t="s">
        <v>36</v>
      </c>
      <c r="B642" s="9" t="s">
        <v>90</v>
      </c>
      <c r="C642" s="9" t="s">
        <v>91</v>
      </c>
      <c r="D642" s="10" t="s">
        <v>30</v>
      </c>
      <c r="E642" s="11" t="n">
        <f>90</f>
        <v>90.0</v>
      </c>
      <c r="F642" s="10" t="s">
        <v>30</v>
      </c>
      <c r="G642" s="11" t="n">
        <f>34992900</f>
        <v>3.49929E7</v>
      </c>
      <c r="H642" s="10"/>
      <c r="I642" s="11" t="str">
        <f>"－"</f>
        <v>－</v>
      </c>
      <c r="J642" s="10" t="s">
        <v>30</v>
      </c>
      <c r="K642" s="11" t="n">
        <f>1391</f>
        <v>1391.0</v>
      </c>
    </row>
    <row r="643">
      <c r="A643" s="8" t="s">
        <v>37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1391</f>
        <v>1391.0</v>
      </c>
    </row>
    <row r="644">
      <c r="A644" s="8" t="s">
        <v>38</v>
      </c>
      <c r="B644" s="9" t="s">
        <v>90</v>
      </c>
      <c r="C644" s="9" t="s">
        <v>91</v>
      </c>
      <c r="D644" s="10"/>
      <c r="E644" s="11" t="str">
        <f>"－"</f>
        <v>－</v>
      </c>
      <c r="F644" s="10"/>
      <c r="G644" s="11" t="str">
        <f>"－"</f>
        <v>－</v>
      </c>
      <c r="H644" s="10"/>
      <c r="I644" s="11" t="str">
        <f>"－"</f>
        <v>－</v>
      </c>
      <c r="J644" s="10"/>
      <c r="K644" s="11" t="n">
        <f>1391</f>
        <v>1391.0</v>
      </c>
    </row>
    <row r="645">
      <c r="A645" s="8" t="s">
        <v>39</v>
      </c>
      <c r="B645" s="9" t="s">
        <v>90</v>
      </c>
      <c r="C645" s="9" t="s">
        <v>91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n">
        <f>1391</f>
        <v>1391.0</v>
      </c>
    </row>
    <row r="646">
      <c r="A646" s="8" t="s">
        <v>40</v>
      </c>
      <c r="B646" s="9" t="s">
        <v>90</v>
      </c>
      <c r="C646" s="9" t="s">
        <v>91</v>
      </c>
      <c r="D646" s="10"/>
      <c r="E646" s="11"/>
      <c r="F646" s="10"/>
      <c r="G646" s="11"/>
      <c r="H646" s="10"/>
      <c r="I646" s="11"/>
      <c r="J646" s="10"/>
      <c r="K646" s="11"/>
    </row>
    <row r="647">
      <c r="A647" s="8" t="s">
        <v>41</v>
      </c>
      <c r="B647" s="9" t="s">
        <v>90</v>
      </c>
      <c r="C647" s="9" t="s">
        <v>91</v>
      </c>
      <c r="D647" s="10"/>
      <c r="E647" s="11"/>
      <c r="F647" s="10"/>
      <c r="G647" s="11"/>
      <c r="H647" s="10"/>
      <c r="I647" s="11"/>
      <c r="J647" s="10"/>
      <c r="K647" s="11"/>
    </row>
    <row r="648">
      <c r="A648" s="8" t="s">
        <v>42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1391</f>
        <v>1391.0</v>
      </c>
    </row>
    <row r="649">
      <c r="A649" s="8" t="s">
        <v>43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1391</f>
        <v>1391.0</v>
      </c>
    </row>
    <row r="650">
      <c r="A650" s="8" t="s">
        <v>44</v>
      </c>
      <c r="B650" s="9" t="s">
        <v>90</v>
      </c>
      <c r="C650" s="9" t="s">
        <v>91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1391</f>
        <v>1391.0</v>
      </c>
    </row>
    <row r="651">
      <c r="A651" s="8" t="s">
        <v>45</v>
      </c>
      <c r="B651" s="9" t="s">
        <v>90</v>
      </c>
      <c r="C651" s="9" t="s">
        <v>91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n">
        <f>1391</f>
        <v>1391.0</v>
      </c>
    </row>
    <row r="652">
      <c r="A652" s="8" t="s">
        <v>46</v>
      </c>
      <c r="B652" s="9" t="s">
        <v>90</v>
      </c>
      <c r="C652" s="9" t="s">
        <v>91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1391</f>
        <v>1391.0</v>
      </c>
    </row>
    <row r="653">
      <c r="A653" s="8" t="s">
        <v>47</v>
      </c>
      <c r="B653" s="9" t="s">
        <v>90</v>
      </c>
      <c r="C653" s="9" t="s">
        <v>91</v>
      </c>
      <c r="D653" s="10"/>
      <c r="E653" s="11"/>
      <c r="F653" s="10"/>
      <c r="G653" s="11"/>
      <c r="H653" s="10"/>
      <c r="I653" s="11"/>
      <c r="J653" s="10"/>
      <c r="K653" s="11"/>
    </row>
    <row r="654">
      <c r="A654" s="8" t="s">
        <v>48</v>
      </c>
      <c r="B654" s="9" t="s">
        <v>90</v>
      </c>
      <c r="C654" s="9" t="s">
        <v>91</v>
      </c>
      <c r="D654" s="10"/>
      <c r="E654" s="11"/>
      <c r="F654" s="10"/>
      <c r="G654" s="11"/>
      <c r="H654" s="10"/>
      <c r="I654" s="11"/>
      <c r="J654" s="10"/>
      <c r="K654" s="11"/>
    </row>
    <row r="655">
      <c r="A655" s="8" t="s">
        <v>49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1391</f>
        <v>1391.0</v>
      </c>
    </row>
    <row r="656">
      <c r="A656" s="8" t="s">
        <v>50</v>
      </c>
      <c r="B656" s="9" t="s">
        <v>90</v>
      </c>
      <c r="C656" s="9" t="s">
        <v>91</v>
      </c>
      <c r="D656" s="10"/>
      <c r="E656" s="11"/>
      <c r="F656" s="10"/>
      <c r="G656" s="11"/>
      <c r="H656" s="10"/>
      <c r="I656" s="11"/>
      <c r="J656" s="10"/>
      <c r="K656" s="11"/>
    </row>
    <row r="657">
      <c r="A657" s="8" t="s">
        <v>16</v>
      </c>
      <c r="B657" s="9" t="s">
        <v>92</v>
      </c>
      <c r="C657" s="9" t="s">
        <v>93</v>
      </c>
      <c r="D657" s="10"/>
      <c r="E657" s="11"/>
      <c r="F657" s="10"/>
      <c r="G657" s="11"/>
      <c r="H657" s="10"/>
      <c r="I657" s="11"/>
      <c r="J657" s="10"/>
      <c r="K657" s="11"/>
    </row>
    <row r="658">
      <c r="A658" s="8" t="s">
        <v>19</v>
      </c>
      <c r="B658" s="9" t="s">
        <v>92</v>
      </c>
      <c r="C658" s="9" t="s">
        <v>93</v>
      </c>
      <c r="D658" s="10" t="s">
        <v>20</v>
      </c>
      <c r="E658" s="11" t="str">
        <f>"－"</f>
        <v>－</v>
      </c>
      <c r="F658" s="10" t="s">
        <v>20</v>
      </c>
      <c r="G658" s="11" t="str">
        <f>"－"</f>
        <v>－</v>
      </c>
      <c r="H658" s="10" t="s">
        <v>53</v>
      </c>
      <c r="I658" s="11" t="str">
        <f>"－"</f>
        <v>－</v>
      </c>
      <c r="J658" s="10" t="s">
        <v>20</v>
      </c>
      <c r="K658" s="11" t="n">
        <f>78</f>
        <v>78.0</v>
      </c>
    </row>
    <row r="659">
      <c r="A659" s="8" t="s">
        <v>21</v>
      </c>
      <c r="B659" s="9" t="s">
        <v>92</v>
      </c>
      <c r="C659" s="9" t="s">
        <v>93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78</f>
        <v>78.0</v>
      </c>
    </row>
    <row r="660">
      <c r="A660" s="8" t="s">
        <v>22</v>
      </c>
      <c r="B660" s="9" t="s">
        <v>92</v>
      </c>
      <c r="C660" s="9" t="s">
        <v>93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78</f>
        <v>78.0</v>
      </c>
    </row>
    <row r="661">
      <c r="A661" s="8" t="s">
        <v>23</v>
      </c>
      <c r="B661" s="9" t="s">
        <v>92</v>
      </c>
      <c r="C661" s="9" t="s">
        <v>93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78</f>
        <v>78.0</v>
      </c>
    </row>
    <row r="662">
      <c r="A662" s="8" t="s">
        <v>24</v>
      </c>
      <c r="B662" s="9" t="s">
        <v>92</v>
      </c>
      <c r="C662" s="9" t="s">
        <v>93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78</f>
        <v>78.0</v>
      </c>
    </row>
    <row r="663">
      <c r="A663" s="8" t="s">
        <v>25</v>
      </c>
      <c r="B663" s="9" t="s">
        <v>92</v>
      </c>
      <c r="C663" s="9" t="s">
        <v>93</v>
      </c>
      <c r="D663" s="10"/>
      <c r="E663" s="11"/>
      <c r="F663" s="10"/>
      <c r="G663" s="11"/>
      <c r="H663" s="10"/>
      <c r="I663" s="11"/>
      <c r="J663" s="10"/>
      <c r="K663" s="11"/>
    </row>
    <row r="664">
      <c r="A664" s="8" t="s">
        <v>26</v>
      </c>
      <c r="B664" s="9" t="s">
        <v>92</v>
      </c>
      <c r="C664" s="9" t="s">
        <v>93</v>
      </c>
      <c r="D664" s="10"/>
      <c r="E664" s="11"/>
      <c r="F664" s="10"/>
      <c r="G664" s="11"/>
      <c r="H664" s="10"/>
      <c r="I664" s="11"/>
      <c r="J664" s="10"/>
      <c r="K664" s="11"/>
    </row>
    <row r="665">
      <c r="A665" s="8" t="s">
        <v>27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78</f>
        <v>78.0</v>
      </c>
    </row>
    <row r="666">
      <c r="A666" s="8" t="s">
        <v>28</v>
      </c>
      <c r="B666" s="9" t="s">
        <v>92</v>
      </c>
      <c r="C666" s="9" t="s">
        <v>93</v>
      </c>
      <c r="D666" s="10"/>
      <c r="E666" s="11" t="str">
        <f>"－"</f>
        <v>－</v>
      </c>
      <c r="F666" s="10"/>
      <c r="G666" s="11" t="str">
        <f>"－"</f>
        <v>－</v>
      </c>
      <c r="H666" s="10"/>
      <c r="I666" s="11" t="str">
        <f>"－"</f>
        <v>－</v>
      </c>
      <c r="J666" s="10"/>
      <c r="K666" s="11" t="n">
        <f>78</f>
        <v>78.0</v>
      </c>
    </row>
    <row r="667">
      <c r="A667" s="8" t="s">
        <v>29</v>
      </c>
      <c r="B667" s="9" t="s">
        <v>92</v>
      </c>
      <c r="C667" s="9" t="s">
        <v>93</v>
      </c>
      <c r="D667" s="10"/>
      <c r="E667" s="11" t="str">
        <f>"－"</f>
        <v>－</v>
      </c>
      <c r="F667" s="10"/>
      <c r="G667" s="11" t="str">
        <f>"－"</f>
        <v>－</v>
      </c>
      <c r="H667" s="10"/>
      <c r="I667" s="11" t="str">
        <f>"－"</f>
        <v>－</v>
      </c>
      <c r="J667" s="10"/>
      <c r="K667" s="11" t="n">
        <f>78</f>
        <v>78.0</v>
      </c>
    </row>
    <row r="668">
      <c r="A668" s="8" t="s">
        <v>31</v>
      </c>
      <c r="B668" s="9" t="s">
        <v>92</v>
      </c>
      <c r="C668" s="9" t="s">
        <v>93</v>
      </c>
      <c r="D668" s="10"/>
      <c r="E668" s="11" t="str">
        <f>"－"</f>
        <v>－</v>
      </c>
      <c r="F668" s="10"/>
      <c r="G668" s="11" t="str">
        <f>"－"</f>
        <v>－</v>
      </c>
      <c r="H668" s="10"/>
      <c r="I668" s="11" t="str">
        <f>"－"</f>
        <v>－</v>
      </c>
      <c r="J668" s="10"/>
      <c r="K668" s="11" t="n">
        <f>78</f>
        <v>78.0</v>
      </c>
    </row>
    <row r="669">
      <c r="A669" s="8" t="s">
        <v>32</v>
      </c>
      <c r="B669" s="9" t="s">
        <v>92</v>
      </c>
      <c r="C669" s="9" t="s">
        <v>93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n">
        <f>78</f>
        <v>78.0</v>
      </c>
    </row>
    <row r="670">
      <c r="A670" s="8" t="s">
        <v>33</v>
      </c>
      <c r="B670" s="9" t="s">
        <v>92</v>
      </c>
      <c r="C670" s="9" t="s">
        <v>93</v>
      </c>
      <c r="D670" s="10"/>
      <c r="E670" s="11"/>
      <c r="F670" s="10"/>
      <c r="G670" s="11"/>
      <c r="H670" s="10"/>
      <c r="I670" s="11"/>
      <c r="J670" s="10"/>
      <c r="K670" s="11"/>
    </row>
    <row r="671">
      <c r="A671" s="8" t="s">
        <v>34</v>
      </c>
      <c r="B671" s="9" t="s">
        <v>92</v>
      </c>
      <c r="C671" s="9" t="s">
        <v>93</v>
      </c>
      <c r="D671" s="10"/>
      <c r="E671" s="11"/>
      <c r="F671" s="10"/>
      <c r="G671" s="11"/>
      <c r="H671" s="10"/>
      <c r="I671" s="11"/>
      <c r="J671" s="10"/>
      <c r="K671" s="11"/>
    </row>
    <row r="672">
      <c r="A672" s="8" t="s">
        <v>35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n">
        <f>78</f>
        <v>78.0</v>
      </c>
    </row>
    <row r="673">
      <c r="A673" s="8" t="s">
        <v>36</v>
      </c>
      <c r="B673" s="9" t="s">
        <v>92</v>
      </c>
      <c r="C673" s="9" t="s">
        <v>93</v>
      </c>
      <c r="D673" s="10"/>
      <c r="E673" s="11" t="n">
        <f>10</f>
        <v>10.0</v>
      </c>
      <c r="F673" s="10"/>
      <c r="G673" s="11" t="n">
        <f>3431400</f>
        <v>3431400.0</v>
      </c>
      <c r="H673" s="10"/>
      <c r="I673" s="11" t="str">
        <f>"－"</f>
        <v>－</v>
      </c>
      <c r="J673" s="10"/>
      <c r="K673" s="11" t="n">
        <f>88</f>
        <v>88.0</v>
      </c>
    </row>
    <row r="674">
      <c r="A674" s="8" t="s">
        <v>37</v>
      </c>
      <c r="B674" s="9" t="s">
        <v>92</v>
      </c>
      <c r="C674" s="9" t="s">
        <v>93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n">
        <f>88</f>
        <v>88.0</v>
      </c>
    </row>
    <row r="675">
      <c r="A675" s="8" t="s">
        <v>38</v>
      </c>
      <c r="B675" s="9" t="s">
        <v>92</v>
      </c>
      <c r="C675" s="9" t="s">
        <v>93</v>
      </c>
      <c r="D675" s="10" t="s">
        <v>30</v>
      </c>
      <c r="E675" s="11" t="n">
        <f>60</f>
        <v>60.0</v>
      </c>
      <c r="F675" s="10" t="s">
        <v>30</v>
      </c>
      <c r="G675" s="11" t="n">
        <f>21400800</f>
        <v>2.14008E7</v>
      </c>
      <c r="H675" s="10"/>
      <c r="I675" s="11" t="str">
        <f>"－"</f>
        <v>－</v>
      </c>
      <c r="J675" s="10" t="s">
        <v>30</v>
      </c>
      <c r="K675" s="11" t="n">
        <f>148</f>
        <v>148.0</v>
      </c>
    </row>
    <row r="676">
      <c r="A676" s="8" t="s">
        <v>39</v>
      </c>
      <c r="B676" s="9" t="s">
        <v>92</v>
      </c>
      <c r="C676" s="9" t="s">
        <v>93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n">
        <f>148</f>
        <v>148.0</v>
      </c>
    </row>
    <row r="677">
      <c r="A677" s="8" t="s">
        <v>40</v>
      </c>
      <c r="B677" s="9" t="s">
        <v>92</v>
      </c>
      <c r="C677" s="9" t="s">
        <v>93</v>
      </c>
      <c r="D677" s="10"/>
      <c r="E677" s="11"/>
      <c r="F677" s="10"/>
      <c r="G677" s="11"/>
      <c r="H677" s="10"/>
      <c r="I677" s="11"/>
      <c r="J677" s="10"/>
      <c r="K677" s="11"/>
    </row>
    <row r="678">
      <c r="A678" s="8" t="s">
        <v>41</v>
      </c>
      <c r="B678" s="9" t="s">
        <v>92</v>
      </c>
      <c r="C678" s="9" t="s">
        <v>93</v>
      </c>
      <c r="D678" s="10"/>
      <c r="E678" s="11"/>
      <c r="F678" s="10"/>
      <c r="G678" s="11"/>
      <c r="H678" s="10"/>
      <c r="I678" s="11"/>
      <c r="J678" s="10"/>
      <c r="K678" s="11"/>
    </row>
    <row r="679">
      <c r="A679" s="8" t="s">
        <v>42</v>
      </c>
      <c r="B679" s="9" t="s">
        <v>92</v>
      </c>
      <c r="C679" s="9" t="s">
        <v>93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148</f>
        <v>148.0</v>
      </c>
    </row>
    <row r="680">
      <c r="A680" s="8" t="s">
        <v>43</v>
      </c>
      <c r="B680" s="9" t="s">
        <v>92</v>
      </c>
      <c r="C680" s="9" t="s">
        <v>93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148</f>
        <v>148.0</v>
      </c>
    </row>
    <row r="681">
      <c r="A681" s="8" t="s">
        <v>44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148</f>
        <v>148.0</v>
      </c>
    </row>
    <row r="682">
      <c r="A682" s="8" t="s">
        <v>45</v>
      </c>
      <c r="B682" s="9" t="s">
        <v>92</v>
      </c>
      <c r="C682" s="9" t="s">
        <v>93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148</f>
        <v>148.0</v>
      </c>
    </row>
    <row r="683">
      <c r="A683" s="8" t="s">
        <v>46</v>
      </c>
      <c r="B683" s="9" t="s">
        <v>92</v>
      </c>
      <c r="C683" s="9" t="s">
        <v>93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148</f>
        <v>148.0</v>
      </c>
    </row>
    <row r="684">
      <c r="A684" s="8" t="s">
        <v>47</v>
      </c>
      <c r="B684" s="9" t="s">
        <v>92</v>
      </c>
      <c r="C684" s="9" t="s">
        <v>93</v>
      </c>
      <c r="D684" s="10"/>
      <c r="E684" s="11"/>
      <c r="F684" s="10"/>
      <c r="G684" s="11"/>
      <c r="H684" s="10"/>
      <c r="I684" s="11"/>
      <c r="J684" s="10"/>
      <c r="K684" s="11"/>
    </row>
    <row r="685">
      <c r="A685" s="8" t="s">
        <v>48</v>
      </c>
      <c r="B685" s="9" t="s">
        <v>92</v>
      </c>
      <c r="C685" s="9" t="s">
        <v>93</v>
      </c>
      <c r="D685" s="10"/>
      <c r="E685" s="11"/>
      <c r="F685" s="10"/>
      <c r="G685" s="11"/>
      <c r="H685" s="10"/>
      <c r="I685" s="11"/>
      <c r="J685" s="10"/>
      <c r="K685" s="11"/>
    </row>
    <row r="686">
      <c r="A686" s="8" t="s">
        <v>49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148</f>
        <v>148.0</v>
      </c>
    </row>
    <row r="687">
      <c r="A687" s="8" t="s">
        <v>50</v>
      </c>
      <c r="B687" s="9" t="s">
        <v>92</v>
      </c>
      <c r="C687" s="9" t="s">
        <v>93</v>
      </c>
      <c r="D687" s="10"/>
      <c r="E687" s="11"/>
      <c r="F687" s="10"/>
      <c r="G687" s="11"/>
      <c r="H687" s="10"/>
      <c r="I687" s="11"/>
      <c r="J687" s="10"/>
      <c r="K687" s="11"/>
    </row>
    <row r="688">
      <c r="A688" s="8" t="s">
        <v>16</v>
      </c>
      <c r="B688" s="9" t="s">
        <v>94</v>
      </c>
      <c r="C688" s="9" t="s">
        <v>95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19</v>
      </c>
      <c r="B689" s="9" t="s">
        <v>94</v>
      </c>
      <c r="C689" s="9" t="s">
        <v>95</v>
      </c>
      <c r="D689" s="10" t="s">
        <v>20</v>
      </c>
      <c r="E689" s="11" t="str">
        <f>"－"</f>
        <v>－</v>
      </c>
      <c r="F689" s="10" t="s">
        <v>20</v>
      </c>
      <c r="G689" s="11" t="str">
        <f>"－"</f>
        <v>－</v>
      </c>
      <c r="H689" s="10" t="s">
        <v>53</v>
      </c>
      <c r="I689" s="11" t="str">
        <f>"－"</f>
        <v>－</v>
      </c>
      <c r="J689" s="10" t="s">
        <v>20</v>
      </c>
      <c r="K689" s="11" t="n">
        <f>7</f>
        <v>7.0</v>
      </c>
    </row>
    <row r="690">
      <c r="A690" s="8" t="s">
        <v>21</v>
      </c>
      <c r="B690" s="9" t="s">
        <v>94</v>
      </c>
      <c r="C690" s="9" t="s">
        <v>95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n">
        <f>7</f>
        <v>7.0</v>
      </c>
    </row>
    <row r="691">
      <c r="A691" s="8" t="s">
        <v>22</v>
      </c>
      <c r="B691" s="9" t="s">
        <v>94</v>
      </c>
      <c r="C691" s="9" t="s">
        <v>95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n">
        <f>7</f>
        <v>7.0</v>
      </c>
    </row>
    <row r="692">
      <c r="A692" s="8" t="s">
        <v>23</v>
      </c>
      <c r="B692" s="9" t="s">
        <v>94</v>
      </c>
      <c r="C692" s="9" t="s">
        <v>95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n">
        <f>7</f>
        <v>7.0</v>
      </c>
    </row>
    <row r="693">
      <c r="A693" s="8" t="s">
        <v>24</v>
      </c>
      <c r="B693" s="9" t="s">
        <v>94</v>
      </c>
      <c r="C693" s="9" t="s">
        <v>95</v>
      </c>
      <c r="D693" s="10"/>
      <c r="E693" s="11" t="str">
        <f>"－"</f>
        <v>－</v>
      </c>
      <c r="F693" s="10"/>
      <c r="G693" s="11" t="str">
        <f>"－"</f>
        <v>－</v>
      </c>
      <c r="H693" s="10"/>
      <c r="I693" s="11" t="str">
        <f>"－"</f>
        <v>－</v>
      </c>
      <c r="J693" s="10"/>
      <c r="K693" s="11" t="n">
        <f>7</f>
        <v>7.0</v>
      </c>
    </row>
    <row r="694">
      <c r="A694" s="8" t="s">
        <v>25</v>
      </c>
      <c r="B694" s="9" t="s">
        <v>94</v>
      </c>
      <c r="C694" s="9" t="s">
        <v>95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26</v>
      </c>
      <c r="B695" s="9" t="s">
        <v>94</v>
      </c>
      <c r="C695" s="9" t="s">
        <v>95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27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n">
        <f>7</f>
        <v>7.0</v>
      </c>
    </row>
    <row r="697">
      <c r="A697" s="8" t="s">
        <v>28</v>
      </c>
      <c r="B697" s="9" t="s">
        <v>94</v>
      </c>
      <c r="C697" s="9" t="s">
        <v>95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n">
        <f>7</f>
        <v>7.0</v>
      </c>
    </row>
    <row r="698">
      <c r="A698" s="8" t="s">
        <v>29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n">
        <f>7</f>
        <v>7.0</v>
      </c>
    </row>
    <row r="699">
      <c r="A699" s="8" t="s">
        <v>31</v>
      </c>
      <c r="B699" s="9" t="s">
        <v>94</v>
      </c>
      <c r="C699" s="9" t="s">
        <v>95</v>
      </c>
      <c r="D699" s="10"/>
      <c r="E699" s="11" t="str">
        <f>"－"</f>
        <v>－</v>
      </c>
      <c r="F699" s="10"/>
      <c r="G699" s="11" t="str">
        <f>"－"</f>
        <v>－</v>
      </c>
      <c r="H699" s="10"/>
      <c r="I699" s="11" t="str">
        <f>"－"</f>
        <v>－</v>
      </c>
      <c r="J699" s="10"/>
      <c r="K699" s="11" t="n">
        <f>7</f>
        <v>7.0</v>
      </c>
    </row>
    <row r="700">
      <c r="A700" s="8" t="s">
        <v>32</v>
      </c>
      <c r="B700" s="9" t="s">
        <v>94</v>
      </c>
      <c r="C700" s="9" t="s">
        <v>95</v>
      </c>
      <c r="D700" s="10"/>
      <c r="E700" s="11" t="n">
        <f>20</f>
        <v>20.0</v>
      </c>
      <c r="F700" s="10"/>
      <c r="G700" s="11" t="n">
        <f>4355400</f>
        <v>4355400.0</v>
      </c>
      <c r="H700" s="10"/>
      <c r="I700" s="11" t="str">
        <f>"－"</f>
        <v>－</v>
      </c>
      <c r="J700" s="10"/>
      <c r="K700" s="11" t="n">
        <f>22</f>
        <v>22.0</v>
      </c>
    </row>
    <row r="701">
      <c r="A701" s="8" t="s">
        <v>33</v>
      </c>
      <c r="B701" s="9" t="s">
        <v>94</v>
      </c>
      <c r="C701" s="9" t="s">
        <v>95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34</v>
      </c>
      <c r="B702" s="9" t="s">
        <v>94</v>
      </c>
      <c r="C702" s="9" t="s">
        <v>95</v>
      </c>
      <c r="D702" s="10"/>
      <c r="E702" s="11"/>
      <c r="F702" s="10"/>
      <c r="G702" s="11"/>
      <c r="H702" s="10"/>
      <c r="I702" s="11"/>
      <c r="J702" s="10"/>
      <c r="K702" s="11"/>
    </row>
    <row r="703">
      <c r="A703" s="8" t="s">
        <v>35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n">
        <f>15</f>
        <v>15.0</v>
      </c>
    </row>
    <row r="704">
      <c r="A704" s="8" t="s">
        <v>36</v>
      </c>
      <c r="B704" s="9" t="s">
        <v>94</v>
      </c>
      <c r="C704" s="9" t="s">
        <v>95</v>
      </c>
      <c r="D704" s="10" t="s">
        <v>30</v>
      </c>
      <c r="E704" s="11" t="n">
        <f>25</f>
        <v>25.0</v>
      </c>
      <c r="F704" s="10" t="s">
        <v>30</v>
      </c>
      <c r="G704" s="11" t="n">
        <f>5208000</f>
        <v>5208000.0</v>
      </c>
      <c r="H704" s="10"/>
      <c r="I704" s="11" t="str">
        <f>"－"</f>
        <v>－</v>
      </c>
      <c r="J704" s="10" t="s">
        <v>30</v>
      </c>
      <c r="K704" s="11" t="n">
        <f>30</f>
        <v>30.0</v>
      </c>
    </row>
    <row r="705">
      <c r="A705" s="8" t="s">
        <v>37</v>
      </c>
      <c r="B705" s="9" t="s">
        <v>94</v>
      </c>
      <c r="C705" s="9" t="s">
        <v>95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n">
        <f>30</f>
        <v>30.0</v>
      </c>
    </row>
    <row r="706">
      <c r="A706" s="8" t="s">
        <v>38</v>
      </c>
      <c r="B706" s="9" t="s">
        <v>94</v>
      </c>
      <c r="C706" s="9" t="s">
        <v>95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n">
        <f>30</f>
        <v>30.0</v>
      </c>
    </row>
    <row r="707">
      <c r="A707" s="8" t="s">
        <v>39</v>
      </c>
      <c r="B707" s="9" t="s">
        <v>94</v>
      </c>
      <c r="C707" s="9" t="s">
        <v>95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n">
        <f>30</f>
        <v>30.0</v>
      </c>
    </row>
    <row r="708">
      <c r="A708" s="8" t="s">
        <v>40</v>
      </c>
      <c r="B708" s="9" t="s">
        <v>94</v>
      </c>
      <c r="C708" s="9" t="s">
        <v>95</v>
      </c>
      <c r="D708" s="10"/>
      <c r="E708" s="11"/>
      <c r="F708" s="10"/>
      <c r="G708" s="11"/>
      <c r="H708" s="10"/>
      <c r="I708" s="11"/>
      <c r="J708" s="10"/>
      <c r="K708" s="11"/>
    </row>
    <row r="709">
      <c r="A709" s="8" t="s">
        <v>41</v>
      </c>
      <c r="B709" s="9" t="s">
        <v>94</v>
      </c>
      <c r="C709" s="9" t="s">
        <v>95</v>
      </c>
      <c r="D709" s="10"/>
      <c r="E709" s="11"/>
      <c r="F709" s="10"/>
      <c r="G709" s="11"/>
      <c r="H709" s="10"/>
      <c r="I709" s="11"/>
      <c r="J709" s="10"/>
      <c r="K709" s="11"/>
    </row>
    <row r="710">
      <c r="A710" s="8" t="s">
        <v>42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n">
        <f>30</f>
        <v>30.0</v>
      </c>
    </row>
    <row r="711">
      <c r="A711" s="8" t="s">
        <v>43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n">
        <f>30</f>
        <v>30.0</v>
      </c>
    </row>
    <row r="712">
      <c r="A712" s="8" t="s">
        <v>44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30</f>
        <v>30.0</v>
      </c>
    </row>
    <row r="713">
      <c r="A713" s="8" t="s">
        <v>45</v>
      </c>
      <c r="B713" s="9" t="s">
        <v>94</v>
      </c>
      <c r="C713" s="9" t="s">
        <v>95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n">
        <f>30</f>
        <v>30.0</v>
      </c>
    </row>
    <row r="714">
      <c r="A714" s="8" t="s">
        <v>46</v>
      </c>
      <c r="B714" s="9" t="s">
        <v>94</v>
      </c>
      <c r="C714" s="9" t="s">
        <v>95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n">
        <f>30</f>
        <v>30.0</v>
      </c>
    </row>
    <row r="715">
      <c r="A715" s="8" t="s">
        <v>47</v>
      </c>
      <c r="B715" s="9" t="s">
        <v>94</v>
      </c>
      <c r="C715" s="9" t="s">
        <v>95</v>
      </c>
      <c r="D715" s="10"/>
      <c r="E715" s="11"/>
      <c r="F715" s="10"/>
      <c r="G715" s="11"/>
      <c r="H715" s="10"/>
      <c r="I715" s="11"/>
      <c r="J715" s="10"/>
      <c r="K715" s="11"/>
    </row>
    <row r="716">
      <c r="A716" s="8" t="s">
        <v>48</v>
      </c>
      <c r="B716" s="9" t="s">
        <v>94</v>
      </c>
      <c r="C716" s="9" t="s">
        <v>95</v>
      </c>
      <c r="D716" s="10"/>
      <c r="E716" s="11"/>
      <c r="F716" s="10"/>
      <c r="G716" s="11"/>
      <c r="H716" s="10"/>
      <c r="I716" s="11"/>
      <c r="J716" s="10"/>
      <c r="K716" s="11"/>
    </row>
    <row r="717">
      <c r="A717" s="8" t="s">
        <v>49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n">
        <f>30</f>
        <v>30.0</v>
      </c>
    </row>
    <row r="718">
      <c r="A718" s="8" t="s">
        <v>50</v>
      </c>
      <c r="B718" s="9" t="s">
        <v>94</v>
      </c>
      <c r="C718" s="9" t="s">
        <v>95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16</v>
      </c>
      <c r="B719" s="9" t="s">
        <v>96</v>
      </c>
      <c r="C719" s="9" t="s">
        <v>97</v>
      </c>
      <c r="D719" s="10"/>
      <c r="E719" s="11"/>
      <c r="F719" s="10"/>
      <c r="G719" s="11"/>
      <c r="H719" s="10"/>
      <c r="I719" s="11"/>
      <c r="J719" s="10"/>
      <c r="K719" s="11"/>
    </row>
    <row r="720">
      <c r="A720" s="8" t="s">
        <v>19</v>
      </c>
      <c r="B720" s="9" t="s">
        <v>96</v>
      </c>
      <c r="C720" s="9" t="s">
        <v>97</v>
      </c>
      <c r="D720" s="10" t="s">
        <v>53</v>
      </c>
      <c r="E720" s="11" t="str">
        <f>"－"</f>
        <v>－</v>
      </c>
      <c r="F720" s="10" t="s">
        <v>53</v>
      </c>
      <c r="G720" s="11" t="str">
        <f>"－"</f>
        <v>－</v>
      </c>
      <c r="H720" s="10" t="s">
        <v>53</v>
      </c>
      <c r="I720" s="11" t="str">
        <f>"－"</f>
        <v>－</v>
      </c>
      <c r="J720" s="10" t="s">
        <v>30</v>
      </c>
      <c r="K720" s="11" t="n">
        <f>50</f>
        <v>50.0</v>
      </c>
    </row>
    <row r="721">
      <c r="A721" s="8" t="s">
        <v>21</v>
      </c>
      <c r="B721" s="9" t="s">
        <v>96</v>
      </c>
      <c r="C721" s="9" t="s">
        <v>97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n">
        <f>50</f>
        <v>50.0</v>
      </c>
    </row>
    <row r="722">
      <c r="A722" s="8" t="s">
        <v>22</v>
      </c>
      <c r="B722" s="9" t="s">
        <v>96</v>
      </c>
      <c r="C722" s="9" t="s">
        <v>97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n">
        <f>50</f>
        <v>50.0</v>
      </c>
    </row>
    <row r="723">
      <c r="A723" s="8" t="s">
        <v>23</v>
      </c>
      <c r="B723" s="9" t="s">
        <v>96</v>
      </c>
      <c r="C723" s="9" t="s">
        <v>97</v>
      </c>
      <c r="D723" s="10"/>
      <c r="E723" s="11" t="str">
        <f>"－"</f>
        <v>－</v>
      </c>
      <c r="F723" s="10"/>
      <c r="G723" s="11" t="str">
        <f>"－"</f>
        <v>－</v>
      </c>
      <c r="H723" s="10"/>
      <c r="I723" s="11" t="str">
        <f>"－"</f>
        <v>－</v>
      </c>
      <c r="J723" s="10"/>
      <c r="K723" s="11" t="n">
        <f>50</f>
        <v>50.0</v>
      </c>
    </row>
    <row r="724">
      <c r="A724" s="8" t="s">
        <v>24</v>
      </c>
      <c r="B724" s="9" t="s">
        <v>96</v>
      </c>
      <c r="C724" s="9" t="s">
        <v>97</v>
      </c>
      <c r="D724" s="10"/>
      <c r="E724" s="11" t="str">
        <f>"－"</f>
        <v>－</v>
      </c>
      <c r="F724" s="10"/>
      <c r="G724" s="11" t="str">
        <f>"－"</f>
        <v>－</v>
      </c>
      <c r="H724" s="10"/>
      <c r="I724" s="11" t="str">
        <f>"－"</f>
        <v>－</v>
      </c>
      <c r="J724" s="10"/>
      <c r="K724" s="11" t="n">
        <f>50</f>
        <v>50.0</v>
      </c>
    </row>
    <row r="725">
      <c r="A725" s="8" t="s">
        <v>25</v>
      </c>
      <c r="B725" s="9" t="s">
        <v>96</v>
      </c>
      <c r="C725" s="9" t="s">
        <v>97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26</v>
      </c>
      <c r="B726" s="9" t="s">
        <v>96</v>
      </c>
      <c r="C726" s="9" t="s">
        <v>97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27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n">
        <f>50</f>
        <v>50.0</v>
      </c>
    </row>
    <row r="728">
      <c r="A728" s="8" t="s">
        <v>28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n">
        <f>50</f>
        <v>50.0</v>
      </c>
    </row>
    <row r="729">
      <c r="A729" s="8" t="s">
        <v>29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n">
        <f>50</f>
        <v>50.0</v>
      </c>
    </row>
    <row r="730">
      <c r="A730" s="8" t="s">
        <v>31</v>
      </c>
      <c r="B730" s="9" t="s">
        <v>96</v>
      </c>
      <c r="C730" s="9" t="s">
        <v>97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n">
        <f>50</f>
        <v>50.0</v>
      </c>
    </row>
    <row r="731">
      <c r="A731" s="8" t="s">
        <v>32</v>
      </c>
      <c r="B731" s="9" t="s">
        <v>96</v>
      </c>
      <c r="C731" s="9" t="s">
        <v>97</v>
      </c>
      <c r="D731" s="10"/>
      <c r="E731" s="11" t="str">
        <f>"－"</f>
        <v>－</v>
      </c>
      <c r="F731" s="10"/>
      <c r="G731" s="11" t="str">
        <f>"－"</f>
        <v>－</v>
      </c>
      <c r="H731" s="10"/>
      <c r="I731" s="11" t="str">
        <f>"－"</f>
        <v>－</v>
      </c>
      <c r="J731" s="10"/>
      <c r="K731" s="11" t="n">
        <f>50</f>
        <v>50.0</v>
      </c>
    </row>
    <row r="732">
      <c r="A732" s="8" t="s">
        <v>33</v>
      </c>
      <c r="B732" s="9" t="s">
        <v>96</v>
      </c>
      <c r="C732" s="9" t="s">
        <v>97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34</v>
      </c>
      <c r="B733" s="9" t="s">
        <v>96</v>
      </c>
      <c r="C733" s="9" t="s">
        <v>97</v>
      </c>
      <c r="D733" s="10"/>
      <c r="E733" s="11"/>
      <c r="F733" s="10"/>
      <c r="G733" s="11"/>
      <c r="H733" s="10"/>
      <c r="I733" s="11"/>
      <c r="J733" s="10"/>
      <c r="K733" s="11"/>
    </row>
    <row r="734">
      <c r="A734" s="8" t="s">
        <v>35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 t="s">
        <v>20</v>
      </c>
      <c r="K734" s="11" t="str">
        <f>"－"</f>
        <v>－</v>
      </c>
    </row>
    <row r="735">
      <c r="A735" s="8" t="s">
        <v>36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str">
        <f>"－"</f>
        <v>－</v>
      </c>
    </row>
    <row r="736">
      <c r="A736" s="8" t="s">
        <v>37</v>
      </c>
      <c r="B736" s="9" t="s">
        <v>96</v>
      </c>
      <c r="C736" s="9" t="s">
        <v>97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str">
        <f>"－"</f>
        <v>－</v>
      </c>
    </row>
    <row r="737">
      <c r="A737" s="8" t="s">
        <v>38</v>
      </c>
      <c r="B737" s="9" t="s">
        <v>96</v>
      </c>
      <c r="C737" s="9" t="s">
        <v>97</v>
      </c>
      <c r="D737" s="10"/>
      <c r="E737" s="11" t="str">
        <f>"－"</f>
        <v>－</v>
      </c>
      <c r="F737" s="10"/>
      <c r="G737" s="11" t="str">
        <f>"－"</f>
        <v>－</v>
      </c>
      <c r="H737" s="10"/>
      <c r="I737" s="11" t="str">
        <f>"－"</f>
        <v>－</v>
      </c>
      <c r="J737" s="10"/>
      <c r="K737" s="11" t="str">
        <f>"－"</f>
        <v>－</v>
      </c>
    </row>
    <row r="738">
      <c r="A738" s="8" t="s">
        <v>39</v>
      </c>
      <c r="B738" s="9" t="s">
        <v>96</v>
      </c>
      <c r="C738" s="9" t="s">
        <v>97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str">
        <f>"－"</f>
        <v>－</v>
      </c>
    </row>
    <row r="739">
      <c r="A739" s="8" t="s">
        <v>40</v>
      </c>
      <c r="B739" s="9" t="s">
        <v>96</v>
      </c>
      <c r="C739" s="9" t="s">
        <v>97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41</v>
      </c>
      <c r="B740" s="9" t="s">
        <v>96</v>
      </c>
      <c r="C740" s="9" t="s">
        <v>97</v>
      </c>
      <c r="D740" s="10"/>
      <c r="E740" s="11"/>
      <c r="F740" s="10"/>
      <c r="G740" s="11"/>
      <c r="H740" s="10"/>
      <c r="I740" s="11"/>
      <c r="J740" s="10"/>
      <c r="K740" s="11"/>
    </row>
    <row r="741">
      <c r="A741" s="8" t="s">
        <v>42</v>
      </c>
      <c r="B741" s="9" t="s">
        <v>96</v>
      </c>
      <c r="C741" s="9" t="s">
        <v>97</v>
      </c>
      <c r="D741" s="10"/>
      <c r="E741" s="11" t="str">
        <f>"－"</f>
        <v>－</v>
      </c>
      <c r="F741" s="10"/>
      <c r="G741" s="11" t="str">
        <f>"－"</f>
        <v>－</v>
      </c>
      <c r="H741" s="10"/>
      <c r="I741" s="11" t="str">
        <f>"－"</f>
        <v>－</v>
      </c>
      <c r="J741" s="10"/>
      <c r="K741" s="11" t="str">
        <f>"－"</f>
        <v>－</v>
      </c>
    </row>
    <row r="742">
      <c r="A742" s="8" t="s">
        <v>43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str">
        <f>"－"</f>
        <v>－</v>
      </c>
    </row>
    <row r="743">
      <c r="A743" s="8" t="s">
        <v>44</v>
      </c>
      <c r="B743" s="9" t="s">
        <v>96</v>
      </c>
      <c r="C743" s="9" t="s">
        <v>97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str">
        <f>"－"</f>
        <v>－</v>
      </c>
    </row>
    <row r="744">
      <c r="A744" s="8" t="s">
        <v>45</v>
      </c>
      <c r="B744" s="9" t="s">
        <v>96</v>
      </c>
      <c r="C744" s="9" t="s">
        <v>97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str">
        <f>"－"</f>
        <v>－</v>
      </c>
    </row>
    <row r="745">
      <c r="A745" s="8" t="s">
        <v>46</v>
      </c>
      <c r="B745" s="9" t="s">
        <v>96</v>
      </c>
      <c r="C745" s="9" t="s">
        <v>97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str">
        <f>"－"</f>
        <v>－</v>
      </c>
    </row>
    <row r="746">
      <c r="A746" s="8" t="s">
        <v>47</v>
      </c>
      <c r="B746" s="9" t="s">
        <v>96</v>
      </c>
      <c r="C746" s="9" t="s">
        <v>97</v>
      </c>
      <c r="D746" s="10"/>
      <c r="E746" s="11"/>
      <c r="F746" s="10"/>
      <c r="G746" s="11"/>
      <c r="H746" s="10"/>
      <c r="I746" s="11"/>
      <c r="J746" s="10"/>
      <c r="K746" s="11"/>
    </row>
    <row r="747">
      <c r="A747" s="8" t="s">
        <v>48</v>
      </c>
      <c r="B747" s="9" t="s">
        <v>96</v>
      </c>
      <c r="C747" s="9" t="s">
        <v>97</v>
      </c>
      <c r="D747" s="10"/>
      <c r="E747" s="11"/>
      <c r="F747" s="10"/>
      <c r="G747" s="11"/>
      <c r="H747" s="10"/>
      <c r="I747" s="11"/>
      <c r="J747" s="10"/>
      <c r="K747" s="11"/>
    </row>
    <row r="748">
      <c r="A748" s="8" t="s">
        <v>49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str">
        <f>"－"</f>
        <v>－</v>
      </c>
    </row>
    <row r="749">
      <c r="A749" s="8" t="s">
        <v>50</v>
      </c>
      <c r="B749" s="9" t="s">
        <v>96</v>
      </c>
      <c r="C749" s="9" t="s">
        <v>97</v>
      </c>
      <c r="D749" s="10"/>
      <c r="E749" s="11"/>
      <c r="F749" s="10"/>
      <c r="G749" s="11"/>
      <c r="H749" s="10"/>
      <c r="I749" s="11"/>
      <c r="J749" s="10"/>
      <c r="K749" s="11"/>
    </row>
    <row r="750">
      <c r="A750" s="8" t="s">
        <v>16</v>
      </c>
      <c r="B750" s="9" t="s">
        <v>98</v>
      </c>
      <c r="C750" s="9" t="s">
        <v>99</v>
      </c>
      <c r="D750" s="10"/>
      <c r="E750" s="11"/>
      <c r="F750" s="10"/>
      <c r="G750" s="11"/>
      <c r="H750" s="10"/>
      <c r="I750" s="11"/>
      <c r="J750" s="10"/>
      <c r="K750" s="11"/>
    </row>
    <row r="751">
      <c r="A751" s="8" t="s">
        <v>19</v>
      </c>
      <c r="B751" s="9" t="s">
        <v>98</v>
      </c>
      <c r="C751" s="9" t="s">
        <v>99</v>
      </c>
      <c r="D751" s="10" t="s">
        <v>53</v>
      </c>
      <c r="E751" s="11" t="str">
        <f>"－"</f>
        <v>－</v>
      </c>
      <c r="F751" s="10" t="s">
        <v>53</v>
      </c>
      <c r="G751" s="11" t="str">
        <f>"－"</f>
        <v>－</v>
      </c>
      <c r="H751" s="10" t="s">
        <v>53</v>
      </c>
      <c r="I751" s="11" t="str">
        <f>"－"</f>
        <v>－</v>
      </c>
      <c r="J751" s="10" t="s">
        <v>30</v>
      </c>
      <c r="K751" s="11" t="n">
        <f>10</f>
        <v>10.0</v>
      </c>
    </row>
    <row r="752">
      <c r="A752" s="8" t="s">
        <v>21</v>
      </c>
      <c r="B752" s="9" t="s">
        <v>98</v>
      </c>
      <c r="C752" s="9" t="s">
        <v>99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n">
        <f>10</f>
        <v>10.0</v>
      </c>
    </row>
    <row r="753">
      <c r="A753" s="8" t="s">
        <v>22</v>
      </c>
      <c r="B753" s="9" t="s">
        <v>98</v>
      </c>
      <c r="C753" s="9" t="s">
        <v>99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n">
        <f>10</f>
        <v>10.0</v>
      </c>
    </row>
    <row r="754">
      <c r="A754" s="8" t="s">
        <v>23</v>
      </c>
      <c r="B754" s="9" t="s">
        <v>98</v>
      </c>
      <c r="C754" s="9" t="s">
        <v>99</v>
      </c>
      <c r="D754" s="10"/>
      <c r="E754" s="11" t="str">
        <f>"－"</f>
        <v>－</v>
      </c>
      <c r="F754" s="10"/>
      <c r="G754" s="11" t="str">
        <f>"－"</f>
        <v>－</v>
      </c>
      <c r="H754" s="10"/>
      <c r="I754" s="11" t="str">
        <f>"－"</f>
        <v>－</v>
      </c>
      <c r="J754" s="10"/>
      <c r="K754" s="11" t="n">
        <f>10</f>
        <v>10.0</v>
      </c>
    </row>
    <row r="755">
      <c r="A755" s="8" t="s">
        <v>24</v>
      </c>
      <c r="B755" s="9" t="s">
        <v>98</v>
      </c>
      <c r="C755" s="9" t="s">
        <v>99</v>
      </c>
      <c r="D755" s="10"/>
      <c r="E755" s="11" t="str">
        <f>"－"</f>
        <v>－</v>
      </c>
      <c r="F755" s="10"/>
      <c r="G755" s="11" t="str">
        <f>"－"</f>
        <v>－</v>
      </c>
      <c r="H755" s="10"/>
      <c r="I755" s="11" t="str">
        <f>"－"</f>
        <v>－</v>
      </c>
      <c r="J755" s="10"/>
      <c r="K755" s="11" t="n">
        <f>10</f>
        <v>10.0</v>
      </c>
    </row>
    <row r="756">
      <c r="A756" s="8" t="s">
        <v>25</v>
      </c>
      <c r="B756" s="9" t="s">
        <v>98</v>
      </c>
      <c r="C756" s="9" t="s">
        <v>99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26</v>
      </c>
      <c r="B757" s="9" t="s">
        <v>98</v>
      </c>
      <c r="C757" s="9" t="s">
        <v>99</v>
      </c>
      <c r="D757" s="10"/>
      <c r="E757" s="11"/>
      <c r="F757" s="10"/>
      <c r="G757" s="11"/>
      <c r="H757" s="10"/>
      <c r="I757" s="11"/>
      <c r="J757" s="10"/>
      <c r="K757" s="11"/>
    </row>
    <row r="758">
      <c r="A758" s="8" t="s">
        <v>27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 t="s">
        <v>20</v>
      </c>
      <c r="K758" s="11" t="str">
        <f>"－"</f>
        <v>－</v>
      </c>
    </row>
    <row r="759">
      <c r="A759" s="8" t="s">
        <v>28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29</v>
      </c>
      <c r="B760" s="9" t="s">
        <v>98</v>
      </c>
      <c r="C760" s="9" t="s">
        <v>99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31</v>
      </c>
      <c r="B761" s="9" t="s">
        <v>98</v>
      </c>
      <c r="C761" s="9" t="s">
        <v>99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str">
        <f>"－"</f>
        <v>－</v>
      </c>
    </row>
    <row r="762">
      <c r="A762" s="8" t="s">
        <v>32</v>
      </c>
      <c r="B762" s="9" t="s">
        <v>98</v>
      </c>
      <c r="C762" s="9" t="s">
        <v>99</v>
      </c>
      <c r="D762" s="10"/>
      <c r="E762" s="11" t="str">
        <f>"－"</f>
        <v>－</v>
      </c>
      <c r="F762" s="10"/>
      <c r="G762" s="11" t="str">
        <f>"－"</f>
        <v>－</v>
      </c>
      <c r="H762" s="10"/>
      <c r="I762" s="11" t="str">
        <f>"－"</f>
        <v>－</v>
      </c>
      <c r="J762" s="10"/>
      <c r="K762" s="11" t="str">
        <f>"－"</f>
        <v>－</v>
      </c>
    </row>
    <row r="763">
      <c r="A763" s="8" t="s">
        <v>33</v>
      </c>
      <c r="B763" s="9" t="s">
        <v>98</v>
      </c>
      <c r="C763" s="9" t="s">
        <v>99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34</v>
      </c>
      <c r="B764" s="9" t="s">
        <v>98</v>
      </c>
      <c r="C764" s="9" t="s">
        <v>99</v>
      </c>
      <c r="D764" s="10"/>
      <c r="E764" s="11"/>
      <c r="F764" s="10"/>
      <c r="G764" s="11"/>
      <c r="H764" s="10"/>
      <c r="I764" s="11"/>
      <c r="J764" s="10"/>
      <c r="K764" s="11"/>
    </row>
    <row r="765">
      <c r="A765" s="8" t="s">
        <v>35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36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37</v>
      </c>
      <c r="B767" s="9" t="s">
        <v>98</v>
      </c>
      <c r="C767" s="9" t="s">
        <v>99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38</v>
      </c>
      <c r="B768" s="9" t="s">
        <v>98</v>
      </c>
      <c r="C768" s="9" t="s">
        <v>99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39</v>
      </c>
      <c r="B769" s="9" t="s">
        <v>98</v>
      </c>
      <c r="C769" s="9" t="s">
        <v>99</v>
      </c>
      <c r="D769" s="10"/>
      <c r="E769" s="11" t="str">
        <f>"－"</f>
        <v>－</v>
      </c>
      <c r="F769" s="10"/>
      <c r="G769" s="11" t="str">
        <f>"－"</f>
        <v>－</v>
      </c>
      <c r="H769" s="10"/>
      <c r="I769" s="11" t="str">
        <f>"－"</f>
        <v>－</v>
      </c>
      <c r="J769" s="10"/>
      <c r="K769" s="11" t="str">
        <f>"－"</f>
        <v>－</v>
      </c>
    </row>
    <row r="770">
      <c r="A770" s="8" t="s">
        <v>40</v>
      </c>
      <c r="B770" s="9" t="s">
        <v>98</v>
      </c>
      <c r="C770" s="9" t="s">
        <v>99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41</v>
      </c>
      <c r="B771" s="9" t="s">
        <v>98</v>
      </c>
      <c r="C771" s="9" t="s">
        <v>99</v>
      </c>
      <c r="D771" s="10"/>
      <c r="E771" s="11"/>
      <c r="F771" s="10"/>
      <c r="G771" s="11"/>
      <c r="H771" s="10"/>
      <c r="I771" s="11"/>
      <c r="J771" s="10"/>
      <c r="K771" s="11"/>
    </row>
    <row r="772">
      <c r="A772" s="8" t="s">
        <v>42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43</v>
      </c>
      <c r="B773" s="9" t="s">
        <v>98</v>
      </c>
      <c r="C773" s="9" t="s">
        <v>99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44</v>
      </c>
      <c r="B774" s="9" t="s">
        <v>98</v>
      </c>
      <c r="C774" s="9" t="s">
        <v>99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45</v>
      </c>
      <c r="B775" s="9" t="s">
        <v>98</v>
      </c>
      <c r="C775" s="9" t="s">
        <v>99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46</v>
      </c>
      <c r="B776" s="9" t="s">
        <v>98</v>
      </c>
      <c r="C776" s="9" t="s">
        <v>99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str">
        <f>"－"</f>
        <v>－</v>
      </c>
    </row>
    <row r="777">
      <c r="A777" s="8" t="s">
        <v>47</v>
      </c>
      <c r="B777" s="9" t="s">
        <v>98</v>
      </c>
      <c r="C777" s="9" t="s">
        <v>99</v>
      </c>
      <c r="D777" s="10"/>
      <c r="E777" s="11"/>
      <c r="F777" s="10"/>
      <c r="G777" s="11"/>
      <c r="H777" s="10"/>
      <c r="I777" s="11"/>
      <c r="J777" s="10"/>
      <c r="K777" s="11"/>
    </row>
    <row r="778">
      <c r="A778" s="8" t="s">
        <v>48</v>
      </c>
      <c r="B778" s="9" t="s">
        <v>98</v>
      </c>
      <c r="C778" s="9" t="s">
        <v>99</v>
      </c>
      <c r="D778" s="10"/>
      <c r="E778" s="11"/>
      <c r="F778" s="10"/>
      <c r="G778" s="11"/>
      <c r="H778" s="10"/>
      <c r="I778" s="11"/>
      <c r="J778" s="10"/>
      <c r="K778" s="11"/>
    </row>
    <row r="779">
      <c r="A779" s="8" t="s">
        <v>49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50</v>
      </c>
      <c r="B780" s="9" t="s">
        <v>98</v>
      </c>
      <c r="C780" s="9" t="s">
        <v>99</v>
      </c>
      <c r="D780" s="10"/>
      <c r="E780" s="11"/>
      <c r="F780" s="10"/>
      <c r="G780" s="11"/>
      <c r="H780" s="10"/>
      <c r="I780" s="11"/>
      <c r="J780" s="10"/>
      <c r="K780" s="11"/>
    </row>
    <row r="781">
      <c r="A781" s="8" t="s">
        <v>16</v>
      </c>
      <c r="B781" s="9" t="s">
        <v>100</v>
      </c>
      <c r="C781" s="9" t="s">
        <v>101</v>
      </c>
      <c r="D781" s="10"/>
      <c r="E781" s="11"/>
      <c r="F781" s="10"/>
      <c r="G781" s="11"/>
      <c r="H781" s="10"/>
      <c r="I781" s="11"/>
      <c r="J781" s="10"/>
      <c r="K781" s="11"/>
    </row>
    <row r="782">
      <c r="A782" s="8" t="s">
        <v>19</v>
      </c>
      <c r="B782" s="9" t="s">
        <v>100</v>
      </c>
      <c r="C782" s="9" t="s">
        <v>101</v>
      </c>
      <c r="D782" s="10" t="s">
        <v>53</v>
      </c>
      <c r="E782" s="11" t="str">
        <f>"－"</f>
        <v>－</v>
      </c>
      <c r="F782" s="10" t="s">
        <v>53</v>
      </c>
      <c r="G782" s="11" t="str">
        <f>"－"</f>
        <v>－</v>
      </c>
      <c r="H782" s="10" t="s">
        <v>53</v>
      </c>
      <c r="I782" s="11" t="str">
        <f>"－"</f>
        <v>－</v>
      </c>
      <c r="J782" s="10" t="s">
        <v>53</v>
      </c>
      <c r="K782" s="11" t="str">
        <f>"－"</f>
        <v>－</v>
      </c>
    </row>
    <row r="783">
      <c r="A783" s="8" t="s">
        <v>21</v>
      </c>
      <c r="B783" s="9" t="s">
        <v>100</v>
      </c>
      <c r="C783" s="9" t="s">
        <v>101</v>
      </c>
      <c r="D783" s="10"/>
      <c r="E783" s="11" t="str">
        <f>"－"</f>
        <v>－</v>
      </c>
      <c r="F783" s="10"/>
      <c r="G783" s="11" t="str">
        <f>"－"</f>
        <v>－</v>
      </c>
      <c r="H783" s="10"/>
      <c r="I783" s="11" t="str">
        <f>"－"</f>
        <v>－</v>
      </c>
      <c r="J783" s="10"/>
      <c r="K783" s="11" t="str">
        <f>"－"</f>
        <v>－</v>
      </c>
    </row>
    <row r="784">
      <c r="A784" s="8" t="s">
        <v>22</v>
      </c>
      <c r="B784" s="9" t="s">
        <v>100</v>
      </c>
      <c r="C784" s="9" t="s">
        <v>101</v>
      </c>
      <c r="D784" s="10"/>
      <c r="E784" s="11" t="str">
        <f>"－"</f>
        <v>－</v>
      </c>
      <c r="F784" s="10"/>
      <c r="G784" s="11" t="str">
        <f>"－"</f>
        <v>－</v>
      </c>
      <c r="H784" s="10"/>
      <c r="I784" s="11" t="str">
        <f>"－"</f>
        <v>－</v>
      </c>
      <c r="J784" s="10"/>
      <c r="K784" s="11" t="str">
        <f>"－"</f>
        <v>－</v>
      </c>
    </row>
    <row r="785">
      <c r="A785" s="8" t="s">
        <v>23</v>
      </c>
      <c r="B785" s="9" t="s">
        <v>100</v>
      </c>
      <c r="C785" s="9" t="s">
        <v>101</v>
      </c>
      <c r="D785" s="10"/>
      <c r="E785" s="11" t="str">
        <f>"－"</f>
        <v>－</v>
      </c>
      <c r="F785" s="10"/>
      <c r="G785" s="11" t="str">
        <f>"－"</f>
        <v>－</v>
      </c>
      <c r="H785" s="10"/>
      <c r="I785" s="11" t="str">
        <f>"－"</f>
        <v>－</v>
      </c>
      <c r="J785" s="10"/>
      <c r="K785" s="11" t="str">
        <f>"－"</f>
        <v>－</v>
      </c>
    </row>
    <row r="786">
      <c r="A786" s="8" t="s">
        <v>24</v>
      </c>
      <c r="B786" s="9" t="s">
        <v>100</v>
      </c>
      <c r="C786" s="9" t="s">
        <v>101</v>
      </c>
      <c r="D786" s="10"/>
      <c r="E786" s="11" t="str">
        <f>"－"</f>
        <v>－</v>
      </c>
      <c r="F786" s="10"/>
      <c r="G786" s="11" t="str">
        <f>"－"</f>
        <v>－</v>
      </c>
      <c r="H786" s="10"/>
      <c r="I786" s="11" t="str">
        <f>"－"</f>
        <v>－</v>
      </c>
      <c r="J786" s="10"/>
      <c r="K786" s="11" t="str">
        <f>"－"</f>
        <v>－</v>
      </c>
    </row>
    <row r="787">
      <c r="A787" s="8" t="s">
        <v>25</v>
      </c>
      <c r="B787" s="9" t="s">
        <v>100</v>
      </c>
      <c r="C787" s="9" t="s">
        <v>101</v>
      </c>
      <c r="D787" s="10"/>
      <c r="E787" s="11"/>
      <c r="F787" s="10"/>
      <c r="G787" s="11"/>
      <c r="H787" s="10"/>
      <c r="I787" s="11"/>
      <c r="J787" s="10"/>
      <c r="K787" s="11"/>
    </row>
    <row r="788">
      <c r="A788" s="8" t="s">
        <v>26</v>
      </c>
      <c r="B788" s="9" t="s">
        <v>100</v>
      </c>
      <c r="C788" s="9" t="s">
        <v>101</v>
      </c>
      <c r="D788" s="10"/>
      <c r="E788" s="11"/>
      <c r="F788" s="10"/>
      <c r="G788" s="11"/>
      <c r="H788" s="10"/>
      <c r="I788" s="11"/>
      <c r="J788" s="10"/>
      <c r="K788" s="11"/>
    </row>
    <row r="789">
      <c r="A789" s="8" t="s">
        <v>27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str">
        <f>"－"</f>
        <v>－</v>
      </c>
    </row>
    <row r="790">
      <c r="A790" s="8" t="s">
        <v>28</v>
      </c>
      <c r="B790" s="9" t="s">
        <v>100</v>
      </c>
      <c r="C790" s="9" t="s">
        <v>101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str">
        <f>"－"</f>
        <v>－</v>
      </c>
    </row>
    <row r="791">
      <c r="A791" s="8" t="s">
        <v>29</v>
      </c>
      <c r="B791" s="9" t="s">
        <v>100</v>
      </c>
      <c r="C791" s="9" t="s">
        <v>101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str">
        <f>"－"</f>
        <v>－</v>
      </c>
    </row>
    <row r="792">
      <c r="A792" s="8" t="s">
        <v>31</v>
      </c>
      <c r="B792" s="9" t="s">
        <v>100</v>
      </c>
      <c r="C792" s="9" t="s">
        <v>101</v>
      </c>
      <c r="D792" s="10"/>
      <c r="E792" s="11" t="str">
        <f>"－"</f>
        <v>－</v>
      </c>
      <c r="F792" s="10"/>
      <c r="G792" s="11" t="str">
        <f>"－"</f>
        <v>－</v>
      </c>
      <c r="H792" s="10"/>
      <c r="I792" s="11" t="str">
        <f>"－"</f>
        <v>－</v>
      </c>
      <c r="J792" s="10"/>
      <c r="K792" s="11" t="str">
        <f>"－"</f>
        <v>－</v>
      </c>
    </row>
    <row r="793">
      <c r="A793" s="8" t="s">
        <v>32</v>
      </c>
      <c r="B793" s="9" t="s">
        <v>100</v>
      </c>
      <c r="C793" s="9" t="s">
        <v>101</v>
      </c>
      <c r="D793" s="10"/>
      <c r="E793" s="11" t="str">
        <f>"－"</f>
        <v>－</v>
      </c>
      <c r="F793" s="10"/>
      <c r="G793" s="11" t="str">
        <f>"－"</f>
        <v>－</v>
      </c>
      <c r="H793" s="10"/>
      <c r="I793" s="11" t="str">
        <f>"－"</f>
        <v>－</v>
      </c>
      <c r="J793" s="10"/>
      <c r="K793" s="11" t="str">
        <f>"－"</f>
        <v>－</v>
      </c>
    </row>
    <row r="794">
      <c r="A794" s="8" t="s">
        <v>33</v>
      </c>
      <c r="B794" s="9" t="s">
        <v>100</v>
      </c>
      <c r="C794" s="9" t="s">
        <v>101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34</v>
      </c>
      <c r="B795" s="9" t="s">
        <v>100</v>
      </c>
      <c r="C795" s="9" t="s">
        <v>101</v>
      </c>
      <c r="D795" s="10"/>
      <c r="E795" s="11"/>
      <c r="F795" s="10"/>
      <c r="G795" s="11"/>
      <c r="H795" s="10"/>
      <c r="I795" s="11"/>
      <c r="J795" s="10"/>
      <c r="K795" s="11"/>
    </row>
    <row r="796">
      <c r="A796" s="8" t="s">
        <v>35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str">
        <f>"－"</f>
        <v>－</v>
      </c>
    </row>
    <row r="797">
      <c r="A797" s="8" t="s">
        <v>36</v>
      </c>
      <c r="B797" s="9" t="s">
        <v>100</v>
      </c>
      <c r="C797" s="9" t="s">
        <v>101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str">
        <f>"－"</f>
        <v>－</v>
      </c>
    </row>
    <row r="798">
      <c r="A798" s="8" t="s">
        <v>37</v>
      </c>
      <c r="B798" s="9" t="s">
        <v>100</v>
      </c>
      <c r="C798" s="9" t="s">
        <v>101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str">
        <f>"－"</f>
        <v>－</v>
      </c>
    </row>
    <row r="799">
      <c r="A799" s="8" t="s">
        <v>38</v>
      </c>
      <c r="B799" s="9" t="s">
        <v>100</v>
      </c>
      <c r="C799" s="9" t="s">
        <v>101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str">
        <f>"－"</f>
        <v>－</v>
      </c>
    </row>
    <row r="800">
      <c r="A800" s="8" t="s">
        <v>39</v>
      </c>
      <c r="B800" s="9" t="s">
        <v>100</v>
      </c>
      <c r="C800" s="9" t="s">
        <v>101</v>
      </c>
      <c r="D800" s="10"/>
      <c r="E800" s="11" t="str">
        <f>"－"</f>
        <v>－</v>
      </c>
      <c r="F800" s="10"/>
      <c r="G800" s="11" t="str">
        <f>"－"</f>
        <v>－</v>
      </c>
      <c r="H800" s="10"/>
      <c r="I800" s="11" t="str">
        <f>"－"</f>
        <v>－</v>
      </c>
      <c r="J800" s="10"/>
      <c r="K800" s="11" t="str">
        <f>"－"</f>
        <v>－</v>
      </c>
    </row>
    <row r="801">
      <c r="A801" s="8" t="s">
        <v>40</v>
      </c>
      <c r="B801" s="9" t="s">
        <v>100</v>
      </c>
      <c r="C801" s="9" t="s">
        <v>101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41</v>
      </c>
      <c r="B802" s="9" t="s">
        <v>100</v>
      </c>
      <c r="C802" s="9" t="s">
        <v>101</v>
      </c>
      <c r="D802" s="10"/>
      <c r="E802" s="11"/>
      <c r="F802" s="10"/>
      <c r="G802" s="11"/>
      <c r="H802" s="10"/>
      <c r="I802" s="11"/>
      <c r="J802" s="10"/>
      <c r="K802" s="11"/>
    </row>
    <row r="803">
      <c r="A803" s="8" t="s">
        <v>42</v>
      </c>
      <c r="B803" s="9" t="s">
        <v>100</v>
      </c>
      <c r="C803" s="9" t="s">
        <v>101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43</v>
      </c>
      <c r="B804" s="9" t="s">
        <v>100</v>
      </c>
      <c r="C804" s="9" t="s">
        <v>101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44</v>
      </c>
      <c r="B805" s="9" t="s">
        <v>100</v>
      </c>
      <c r="C805" s="9" t="s">
        <v>101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str">
        <f>"－"</f>
        <v>－</v>
      </c>
    </row>
    <row r="806">
      <c r="A806" s="8" t="s">
        <v>45</v>
      </c>
      <c r="B806" s="9" t="s">
        <v>100</v>
      </c>
      <c r="C806" s="9" t="s">
        <v>101</v>
      </c>
      <c r="D806" s="10"/>
      <c r="E806" s="11" t="str">
        <f>"－"</f>
        <v>－</v>
      </c>
      <c r="F806" s="10"/>
      <c r="G806" s="11" t="str">
        <f>"－"</f>
        <v>－</v>
      </c>
      <c r="H806" s="10"/>
      <c r="I806" s="11" t="str">
        <f>"－"</f>
        <v>－</v>
      </c>
      <c r="J806" s="10"/>
      <c r="K806" s="11" t="str">
        <f>"－"</f>
        <v>－</v>
      </c>
    </row>
    <row r="807">
      <c r="A807" s="8" t="s">
        <v>46</v>
      </c>
      <c r="B807" s="9" t="s">
        <v>100</v>
      </c>
      <c r="C807" s="9" t="s">
        <v>101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str">
        <f>"－"</f>
        <v>－</v>
      </c>
    </row>
    <row r="808">
      <c r="A808" s="8" t="s">
        <v>47</v>
      </c>
      <c r="B808" s="9" t="s">
        <v>100</v>
      </c>
      <c r="C808" s="9" t="s">
        <v>101</v>
      </c>
      <c r="D808" s="10"/>
      <c r="E808" s="11"/>
      <c r="F808" s="10"/>
      <c r="G808" s="11"/>
      <c r="H808" s="10"/>
      <c r="I808" s="11"/>
      <c r="J808" s="10"/>
      <c r="K808" s="11"/>
    </row>
    <row r="809">
      <c r="A809" s="8" t="s">
        <v>48</v>
      </c>
      <c r="B809" s="9" t="s">
        <v>100</v>
      </c>
      <c r="C809" s="9" t="s">
        <v>101</v>
      </c>
      <c r="D809" s="10"/>
      <c r="E809" s="11"/>
      <c r="F809" s="10"/>
      <c r="G809" s="11"/>
      <c r="H809" s="10"/>
      <c r="I809" s="11"/>
      <c r="J809" s="10"/>
      <c r="K809" s="11"/>
    </row>
    <row r="810">
      <c r="A810" s="8" t="s">
        <v>49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50</v>
      </c>
      <c r="B811" s="9" t="s">
        <v>100</v>
      </c>
      <c r="C811" s="9" t="s">
        <v>101</v>
      </c>
      <c r="D811" s="10"/>
      <c r="E811" s="11"/>
      <c r="F811" s="10"/>
      <c r="G811" s="11"/>
      <c r="H811" s="10"/>
      <c r="I811" s="11"/>
      <c r="J811" s="10"/>
      <c r="K811" s="11"/>
    </row>
    <row r="812">
      <c r="A812" s="8" t="s">
        <v>16</v>
      </c>
      <c r="B812" s="9" t="s">
        <v>102</v>
      </c>
      <c r="C812" s="9" t="s">
        <v>103</v>
      </c>
      <c r="D812" s="10"/>
      <c r="E812" s="11"/>
      <c r="F812" s="10"/>
      <c r="G812" s="11"/>
      <c r="H812" s="10"/>
      <c r="I812" s="11"/>
      <c r="J812" s="10"/>
      <c r="K812" s="11"/>
    </row>
    <row r="813">
      <c r="A813" s="8" t="s">
        <v>19</v>
      </c>
      <c r="B813" s="9" t="s">
        <v>102</v>
      </c>
      <c r="C813" s="9" t="s">
        <v>103</v>
      </c>
      <c r="D813" s="10" t="s">
        <v>20</v>
      </c>
      <c r="E813" s="11" t="str">
        <f>"－"</f>
        <v>－</v>
      </c>
      <c r="F813" s="10" t="s">
        <v>20</v>
      </c>
      <c r="G813" s="11" t="str">
        <f>"－"</f>
        <v>－</v>
      </c>
      <c r="H813" s="10" t="s">
        <v>53</v>
      </c>
      <c r="I813" s="11" t="str">
        <f>"－"</f>
        <v>－</v>
      </c>
      <c r="J813" s="10"/>
      <c r="K813" s="11" t="n">
        <f>70</f>
        <v>70.0</v>
      </c>
    </row>
    <row r="814">
      <c r="A814" s="8" t="s">
        <v>21</v>
      </c>
      <c r="B814" s="9" t="s">
        <v>102</v>
      </c>
      <c r="C814" s="9" t="s">
        <v>103</v>
      </c>
      <c r="D814" s="10"/>
      <c r="E814" s="11" t="str">
        <f>"－"</f>
        <v>－</v>
      </c>
      <c r="F814" s="10"/>
      <c r="G814" s="11" t="str">
        <f>"－"</f>
        <v>－</v>
      </c>
      <c r="H814" s="10"/>
      <c r="I814" s="11" t="str">
        <f>"－"</f>
        <v>－</v>
      </c>
      <c r="J814" s="10"/>
      <c r="K814" s="11" t="n">
        <f>70</f>
        <v>70.0</v>
      </c>
    </row>
    <row r="815">
      <c r="A815" s="8" t="s">
        <v>22</v>
      </c>
      <c r="B815" s="9" t="s">
        <v>102</v>
      </c>
      <c r="C815" s="9" t="s">
        <v>103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n">
        <f>70</f>
        <v>70.0</v>
      </c>
    </row>
    <row r="816">
      <c r="A816" s="8" t="s">
        <v>23</v>
      </c>
      <c r="B816" s="9" t="s">
        <v>102</v>
      </c>
      <c r="C816" s="9" t="s">
        <v>103</v>
      </c>
      <c r="D816" s="10"/>
      <c r="E816" s="11" t="str">
        <f>"－"</f>
        <v>－</v>
      </c>
      <c r="F816" s="10"/>
      <c r="G816" s="11" t="str">
        <f>"－"</f>
        <v>－</v>
      </c>
      <c r="H816" s="10"/>
      <c r="I816" s="11" t="str">
        <f>"－"</f>
        <v>－</v>
      </c>
      <c r="J816" s="10"/>
      <c r="K816" s="11" t="n">
        <f>70</f>
        <v>70.0</v>
      </c>
    </row>
    <row r="817">
      <c r="A817" s="8" t="s">
        <v>24</v>
      </c>
      <c r="B817" s="9" t="s">
        <v>102</v>
      </c>
      <c r="C817" s="9" t="s">
        <v>103</v>
      </c>
      <c r="D817" s="10"/>
      <c r="E817" s="11" t="str">
        <f>"－"</f>
        <v>－</v>
      </c>
      <c r="F817" s="10"/>
      <c r="G817" s="11" t="str">
        <f>"－"</f>
        <v>－</v>
      </c>
      <c r="H817" s="10"/>
      <c r="I817" s="11" t="str">
        <f>"－"</f>
        <v>－</v>
      </c>
      <c r="J817" s="10"/>
      <c r="K817" s="11" t="n">
        <f>70</f>
        <v>70.0</v>
      </c>
    </row>
    <row r="818">
      <c r="A818" s="8" t="s">
        <v>25</v>
      </c>
      <c r="B818" s="9" t="s">
        <v>102</v>
      </c>
      <c r="C818" s="9" t="s">
        <v>103</v>
      </c>
      <c r="D818" s="10"/>
      <c r="E818" s="11"/>
      <c r="F818" s="10"/>
      <c r="G818" s="11"/>
      <c r="H818" s="10"/>
      <c r="I818" s="11"/>
      <c r="J818" s="10"/>
      <c r="K818" s="11"/>
    </row>
    <row r="819">
      <c r="A819" s="8" t="s">
        <v>26</v>
      </c>
      <c r="B819" s="9" t="s">
        <v>102</v>
      </c>
      <c r="C819" s="9" t="s">
        <v>103</v>
      </c>
      <c r="D819" s="10"/>
      <c r="E819" s="11"/>
      <c r="F819" s="10"/>
      <c r="G819" s="11"/>
      <c r="H819" s="10"/>
      <c r="I819" s="11"/>
      <c r="J819" s="10"/>
      <c r="K819" s="11"/>
    </row>
    <row r="820">
      <c r="A820" s="8" t="s">
        <v>27</v>
      </c>
      <c r="B820" s="9" t="s">
        <v>102</v>
      </c>
      <c r="C820" s="9" t="s">
        <v>103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n">
        <f>70</f>
        <v>70.0</v>
      </c>
    </row>
    <row r="821">
      <c r="A821" s="8" t="s">
        <v>28</v>
      </c>
      <c r="B821" s="9" t="s">
        <v>102</v>
      </c>
      <c r="C821" s="9" t="s">
        <v>103</v>
      </c>
      <c r="D821" s="10"/>
      <c r="E821" s="11" t="n">
        <f>20</f>
        <v>20.0</v>
      </c>
      <c r="F821" s="10"/>
      <c r="G821" s="11" t="n">
        <f>42270000</f>
        <v>4.227E7</v>
      </c>
      <c r="H821" s="10"/>
      <c r="I821" s="11" t="str">
        <f>"－"</f>
        <v>－</v>
      </c>
      <c r="J821" s="10"/>
      <c r="K821" s="11" t="n">
        <f>70</f>
        <v>70.0</v>
      </c>
    </row>
    <row r="822">
      <c r="A822" s="8" t="s">
        <v>29</v>
      </c>
      <c r="B822" s="9" t="s">
        <v>102</v>
      </c>
      <c r="C822" s="9" t="s">
        <v>103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n">
        <f>60</f>
        <v>60.0</v>
      </c>
    </row>
    <row r="823">
      <c r="A823" s="8" t="s">
        <v>31</v>
      </c>
      <c r="B823" s="9" t="s">
        <v>102</v>
      </c>
      <c r="C823" s="9" t="s">
        <v>103</v>
      </c>
      <c r="D823" s="10"/>
      <c r="E823" s="11" t="str">
        <f>"－"</f>
        <v>－</v>
      </c>
      <c r="F823" s="10"/>
      <c r="G823" s="11" t="str">
        <f>"－"</f>
        <v>－</v>
      </c>
      <c r="H823" s="10"/>
      <c r="I823" s="11" t="str">
        <f>"－"</f>
        <v>－</v>
      </c>
      <c r="J823" s="10"/>
      <c r="K823" s="11" t="n">
        <f>60</f>
        <v>60.0</v>
      </c>
    </row>
    <row r="824">
      <c r="A824" s="8" t="s">
        <v>32</v>
      </c>
      <c r="B824" s="9" t="s">
        <v>102</v>
      </c>
      <c r="C824" s="9" t="s">
        <v>103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n">
        <f>60</f>
        <v>60.0</v>
      </c>
    </row>
    <row r="825">
      <c r="A825" s="8" t="s">
        <v>33</v>
      </c>
      <c r="B825" s="9" t="s">
        <v>102</v>
      </c>
      <c r="C825" s="9" t="s">
        <v>103</v>
      </c>
      <c r="D825" s="10"/>
      <c r="E825" s="11"/>
      <c r="F825" s="10"/>
      <c r="G825" s="11"/>
      <c r="H825" s="10"/>
      <c r="I825" s="11"/>
      <c r="J825" s="10"/>
      <c r="K825" s="11"/>
    </row>
    <row r="826">
      <c r="A826" s="8" t="s">
        <v>34</v>
      </c>
      <c r="B826" s="9" t="s">
        <v>102</v>
      </c>
      <c r="C826" s="9" t="s">
        <v>103</v>
      </c>
      <c r="D826" s="10"/>
      <c r="E826" s="11"/>
      <c r="F826" s="10"/>
      <c r="G826" s="11"/>
      <c r="H826" s="10"/>
      <c r="I826" s="11"/>
      <c r="J826" s="10"/>
      <c r="K826" s="11"/>
    </row>
    <row r="827">
      <c r="A827" s="8" t="s">
        <v>35</v>
      </c>
      <c r="B827" s="9" t="s">
        <v>102</v>
      </c>
      <c r="C827" s="9" t="s">
        <v>103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n">
        <f>60</f>
        <v>60.0</v>
      </c>
    </row>
    <row r="828">
      <c r="A828" s="8" t="s">
        <v>36</v>
      </c>
      <c r="B828" s="9" t="s">
        <v>102</v>
      </c>
      <c r="C828" s="9" t="s">
        <v>103</v>
      </c>
      <c r="D828" s="10"/>
      <c r="E828" s="11" t="n">
        <f>30</f>
        <v>30.0</v>
      </c>
      <c r="F828" s="10"/>
      <c r="G828" s="11" t="n">
        <f>56420000</f>
        <v>5.642E7</v>
      </c>
      <c r="H828" s="10"/>
      <c r="I828" s="11" t="str">
        <f>"－"</f>
        <v>－</v>
      </c>
      <c r="J828" s="10" t="s">
        <v>20</v>
      </c>
      <c r="K828" s="11" t="n">
        <f>50</f>
        <v>50.0</v>
      </c>
    </row>
    <row r="829">
      <c r="A829" s="8" t="s">
        <v>37</v>
      </c>
      <c r="B829" s="9" t="s">
        <v>102</v>
      </c>
      <c r="C829" s="9" t="s">
        <v>103</v>
      </c>
      <c r="D829" s="10"/>
      <c r="E829" s="11" t="n">
        <f>20</f>
        <v>20.0</v>
      </c>
      <c r="F829" s="10"/>
      <c r="G829" s="11" t="n">
        <f>39000000</f>
        <v>3.9E7</v>
      </c>
      <c r="H829" s="10"/>
      <c r="I829" s="11" t="str">
        <f>"－"</f>
        <v>－</v>
      </c>
      <c r="J829" s="10"/>
      <c r="K829" s="11" t="n">
        <f>50</f>
        <v>50.0</v>
      </c>
    </row>
    <row r="830">
      <c r="A830" s="8" t="s">
        <v>38</v>
      </c>
      <c r="B830" s="9" t="s">
        <v>102</v>
      </c>
      <c r="C830" s="9" t="s">
        <v>103</v>
      </c>
      <c r="D830" s="10" t="s">
        <v>30</v>
      </c>
      <c r="E830" s="11" t="n">
        <f>50</f>
        <v>50.0</v>
      </c>
      <c r="F830" s="10" t="s">
        <v>30</v>
      </c>
      <c r="G830" s="11" t="n">
        <f>97800000</f>
        <v>9.78E7</v>
      </c>
      <c r="H830" s="10"/>
      <c r="I830" s="11" t="str">
        <f>"－"</f>
        <v>－</v>
      </c>
      <c r="J830" s="10" t="s">
        <v>30</v>
      </c>
      <c r="K830" s="11" t="n">
        <f>100</f>
        <v>100.0</v>
      </c>
    </row>
    <row r="831">
      <c r="A831" s="8" t="s">
        <v>39</v>
      </c>
      <c r="B831" s="9" t="s">
        <v>102</v>
      </c>
      <c r="C831" s="9" t="s">
        <v>103</v>
      </c>
      <c r="D831" s="10"/>
      <c r="E831" s="11" t="n">
        <f>20</f>
        <v>20.0</v>
      </c>
      <c r="F831" s="10"/>
      <c r="G831" s="11" t="n">
        <f>39650000</f>
        <v>3.965E7</v>
      </c>
      <c r="H831" s="10"/>
      <c r="I831" s="11" t="str">
        <f>"－"</f>
        <v>－</v>
      </c>
      <c r="J831" s="10"/>
      <c r="K831" s="11" t="n">
        <f>80</f>
        <v>80.0</v>
      </c>
    </row>
    <row r="832">
      <c r="A832" s="8" t="s">
        <v>40</v>
      </c>
      <c r="B832" s="9" t="s">
        <v>102</v>
      </c>
      <c r="C832" s="9" t="s">
        <v>103</v>
      </c>
      <c r="D832" s="10"/>
      <c r="E832" s="11"/>
      <c r="F832" s="10"/>
      <c r="G832" s="11"/>
      <c r="H832" s="10"/>
      <c r="I832" s="11"/>
      <c r="J832" s="10"/>
      <c r="K832" s="11"/>
    </row>
    <row r="833">
      <c r="A833" s="8" t="s">
        <v>41</v>
      </c>
      <c r="B833" s="9" t="s">
        <v>102</v>
      </c>
      <c r="C833" s="9" t="s">
        <v>103</v>
      </c>
      <c r="D833" s="10"/>
      <c r="E833" s="11"/>
      <c r="F833" s="10"/>
      <c r="G833" s="11"/>
      <c r="H833" s="10"/>
      <c r="I833" s="11"/>
      <c r="J833" s="10"/>
      <c r="K833" s="11"/>
    </row>
    <row r="834">
      <c r="A834" s="8" t="s">
        <v>42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n">
        <f>80</f>
        <v>80.0</v>
      </c>
    </row>
    <row r="835">
      <c r="A835" s="8" t="s">
        <v>43</v>
      </c>
      <c r="B835" s="9" t="s">
        <v>102</v>
      </c>
      <c r="C835" s="9" t="s">
        <v>103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n">
        <f>80</f>
        <v>80.0</v>
      </c>
    </row>
    <row r="836">
      <c r="A836" s="8" t="s">
        <v>44</v>
      </c>
      <c r="B836" s="9" t="s">
        <v>102</v>
      </c>
      <c r="C836" s="9" t="s">
        <v>103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n">
        <f>80</f>
        <v>80.0</v>
      </c>
    </row>
    <row r="837">
      <c r="A837" s="8" t="s">
        <v>45</v>
      </c>
      <c r="B837" s="9" t="s">
        <v>102</v>
      </c>
      <c r="C837" s="9" t="s">
        <v>103</v>
      </c>
      <c r="D837" s="10"/>
      <c r="E837" s="11" t="str">
        <f>"－"</f>
        <v>－</v>
      </c>
      <c r="F837" s="10"/>
      <c r="G837" s="11" t="str">
        <f>"－"</f>
        <v>－</v>
      </c>
      <c r="H837" s="10"/>
      <c r="I837" s="11" t="str">
        <f>"－"</f>
        <v>－</v>
      </c>
      <c r="J837" s="10"/>
      <c r="K837" s="11" t="n">
        <f>80</f>
        <v>80.0</v>
      </c>
    </row>
    <row r="838">
      <c r="A838" s="8" t="s">
        <v>46</v>
      </c>
      <c r="B838" s="9" t="s">
        <v>102</v>
      </c>
      <c r="C838" s="9" t="s">
        <v>103</v>
      </c>
      <c r="D838" s="10"/>
      <c r="E838" s="11" t="str">
        <f>"－"</f>
        <v>－</v>
      </c>
      <c r="F838" s="10"/>
      <c r="G838" s="11" t="str">
        <f>"－"</f>
        <v>－</v>
      </c>
      <c r="H838" s="10"/>
      <c r="I838" s="11" t="str">
        <f>"－"</f>
        <v>－</v>
      </c>
      <c r="J838" s="10"/>
      <c r="K838" s="11" t="n">
        <f>80</f>
        <v>80.0</v>
      </c>
    </row>
    <row r="839">
      <c r="A839" s="8" t="s">
        <v>47</v>
      </c>
      <c r="B839" s="9" t="s">
        <v>102</v>
      </c>
      <c r="C839" s="9" t="s">
        <v>103</v>
      </c>
      <c r="D839" s="10"/>
      <c r="E839" s="11"/>
      <c r="F839" s="10"/>
      <c r="G839" s="11"/>
      <c r="H839" s="10"/>
      <c r="I839" s="11"/>
      <c r="J839" s="10"/>
      <c r="K839" s="11"/>
    </row>
    <row r="840">
      <c r="A840" s="8" t="s">
        <v>48</v>
      </c>
      <c r="B840" s="9" t="s">
        <v>102</v>
      </c>
      <c r="C840" s="9" t="s">
        <v>103</v>
      </c>
      <c r="D840" s="10"/>
      <c r="E840" s="11"/>
      <c r="F840" s="10"/>
      <c r="G840" s="11"/>
      <c r="H840" s="10"/>
      <c r="I840" s="11"/>
      <c r="J840" s="10"/>
      <c r="K840" s="11"/>
    </row>
    <row r="841">
      <c r="A841" s="8" t="s">
        <v>49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n">
        <f>80</f>
        <v>80.0</v>
      </c>
    </row>
    <row r="842">
      <c r="A842" s="8" t="s">
        <v>50</v>
      </c>
      <c r="B842" s="9" t="s">
        <v>102</v>
      </c>
      <c r="C842" s="9" t="s">
        <v>103</v>
      </c>
      <c r="D842" s="10"/>
      <c r="E842" s="11"/>
      <c r="F842" s="10"/>
      <c r="G842" s="11"/>
      <c r="H842" s="10"/>
      <c r="I842" s="11"/>
      <c r="J842" s="10"/>
      <c r="K842" s="11"/>
    </row>
    <row r="843">
      <c r="A843" s="8" t="s">
        <v>16</v>
      </c>
      <c r="B843" s="9" t="s">
        <v>104</v>
      </c>
      <c r="C843" s="9" t="s">
        <v>105</v>
      </c>
      <c r="D843" s="10"/>
      <c r="E843" s="11"/>
      <c r="F843" s="10"/>
      <c r="G843" s="11"/>
      <c r="H843" s="10"/>
      <c r="I843" s="11"/>
      <c r="J843" s="10"/>
      <c r="K843" s="11"/>
    </row>
    <row r="844">
      <c r="A844" s="8" t="s">
        <v>19</v>
      </c>
      <c r="B844" s="9" t="s">
        <v>104</v>
      </c>
      <c r="C844" s="9" t="s">
        <v>105</v>
      </c>
      <c r="D844" s="10" t="s">
        <v>20</v>
      </c>
      <c r="E844" s="11" t="str">
        <f>"－"</f>
        <v>－</v>
      </c>
      <c r="F844" s="10" t="s">
        <v>20</v>
      </c>
      <c r="G844" s="11" t="str">
        <f>"－"</f>
        <v>－</v>
      </c>
      <c r="H844" s="10" t="s">
        <v>53</v>
      </c>
      <c r="I844" s="11" t="str">
        <f>"－"</f>
        <v>－</v>
      </c>
      <c r="J844" s="10" t="s">
        <v>20</v>
      </c>
      <c r="K844" s="11" t="str">
        <f>"－"</f>
        <v>－</v>
      </c>
    </row>
    <row r="845">
      <c r="A845" s="8" t="s">
        <v>21</v>
      </c>
      <c r="B845" s="9" t="s">
        <v>104</v>
      </c>
      <c r="C845" s="9" t="s">
        <v>105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str">
        <f>"－"</f>
        <v>－</v>
      </c>
    </row>
    <row r="846">
      <c r="A846" s="8" t="s">
        <v>22</v>
      </c>
      <c r="B846" s="9" t="s">
        <v>104</v>
      </c>
      <c r="C846" s="9" t="s">
        <v>105</v>
      </c>
      <c r="D846" s="10"/>
      <c r="E846" s="11" t="str">
        <f>"－"</f>
        <v>－</v>
      </c>
      <c r="F846" s="10"/>
      <c r="G846" s="11" t="str">
        <f>"－"</f>
        <v>－</v>
      </c>
      <c r="H846" s="10"/>
      <c r="I846" s="11" t="str">
        <f>"－"</f>
        <v>－</v>
      </c>
      <c r="J846" s="10"/>
      <c r="K846" s="11" t="str">
        <f>"－"</f>
        <v>－</v>
      </c>
    </row>
    <row r="847">
      <c r="A847" s="8" t="s">
        <v>23</v>
      </c>
      <c r="B847" s="9" t="s">
        <v>104</v>
      </c>
      <c r="C847" s="9" t="s">
        <v>105</v>
      </c>
      <c r="D847" s="10"/>
      <c r="E847" s="11" t="str">
        <f>"－"</f>
        <v>－</v>
      </c>
      <c r="F847" s="10"/>
      <c r="G847" s="11" t="str">
        <f>"－"</f>
        <v>－</v>
      </c>
      <c r="H847" s="10"/>
      <c r="I847" s="11" t="str">
        <f>"－"</f>
        <v>－</v>
      </c>
      <c r="J847" s="10"/>
      <c r="K847" s="11" t="str">
        <f>"－"</f>
        <v>－</v>
      </c>
    </row>
    <row r="848">
      <c r="A848" s="8" t="s">
        <v>24</v>
      </c>
      <c r="B848" s="9" t="s">
        <v>104</v>
      </c>
      <c r="C848" s="9" t="s">
        <v>105</v>
      </c>
      <c r="D848" s="10"/>
      <c r="E848" s="11" t="str">
        <f>"－"</f>
        <v>－</v>
      </c>
      <c r="F848" s="10"/>
      <c r="G848" s="11" t="str">
        <f>"－"</f>
        <v>－</v>
      </c>
      <c r="H848" s="10"/>
      <c r="I848" s="11" t="str">
        <f>"－"</f>
        <v>－</v>
      </c>
      <c r="J848" s="10"/>
      <c r="K848" s="11" t="str">
        <f>"－"</f>
        <v>－</v>
      </c>
    </row>
    <row r="849">
      <c r="A849" s="8" t="s">
        <v>25</v>
      </c>
      <c r="B849" s="9" t="s">
        <v>104</v>
      </c>
      <c r="C849" s="9" t="s">
        <v>105</v>
      </c>
      <c r="D849" s="10"/>
      <c r="E849" s="11"/>
      <c r="F849" s="10"/>
      <c r="G849" s="11"/>
      <c r="H849" s="10"/>
      <c r="I849" s="11"/>
      <c r="J849" s="10"/>
      <c r="K849" s="11"/>
    </row>
    <row r="850">
      <c r="A850" s="8" t="s">
        <v>26</v>
      </c>
      <c r="B850" s="9" t="s">
        <v>104</v>
      </c>
      <c r="C850" s="9" t="s">
        <v>105</v>
      </c>
      <c r="D850" s="10"/>
      <c r="E850" s="11"/>
      <c r="F850" s="10"/>
      <c r="G850" s="11"/>
      <c r="H850" s="10"/>
      <c r="I850" s="11"/>
      <c r="J850" s="10"/>
      <c r="K850" s="11"/>
    </row>
    <row r="851">
      <c r="A851" s="8" t="s">
        <v>27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28</v>
      </c>
      <c r="B852" s="9" t="s">
        <v>104</v>
      </c>
      <c r="C852" s="9" t="s">
        <v>105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str">
        <f>"－"</f>
        <v>－</v>
      </c>
    </row>
    <row r="853">
      <c r="A853" s="8" t="s">
        <v>29</v>
      </c>
      <c r="B853" s="9" t="s">
        <v>104</v>
      </c>
      <c r="C853" s="9" t="s">
        <v>105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31</v>
      </c>
      <c r="B854" s="9" t="s">
        <v>104</v>
      </c>
      <c r="C854" s="9" t="s">
        <v>105</v>
      </c>
      <c r="D854" s="10"/>
      <c r="E854" s="11" t="str">
        <f>"－"</f>
        <v>－</v>
      </c>
      <c r="F854" s="10"/>
      <c r="G854" s="11" t="str">
        <f>"－"</f>
        <v>－</v>
      </c>
      <c r="H854" s="10"/>
      <c r="I854" s="11" t="str">
        <f>"－"</f>
        <v>－</v>
      </c>
      <c r="J854" s="10"/>
      <c r="K854" s="11" t="str">
        <f>"－"</f>
        <v>－</v>
      </c>
    </row>
    <row r="855">
      <c r="A855" s="8" t="s">
        <v>32</v>
      </c>
      <c r="B855" s="9" t="s">
        <v>104</v>
      </c>
      <c r="C855" s="9" t="s">
        <v>105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33</v>
      </c>
      <c r="B856" s="9" t="s">
        <v>104</v>
      </c>
      <c r="C856" s="9" t="s">
        <v>105</v>
      </c>
      <c r="D856" s="10"/>
      <c r="E856" s="11"/>
      <c r="F856" s="10"/>
      <c r="G856" s="11"/>
      <c r="H856" s="10"/>
      <c r="I856" s="11"/>
      <c r="J856" s="10"/>
      <c r="K856" s="11"/>
    </row>
    <row r="857">
      <c r="A857" s="8" t="s">
        <v>34</v>
      </c>
      <c r="B857" s="9" t="s">
        <v>104</v>
      </c>
      <c r="C857" s="9" t="s">
        <v>105</v>
      </c>
      <c r="D857" s="10"/>
      <c r="E857" s="11"/>
      <c r="F857" s="10"/>
      <c r="G857" s="11"/>
      <c r="H857" s="10"/>
      <c r="I857" s="11"/>
      <c r="J857" s="10"/>
      <c r="K857" s="11"/>
    </row>
    <row r="858">
      <c r="A858" s="8" t="s">
        <v>35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36</v>
      </c>
      <c r="B859" s="9" t="s">
        <v>104</v>
      </c>
      <c r="C859" s="9" t="s">
        <v>105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str">
        <f>"－"</f>
        <v>－</v>
      </c>
    </row>
    <row r="860">
      <c r="A860" s="8" t="s">
        <v>37</v>
      </c>
      <c r="B860" s="9" t="s">
        <v>104</v>
      </c>
      <c r="C860" s="9" t="s">
        <v>105</v>
      </c>
      <c r="D860" s="10"/>
      <c r="E860" s="11" t="n">
        <f>1</f>
        <v>1.0</v>
      </c>
      <c r="F860" s="10"/>
      <c r="G860" s="11" t="n">
        <f>860000</f>
        <v>860000.0</v>
      </c>
      <c r="H860" s="10"/>
      <c r="I860" s="11" t="str">
        <f>"－"</f>
        <v>－</v>
      </c>
      <c r="J860" s="10"/>
      <c r="K860" s="11" t="n">
        <f>1</f>
        <v>1.0</v>
      </c>
    </row>
    <row r="861">
      <c r="A861" s="8" t="s">
        <v>38</v>
      </c>
      <c r="B861" s="9" t="s">
        <v>104</v>
      </c>
      <c r="C861" s="9" t="s">
        <v>105</v>
      </c>
      <c r="D861" s="10"/>
      <c r="E861" s="11" t="n">
        <f>6</f>
        <v>6.0</v>
      </c>
      <c r="F861" s="10"/>
      <c r="G861" s="11" t="n">
        <f>5160000</f>
        <v>5160000.0</v>
      </c>
      <c r="H861" s="10"/>
      <c r="I861" s="11" t="str">
        <f>"－"</f>
        <v>－</v>
      </c>
      <c r="J861" s="10"/>
      <c r="K861" s="11" t="n">
        <f>7</f>
        <v>7.0</v>
      </c>
    </row>
    <row r="862">
      <c r="A862" s="8" t="s">
        <v>39</v>
      </c>
      <c r="B862" s="9" t="s">
        <v>104</v>
      </c>
      <c r="C862" s="9" t="s">
        <v>105</v>
      </c>
      <c r="D862" s="10"/>
      <c r="E862" s="11" t="str">
        <f>"－"</f>
        <v>－</v>
      </c>
      <c r="F862" s="10"/>
      <c r="G862" s="11" t="str">
        <f>"－"</f>
        <v>－</v>
      </c>
      <c r="H862" s="10"/>
      <c r="I862" s="11" t="str">
        <f>"－"</f>
        <v>－</v>
      </c>
      <c r="J862" s="10"/>
      <c r="K862" s="11" t="n">
        <f>7</f>
        <v>7.0</v>
      </c>
    </row>
    <row r="863">
      <c r="A863" s="8" t="s">
        <v>40</v>
      </c>
      <c r="B863" s="9" t="s">
        <v>104</v>
      </c>
      <c r="C863" s="9" t="s">
        <v>105</v>
      </c>
      <c r="D863" s="10"/>
      <c r="E863" s="11"/>
      <c r="F863" s="10"/>
      <c r="G863" s="11"/>
      <c r="H863" s="10"/>
      <c r="I863" s="11"/>
      <c r="J863" s="10"/>
      <c r="K863" s="11"/>
    </row>
    <row r="864">
      <c r="A864" s="8" t="s">
        <v>41</v>
      </c>
      <c r="B864" s="9" t="s">
        <v>104</v>
      </c>
      <c r="C864" s="9" t="s">
        <v>105</v>
      </c>
      <c r="D864" s="10"/>
      <c r="E864" s="11"/>
      <c r="F864" s="10"/>
      <c r="G864" s="11"/>
      <c r="H864" s="10"/>
      <c r="I864" s="11"/>
      <c r="J864" s="10"/>
      <c r="K864" s="11"/>
    </row>
    <row r="865">
      <c r="A865" s="8" t="s">
        <v>42</v>
      </c>
      <c r="B865" s="9" t="s">
        <v>104</v>
      </c>
      <c r="C865" s="9" t="s">
        <v>105</v>
      </c>
      <c r="D865" s="10"/>
      <c r="E865" s="11" t="str">
        <f>"－"</f>
        <v>－</v>
      </c>
      <c r="F865" s="10"/>
      <c r="G865" s="11" t="str">
        <f>"－"</f>
        <v>－</v>
      </c>
      <c r="H865" s="10"/>
      <c r="I865" s="11" t="str">
        <f>"－"</f>
        <v>－</v>
      </c>
      <c r="J865" s="10"/>
      <c r="K865" s="11" t="n">
        <f>7</f>
        <v>7.0</v>
      </c>
    </row>
    <row r="866">
      <c r="A866" s="8" t="s">
        <v>43</v>
      </c>
      <c r="B866" s="9" t="s">
        <v>104</v>
      </c>
      <c r="C866" s="9" t="s">
        <v>105</v>
      </c>
      <c r="D866" s="10"/>
      <c r="E866" s="11" t="n">
        <f>9</f>
        <v>9.0</v>
      </c>
      <c r="F866" s="10"/>
      <c r="G866" s="11" t="n">
        <f>7800000</f>
        <v>7800000.0</v>
      </c>
      <c r="H866" s="10"/>
      <c r="I866" s="11" t="str">
        <f>"－"</f>
        <v>－</v>
      </c>
      <c r="J866" s="10"/>
      <c r="K866" s="11" t="n">
        <f>16</f>
        <v>16.0</v>
      </c>
    </row>
    <row r="867">
      <c r="A867" s="8" t="s">
        <v>44</v>
      </c>
      <c r="B867" s="9" t="s">
        <v>104</v>
      </c>
      <c r="C867" s="9" t="s">
        <v>105</v>
      </c>
      <c r="D867" s="10" t="s">
        <v>30</v>
      </c>
      <c r="E867" s="11" t="n">
        <f>34</f>
        <v>34.0</v>
      </c>
      <c r="F867" s="10" t="s">
        <v>30</v>
      </c>
      <c r="G867" s="11" t="n">
        <f>28765000</f>
        <v>2.8765E7</v>
      </c>
      <c r="H867" s="10"/>
      <c r="I867" s="11" t="str">
        <f>"－"</f>
        <v>－</v>
      </c>
      <c r="J867" s="10" t="s">
        <v>30</v>
      </c>
      <c r="K867" s="11" t="n">
        <f>50</f>
        <v>50.0</v>
      </c>
    </row>
    <row r="868">
      <c r="A868" s="8" t="s">
        <v>45</v>
      </c>
      <c r="B868" s="9" t="s">
        <v>104</v>
      </c>
      <c r="C868" s="9" t="s">
        <v>105</v>
      </c>
      <c r="D868" s="10"/>
      <c r="E868" s="11" t="str">
        <f>"－"</f>
        <v>－</v>
      </c>
      <c r="F868" s="10"/>
      <c r="G868" s="11" t="str">
        <f>"－"</f>
        <v>－</v>
      </c>
      <c r="H868" s="10"/>
      <c r="I868" s="11" t="str">
        <f>"－"</f>
        <v>－</v>
      </c>
      <c r="J868" s="10"/>
      <c r="K868" s="11" t="str">
        <f>"－"</f>
        <v>－</v>
      </c>
    </row>
    <row r="869">
      <c r="A869" s="8" t="s">
        <v>46</v>
      </c>
      <c r="B869" s="9" t="s">
        <v>104</v>
      </c>
      <c r="C869" s="9" t="s">
        <v>105</v>
      </c>
      <c r="D869" s="10"/>
      <c r="E869" s="11" t="str">
        <f>"－"</f>
        <v>－</v>
      </c>
      <c r="F869" s="10"/>
      <c r="G869" s="11" t="str">
        <f>"－"</f>
        <v>－</v>
      </c>
      <c r="H869" s="10"/>
      <c r="I869" s="11" t="str">
        <f>"－"</f>
        <v>－</v>
      </c>
      <c r="J869" s="10"/>
      <c r="K869" s="11" t="str">
        <f>"－"</f>
        <v>－</v>
      </c>
    </row>
    <row r="870">
      <c r="A870" s="8" t="s">
        <v>47</v>
      </c>
      <c r="B870" s="9" t="s">
        <v>104</v>
      </c>
      <c r="C870" s="9" t="s">
        <v>105</v>
      </c>
      <c r="D870" s="10"/>
      <c r="E870" s="11"/>
      <c r="F870" s="10"/>
      <c r="G870" s="11"/>
      <c r="H870" s="10"/>
      <c r="I870" s="11"/>
      <c r="J870" s="10"/>
      <c r="K870" s="11"/>
    </row>
    <row r="871">
      <c r="A871" s="8" t="s">
        <v>48</v>
      </c>
      <c r="B871" s="9" t="s">
        <v>104</v>
      </c>
      <c r="C871" s="9" t="s">
        <v>105</v>
      </c>
      <c r="D871" s="10"/>
      <c r="E871" s="11"/>
      <c r="F871" s="10"/>
      <c r="G871" s="11"/>
      <c r="H871" s="10"/>
      <c r="I871" s="11"/>
      <c r="J871" s="10"/>
      <c r="K871" s="11"/>
    </row>
    <row r="872">
      <c r="A872" s="8" t="s">
        <v>49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50</v>
      </c>
      <c r="B873" s="9" t="s">
        <v>104</v>
      </c>
      <c r="C873" s="9" t="s">
        <v>105</v>
      </c>
      <c r="D873" s="10"/>
      <c r="E873" s="11"/>
      <c r="F873" s="10"/>
      <c r="G873" s="11"/>
      <c r="H873" s="10"/>
      <c r="I873" s="11"/>
      <c r="J873" s="10"/>
      <c r="K873" s="11"/>
    </row>
    <row r="874">
      <c r="A874" s="8" t="s">
        <v>16</v>
      </c>
      <c r="B874" s="9" t="s">
        <v>106</v>
      </c>
      <c r="C874" s="9" t="s">
        <v>107</v>
      </c>
      <c r="D874" s="10"/>
      <c r="E874" s="11"/>
      <c r="F874" s="10"/>
      <c r="G874" s="11"/>
      <c r="H874" s="10"/>
      <c r="I874" s="11"/>
      <c r="J874" s="10"/>
      <c r="K874" s="11"/>
    </row>
    <row r="875">
      <c r="A875" s="8" t="s">
        <v>19</v>
      </c>
      <c r="B875" s="9" t="s">
        <v>106</v>
      </c>
      <c r="C875" s="9" t="s">
        <v>107</v>
      </c>
      <c r="D875" s="10" t="s">
        <v>20</v>
      </c>
      <c r="E875" s="11" t="str">
        <f>"－"</f>
        <v>－</v>
      </c>
      <c r="F875" s="10" t="s">
        <v>20</v>
      </c>
      <c r="G875" s="11" t="str">
        <f>"－"</f>
        <v>－</v>
      </c>
      <c r="H875" s="10" t="s">
        <v>53</v>
      </c>
      <c r="I875" s="11" t="str">
        <f>"－"</f>
        <v>－</v>
      </c>
      <c r="J875" s="10" t="s">
        <v>20</v>
      </c>
      <c r="K875" s="11" t="str">
        <f>"－"</f>
        <v>－</v>
      </c>
    </row>
    <row r="876">
      <c r="A876" s="8" t="s">
        <v>21</v>
      </c>
      <c r="B876" s="9" t="s">
        <v>106</v>
      </c>
      <c r="C876" s="9" t="s">
        <v>107</v>
      </c>
      <c r="D876" s="10"/>
      <c r="E876" s="11" t="str">
        <f>"－"</f>
        <v>－</v>
      </c>
      <c r="F876" s="10"/>
      <c r="G876" s="11" t="str">
        <f>"－"</f>
        <v>－</v>
      </c>
      <c r="H876" s="10"/>
      <c r="I876" s="11" t="str">
        <f>"－"</f>
        <v>－</v>
      </c>
      <c r="J876" s="10"/>
      <c r="K876" s="11" t="str">
        <f>"－"</f>
        <v>－</v>
      </c>
    </row>
    <row r="877">
      <c r="A877" s="8" t="s">
        <v>22</v>
      </c>
      <c r="B877" s="9" t="s">
        <v>106</v>
      </c>
      <c r="C877" s="9" t="s">
        <v>107</v>
      </c>
      <c r="D877" s="10"/>
      <c r="E877" s="11" t="str">
        <f>"－"</f>
        <v>－</v>
      </c>
      <c r="F877" s="10"/>
      <c r="G877" s="11" t="str">
        <f>"－"</f>
        <v>－</v>
      </c>
      <c r="H877" s="10"/>
      <c r="I877" s="11" t="str">
        <f>"－"</f>
        <v>－</v>
      </c>
      <c r="J877" s="10"/>
      <c r="K877" s="11" t="str">
        <f>"－"</f>
        <v>－</v>
      </c>
    </row>
    <row r="878">
      <c r="A878" s="8" t="s">
        <v>23</v>
      </c>
      <c r="B878" s="9" t="s">
        <v>106</v>
      </c>
      <c r="C878" s="9" t="s">
        <v>107</v>
      </c>
      <c r="D878" s="10"/>
      <c r="E878" s="11" t="str">
        <f>"－"</f>
        <v>－</v>
      </c>
      <c r="F878" s="10"/>
      <c r="G878" s="11" t="str">
        <f>"－"</f>
        <v>－</v>
      </c>
      <c r="H878" s="10"/>
      <c r="I878" s="11" t="str">
        <f>"－"</f>
        <v>－</v>
      </c>
      <c r="J878" s="10"/>
      <c r="K878" s="11" t="str">
        <f>"－"</f>
        <v>－</v>
      </c>
    </row>
    <row r="879">
      <c r="A879" s="8" t="s">
        <v>24</v>
      </c>
      <c r="B879" s="9" t="s">
        <v>106</v>
      </c>
      <c r="C879" s="9" t="s">
        <v>107</v>
      </c>
      <c r="D879" s="10"/>
      <c r="E879" s="11" t="str">
        <f>"－"</f>
        <v>－</v>
      </c>
      <c r="F879" s="10"/>
      <c r="G879" s="11" t="str">
        <f>"－"</f>
        <v>－</v>
      </c>
      <c r="H879" s="10"/>
      <c r="I879" s="11" t="str">
        <f>"－"</f>
        <v>－</v>
      </c>
      <c r="J879" s="10"/>
      <c r="K879" s="11" t="str">
        <f>"－"</f>
        <v>－</v>
      </c>
    </row>
    <row r="880">
      <c r="A880" s="8" t="s">
        <v>25</v>
      </c>
      <c r="B880" s="9" t="s">
        <v>106</v>
      </c>
      <c r="C880" s="9" t="s">
        <v>107</v>
      </c>
      <c r="D880" s="10"/>
      <c r="E880" s="11"/>
      <c r="F880" s="10"/>
      <c r="G880" s="11"/>
      <c r="H880" s="10"/>
      <c r="I880" s="11"/>
      <c r="J880" s="10"/>
      <c r="K880" s="11"/>
    </row>
    <row r="881">
      <c r="A881" s="8" t="s">
        <v>26</v>
      </c>
      <c r="B881" s="9" t="s">
        <v>106</v>
      </c>
      <c r="C881" s="9" t="s">
        <v>107</v>
      </c>
      <c r="D881" s="10"/>
      <c r="E881" s="11"/>
      <c r="F881" s="10"/>
      <c r="G881" s="11"/>
      <c r="H881" s="10"/>
      <c r="I881" s="11"/>
      <c r="J881" s="10"/>
      <c r="K881" s="11"/>
    </row>
    <row r="882">
      <c r="A882" s="8" t="s">
        <v>27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28</v>
      </c>
      <c r="B883" s="9" t="s">
        <v>106</v>
      </c>
      <c r="C883" s="9" t="s">
        <v>107</v>
      </c>
      <c r="D883" s="10"/>
      <c r="E883" s="11" t="str">
        <f>"－"</f>
        <v>－</v>
      </c>
      <c r="F883" s="10"/>
      <c r="G883" s="11" t="str">
        <f>"－"</f>
        <v>－</v>
      </c>
      <c r="H883" s="10"/>
      <c r="I883" s="11" t="str">
        <f>"－"</f>
        <v>－</v>
      </c>
      <c r="J883" s="10"/>
      <c r="K883" s="11" t="str">
        <f>"－"</f>
        <v>－</v>
      </c>
    </row>
    <row r="884">
      <c r="A884" s="8" t="s">
        <v>29</v>
      </c>
      <c r="B884" s="9" t="s">
        <v>106</v>
      </c>
      <c r="C884" s="9" t="s">
        <v>107</v>
      </c>
      <c r="D884" s="10"/>
      <c r="E884" s="11" t="str">
        <f>"－"</f>
        <v>－</v>
      </c>
      <c r="F884" s="10"/>
      <c r="G884" s="11" t="str">
        <f>"－"</f>
        <v>－</v>
      </c>
      <c r="H884" s="10"/>
      <c r="I884" s="11" t="str">
        <f>"－"</f>
        <v>－</v>
      </c>
      <c r="J884" s="10"/>
      <c r="K884" s="11" t="str">
        <f>"－"</f>
        <v>－</v>
      </c>
    </row>
    <row r="885">
      <c r="A885" s="8" t="s">
        <v>31</v>
      </c>
      <c r="B885" s="9" t="s">
        <v>106</v>
      </c>
      <c r="C885" s="9" t="s">
        <v>107</v>
      </c>
      <c r="D885" s="10"/>
      <c r="E885" s="11" t="str">
        <f>"－"</f>
        <v>－</v>
      </c>
      <c r="F885" s="10"/>
      <c r="G885" s="11" t="str">
        <f>"－"</f>
        <v>－</v>
      </c>
      <c r="H885" s="10"/>
      <c r="I885" s="11" t="str">
        <f>"－"</f>
        <v>－</v>
      </c>
      <c r="J885" s="10"/>
      <c r="K885" s="11" t="str">
        <f>"－"</f>
        <v>－</v>
      </c>
    </row>
    <row r="886">
      <c r="A886" s="8" t="s">
        <v>32</v>
      </c>
      <c r="B886" s="9" t="s">
        <v>106</v>
      </c>
      <c r="C886" s="9" t="s">
        <v>107</v>
      </c>
      <c r="D886" s="10"/>
      <c r="E886" s="11" t="str">
        <f>"－"</f>
        <v>－</v>
      </c>
      <c r="F886" s="10"/>
      <c r="G886" s="11" t="str">
        <f>"－"</f>
        <v>－</v>
      </c>
      <c r="H886" s="10"/>
      <c r="I886" s="11" t="str">
        <f>"－"</f>
        <v>－</v>
      </c>
      <c r="J886" s="10"/>
      <c r="K886" s="11" t="str">
        <f>"－"</f>
        <v>－</v>
      </c>
    </row>
    <row r="887">
      <c r="A887" s="8" t="s">
        <v>33</v>
      </c>
      <c r="B887" s="9" t="s">
        <v>106</v>
      </c>
      <c r="C887" s="9" t="s">
        <v>107</v>
      </c>
      <c r="D887" s="10"/>
      <c r="E887" s="11"/>
      <c r="F887" s="10"/>
      <c r="G887" s="11"/>
      <c r="H887" s="10"/>
      <c r="I887" s="11"/>
      <c r="J887" s="10"/>
      <c r="K887" s="11"/>
    </row>
    <row r="888">
      <c r="A888" s="8" t="s">
        <v>34</v>
      </c>
      <c r="B888" s="9" t="s">
        <v>106</v>
      </c>
      <c r="C888" s="9" t="s">
        <v>107</v>
      </c>
      <c r="D888" s="10"/>
      <c r="E888" s="11"/>
      <c r="F888" s="10"/>
      <c r="G888" s="11"/>
      <c r="H888" s="10"/>
      <c r="I888" s="11"/>
      <c r="J888" s="10"/>
      <c r="K888" s="11"/>
    </row>
    <row r="889">
      <c r="A889" s="8" t="s">
        <v>35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36</v>
      </c>
      <c r="B890" s="9" t="s">
        <v>106</v>
      </c>
      <c r="C890" s="9" t="s">
        <v>107</v>
      </c>
      <c r="D890" s="10"/>
      <c r="E890" s="11" t="str">
        <f>"－"</f>
        <v>－</v>
      </c>
      <c r="F890" s="10"/>
      <c r="G890" s="11" t="str">
        <f>"－"</f>
        <v>－</v>
      </c>
      <c r="H890" s="10"/>
      <c r="I890" s="11" t="str">
        <f>"－"</f>
        <v>－</v>
      </c>
      <c r="J890" s="10"/>
      <c r="K890" s="11" t="str">
        <f>"－"</f>
        <v>－</v>
      </c>
    </row>
    <row r="891">
      <c r="A891" s="8" t="s">
        <v>37</v>
      </c>
      <c r="B891" s="9" t="s">
        <v>106</v>
      </c>
      <c r="C891" s="9" t="s">
        <v>107</v>
      </c>
      <c r="D891" s="10"/>
      <c r="E891" s="11" t="n">
        <f>2</f>
        <v>2.0</v>
      </c>
      <c r="F891" s="10"/>
      <c r="G891" s="11" t="n">
        <f>1780000</f>
        <v>1780000.0</v>
      </c>
      <c r="H891" s="10"/>
      <c r="I891" s="11" t="str">
        <f>"－"</f>
        <v>－</v>
      </c>
      <c r="J891" s="10"/>
      <c r="K891" s="11" t="n">
        <f>2</f>
        <v>2.0</v>
      </c>
    </row>
    <row r="892">
      <c r="A892" s="8" t="s">
        <v>38</v>
      </c>
      <c r="B892" s="9" t="s">
        <v>106</v>
      </c>
      <c r="C892" s="9" t="s">
        <v>107</v>
      </c>
      <c r="D892" s="10"/>
      <c r="E892" s="11" t="n">
        <f>2</f>
        <v>2.0</v>
      </c>
      <c r="F892" s="10"/>
      <c r="G892" s="11" t="n">
        <f>1780000</f>
        <v>1780000.0</v>
      </c>
      <c r="H892" s="10"/>
      <c r="I892" s="11" t="str">
        <f>"－"</f>
        <v>－</v>
      </c>
      <c r="J892" s="10"/>
      <c r="K892" s="11" t="n">
        <f>4</f>
        <v>4.0</v>
      </c>
    </row>
    <row r="893">
      <c r="A893" s="8" t="s">
        <v>39</v>
      </c>
      <c r="B893" s="9" t="s">
        <v>106</v>
      </c>
      <c r="C893" s="9" t="s">
        <v>107</v>
      </c>
      <c r="D893" s="10"/>
      <c r="E893" s="11" t="n">
        <f>7</f>
        <v>7.0</v>
      </c>
      <c r="F893" s="10"/>
      <c r="G893" s="11" t="n">
        <f>6370000</f>
        <v>6370000.0</v>
      </c>
      <c r="H893" s="10"/>
      <c r="I893" s="11" t="str">
        <f>"－"</f>
        <v>－</v>
      </c>
      <c r="J893" s="10"/>
      <c r="K893" s="11" t="n">
        <f>11</f>
        <v>11.0</v>
      </c>
    </row>
    <row r="894">
      <c r="A894" s="8" t="s">
        <v>40</v>
      </c>
      <c r="B894" s="9" t="s">
        <v>106</v>
      </c>
      <c r="C894" s="9" t="s">
        <v>107</v>
      </c>
      <c r="D894" s="10"/>
      <c r="E894" s="11"/>
      <c r="F894" s="10"/>
      <c r="G894" s="11"/>
      <c r="H894" s="10"/>
      <c r="I894" s="11"/>
      <c r="J894" s="10"/>
      <c r="K894" s="11"/>
    </row>
    <row r="895">
      <c r="A895" s="8" t="s">
        <v>41</v>
      </c>
      <c r="B895" s="9" t="s">
        <v>106</v>
      </c>
      <c r="C895" s="9" t="s">
        <v>107</v>
      </c>
      <c r="D895" s="10"/>
      <c r="E895" s="11"/>
      <c r="F895" s="10"/>
      <c r="G895" s="11"/>
      <c r="H895" s="10"/>
      <c r="I895" s="11"/>
      <c r="J895" s="10"/>
      <c r="K895" s="11"/>
    </row>
    <row r="896">
      <c r="A896" s="8" t="s">
        <v>42</v>
      </c>
      <c r="B896" s="9" t="s">
        <v>106</v>
      </c>
      <c r="C896" s="9" t="s">
        <v>107</v>
      </c>
      <c r="D896" s="10"/>
      <c r="E896" s="11" t="n">
        <f>9</f>
        <v>9.0</v>
      </c>
      <c r="F896" s="10"/>
      <c r="G896" s="11" t="n">
        <f>8186000</f>
        <v>8186000.0</v>
      </c>
      <c r="H896" s="10"/>
      <c r="I896" s="11" t="str">
        <f>"－"</f>
        <v>－</v>
      </c>
      <c r="J896" s="10"/>
      <c r="K896" s="11" t="n">
        <f>20</f>
        <v>20.0</v>
      </c>
    </row>
    <row r="897">
      <c r="A897" s="8" t="s">
        <v>43</v>
      </c>
      <c r="B897" s="9" t="s">
        <v>106</v>
      </c>
      <c r="C897" s="9" t="s">
        <v>107</v>
      </c>
      <c r="D897" s="10"/>
      <c r="E897" s="11" t="n">
        <f>6</f>
        <v>6.0</v>
      </c>
      <c r="F897" s="10"/>
      <c r="G897" s="11" t="n">
        <f>5400000</f>
        <v>5400000.0</v>
      </c>
      <c r="H897" s="10"/>
      <c r="I897" s="11" t="str">
        <f>"－"</f>
        <v>－</v>
      </c>
      <c r="J897" s="10"/>
      <c r="K897" s="11" t="n">
        <f>26</f>
        <v>26.0</v>
      </c>
    </row>
    <row r="898">
      <c r="A898" s="8" t="s">
        <v>44</v>
      </c>
      <c r="B898" s="9" t="s">
        <v>106</v>
      </c>
      <c r="C898" s="9" t="s">
        <v>107</v>
      </c>
      <c r="D898" s="10" t="s">
        <v>30</v>
      </c>
      <c r="E898" s="11" t="n">
        <f>18</f>
        <v>18.0</v>
      </c>
      <c r="F898" s="10" t="s">
        <v>30</v>
      </c>
      <c r="G898" s="11" t="n">
        <f>15940000</f>
        <v>1.594E7</v>
      </c>
      <c r="H898" s="10"/>
      <c r="I898" s="11" t="str">
        <f>"－"</f>
        <v>－</v>
      </c>
      <c r="J898" s="10" t="s">
        <v>30</v>
      </c>
      <c r="K898" s="11" t="n">
        <f>40</f>
        <v>40.0</v>
      </c>
    </row>
    <row r="899">
      <c r="A899" s="8" t="s">
        <v>45</v>
      </c>
      <c r="B899" s="9" t="s">
        <v>106</v>
      </c>
      <c r="C899" s="9" t="s">
        <v>107</v>
      </c>
      <c r="D899" s="10"/>
      <c r="E899" s="11" t="str">
        <f>"－"</f>
        <v>－</v>
      </c>
      <c r="F899" s="10"/>
      <c r="G899" s="11" t="str">
        <f>"－"</f>
        <v>－</v>
      </c>
      <c r="H899" s="10"/>
      <c r="I899" s="11" t="str">
        <f>"－"</f>
        <v>－</v>
      </c>
      <c r="J899" s="10"/>
      <c r="K899" s="11" t="str">
        <f>"－"</f>
        <v>－</v>
      </c>
    </row>
    <row r="900">
      <c r="A900" s="8" t="s">
        <v>46</v>
      </c>
      <c r="B900" s="9" t="s">
        <v>106</v>
      </c>
      <c r="C900" s="9" t="s">
        <v>107</v>
      </c>
      <c r="D900" s="10"/>
      <c r="E900" s="11" t="str">
        <f>"－"</f>
        <v>－</v>
      </c>
      <c r="F900" s="10"/>
      <c r="G900" s="11" t="str">
        <f>"－"</f>
        <v>－</v>
      </c>
      <c r="H900" s="10"/>
      <c r="I900" s="11" t="str">
        <f>"－"</f>
        <v>－</v>
      </c>
      <c r="J900" s="10"/>
      <c r="K900" s="11" t="str">
        <f>"－"</f>
        <v>－</v>
      </c>
    </row>
    <row r="901">
      <c r="A901" s="8" t="s">
        <v>47</v>
      </c>
      <c r="B901" s="9" t="s">
        <v>106</v>
      </c>
      <c r="C901" s="9" t="s">
        <v>107</v>
      </c>
      <c r="D901" s="10"/>
      <c r="E901" s="11"/>
      <c r="F901" s="10"/>
      <c r="G901" s="11"/>
      <c r="H901" s="10"/>
      <c r="I901" s="11"/>
      <c r="J901" s="10"/>
      <c r="K901" s="11"/>
    </row>
    <row r="902">
      <c r="A902" s="8" t="s">
        <v>48</v>
      </c>
      <c r="B902" s="9" t="s">
        <v>106</v>
      </c>
      <c r="C902" s="9" t="s">
        <v>107</v>
      </c>
      <c r="D902" s="10"/>
      <c r="E902" s="11"/>
      <c r="F902" s="10"/>
      <c r="G902" s="11"/>
      <c r="H902" s="10"/>
      <c r="I902" s="11"/>
      <c r="J902" s="10"/>
      <c r="K902" s="11"/>
    </row>
    <row r="903">
      <c r="A903" s="8" t="s">
        <v>49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50</v>
      </c>
      <c r="B904" s="9" t="s">
        <v>106</v>
      </c>
      <c r="C904" s="9" t="s">
        <v>107</v>
      </c>
      <c r="D904" s="10"/>
      <c r="E904" s="11"/>
      <c r="F904" s="10"/>
      <c r="G904" s="11"/>
      <c r="H904" s="10"/>
      <c r="I904" s="11"/>
      <c r="J904" s="10"/>
      <c r="K904" s="11"/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