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<sst xmlns="http://schemas.openxmlformats.org/spreadsheetml/2006/main" count="2033" uniqueCount="91">
  <si>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</si>
  <si>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</si>
  <si>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</si>
  <si>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</si>
  <si>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</si>
  <si>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</si>
  <si>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</si>
  <si>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</si>
  <si>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</si>
  <si>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</si>
  <si>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</si>
  <si>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</si>
  <si>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</si>
  <si>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</si>
  <si>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</si>
  <si>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</si>
  <si>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4.1</t>
  </si>
  <si>
    <t>日経225先物</t>
  </si>
  <si>
    <t>Nikkei 225 Futures</t>
  </si>
  <si>
    <t>2</t>
  </si>
  <si>
    <t>3</t>
  </si>
  <si>
    <t>4</t>
  </si>
  <si>
    <t>5</t>
  </si>
  <si>
    <t>6</t>
  </si>
  <si>
    <t>7</t>
  </si>
  <si>
    <t>8</t>
  </si>
  <si>
    <t>9</t>
  </si>
  <si>
    <t>●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</si>
  <si>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</si>
  <si>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</si>
  <si>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</si>
  <si>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</si>
  <si>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</si>
  <si>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</si>
  <si>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</si>
  <si>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</si>
  <si>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</si>
  <si>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</si>
  <si>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◎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</si>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</sst>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35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70978</f>
        <v>70978.0</v>
      </c>
      <c r="F6" s="10"/>
      <c r="G6" s="2" t="n">
        <f>2846000405390</f>
        <v>2.84600040539E12</v>
      </c>
      <c r="H6" s="10"/>
      <c r="I6" s="2" t="n">
        <f>8461</f>
        <v>8461.0</v>
      </c>
      <c r="J6" s="10"/>
      <c r="K6" s="2" t="n">
        <f>276962</f>
        <v>276962.0</v>
      </c>
    </row>
    <row r="7">
      <c r="A7" s="8" t="s">
        <v>19</v>
      </c>
      <c r="B7" s="9" t="s">
        <v>17</v>
      </c>
      <c r="C7" s="9" t="s">
        <v>18</v>
      </c>
      <c r="D7" s="10"/>
      <c r="E7" s="2" t="n">
        <f>61268</f>
        <v>61268.0</v>
      </c>
      <c r="F7" s="10"/>
      <c r="G7" s="2" t="n">
        <f>2446718072553</f>
        <v>2.446718072553E12</v>
      </c>
      <c r="H7" s="10"/>
      <c r="I7" s="2" t="n">
        <f>8410</f>
        <v>8410.0</v>
      </c>
      <c r="J7" s="10"/>
      <c r="K7" s="2" t="n">
        <f>275858</f>
        <v>275858.0</v>
      </c>
    </row>
    <row r="8">
      <c r="A8" s="8" t="s">
        <v>20</v>
      </c>
      <c r="B8" s="9" t="s">
        <v>17</v>
      </c>
      <c r="C8" s="9" t="s">
        <v>18</v>
      </c>
      <c r="D8" s="10"/>
      <c r="E8" s="2" t="n">
        <f>67651</f>
        <v>67651.0</v>
      </c>
      <c r="F8" s="10"/>
      <c r="G8" s="2" t="n">
        <f>2674456146759</f>
        <v>2.674456146759E12</v>
      </c>
      <c r="H8" s="10"/>
      <c r="I8" s="2" t="n">
        <f>7956</f>
        <v>7956.0</v>
      </c>
      <c r="J8" s="10"/>
      <c r="K8" s="2" t="n">
        <f>276138</f>
        <v>276138.0</v>
      </c>
    </row>
    <row r="9">
      <c r="A9" s="8" t="s">
        <v>21</v>
      </c>
      <c r="B9" s="9" t="s">
        <v>17</v>
      </c>
      <c r="C9" s="9" t="s">
        <v>18</v>
      </c>
      <c r="D9" s="10"/>
      <c r="E9" s="2" t="n">
        <f>73872</f>
        <v>73872.0</v>
      </c>
      <c r="F9" s="10"/>
      <c r="G9" s="2" t="n">
        <f>2954030647930</f>
        <v>2.95403064793E12</v>
      </c>
      <c r="H9" s="10"/>
      <c r="I9" s="2" t="n">
        <f>10516</f>
        <v>10516.0</v>
      </c>
      <c r="J9" s="10"/>
      <c r="K9" s="2" t="n">
        <f>277496</f>
        <v>277496.0</v>
      </c>
    </row>
    <row r="10">
      <c r="A10" s="8" t="s">
        <v>22</v>
      </c>
      <c r="B10" s="9" t="s">
        <v>17</v>
      </c>
      <c r="C10" s="9" t="s">
        <v>18</v>
      </c>
      <c r="D10" s="10"/>
      <c r="E10" s="2" t="n">
        <f>91182</f>
        <v>91182.0</v>
      </c>
      <c r="F10" s="10"/>
      <c r="G10" s="2" t="n">
        <f>3569329472956</f>
        <v>3.569329472956E12</v>
      </c>
      <c r="H10" s="10"/>
      <c r="I10" s="2" t="n">
        <f>12754</f>
        <v>12754.0</v>
      </c>
      <c r="J10" s="10"/>
      <c r="K10" s="2" t="n">
        <f>276664</f>
        <v>276664.0</v>
      </c>
    </row>
    <row r="11">
      <c r="A11" s="8" t="s">
        <v>23</v>
      </c>
      <c r="B11" s="9" t="s">
        <v>17</v>
      </c>
      <c r="C11" s="9" t="s">
        <v>18</v>
      </c>
      <c r="D11" s="10"/>
      <c r="E11" s="2"/>
      <c r="F11" s="10"/>
      <c r="G11" s="2"/>
      <c r="H11" s="10"/>
      <c r="I11" s="2"/>
      <c r="J11" s="10"/>
      <c r="K11" s="2"/>
    </row>
    <row r="12">
      <c r="A12" s="8" t="s">
        <v>24</v>
      </c>
      <c r="B12" s="9" t="s">
        <v>17</v>
      </c>
      <c r="C12" s="9" t="s">
        <v>18</v>
      </c>
      <c r="D12" s="10"/>
      <c r="E12" s="2"/>
      <c r="F12" s="10"/>
      <c r="G12" s="2"/>
      <c r="H12" s="10"/>
      <c r="I12" s="2"/>
      <c r="J12" s="10"/>
      <c r="K12" s="2"/>
    </row>
    <row r="13">
      <c r="A13" s="8" t="s">
        <v>25</v>
      </c>
      <c r="B13" s="9" t="s">
        <v>17</v>
      </c>
      <c r="C13" s="9" t="s">
        <v>18</v>
      </c>
      <c r="D13" s="10"/>
      <c r="E13" s="2" t="n">
        <f>82701</f>
        <v>82701.0</v>
      </c>
      <c r="F13" s="10"/>
      <c r="G13" s="2" t="n">
        <f>3252611325145</f>
        <v>3.252611325145E12</v>
      </c>
      <c r="H13" s="10"/>
      <c r="I13" s="2" t="n">
        <f>10772</f>
        <v>10772.0</v>
      </c>
      <c r="J13" s="10"/>
      <c r="K13" s="2" t="n">
        <f>278773</f>
        <v>278773.0</v>
      </c>
    </row>
    <row r="14">
      <c r="A14" s="8" t="s">
        <v>26</v>
      </c>
      <c r="B14" s="9" t="s">
        <v>17</v>
      </c>
      <c r="C14" s="9" t="s">
        <v>18</v>
      </c>
      <c r="D14" s="10" t="s">
        <v>27</v>
      </c>
      <c r="E14" s="2" t="n">
        <f>47999</f>
        <v>47999.0</v>
      </c>
      <c r="F14" s="10" t="s">
        <v>27</v>
      </c>
      <c r="G14" s="2" t="n">
        <f>1900067718408</f>
        <v>1.900067718408E12</v>
      </c>
      <c r="H14" s="10" t="s">
        <v>27</v>
      </c>
      <c r="I14" s="2" t="n">
        <f>6057</f>
        <v>6057.0</v>
      </c>
      <c r="J14" s="10"/>
      <c r="K14" s="2" t="n">
        <f>278065</f>
        <v>278065.0</v>
      </c>
    </row>
    <row r="15">
      <c r="A15" s="8" t="s">
        <v>28</v>
      </c>
      <c r="B15" s="9" t="s">
        <v>17</v>
      </c>
      <c r="C15" s="9" t="s">
        <v>18</v>
      </c>
      <c r="D15" s="10"/>
      <c r="E15" s="2" t="n">
        <f>54969</f>
        <v>54969.0</v>
      </c>
      <c r="F15" s="10"/>
      <c r="G15" s="2" t="n">
        <f>2176753478700</f>
        <v>2.1767534787E12</v>
      </c>
      <c r="H15" s="10"/>
      <c r="I15" s="2" t="n">
        <f>7469</f>
        <v>7469.0</v>
      </c>
      <c r="J15" s="10"/>
      <c r="K15" s="2" t="n">
        <f>277717</f>
        <v>277717.0</v>
      </c>
    </row>
    <row r="16">
      <c r="A16" s="8" t="s">
        <v>29</v>
      </c>
      <c r="B16" s="9" t="s">
        <v>17</v>
      </c>
      <c r="C16" s="9" t="s">
        <v>18</v>
      </c>
      <c r="D16" s="10"/>
      <c r="E16" s="2" t="n">
        <f>68603</f>
        <v>68603.0</v>
      </c>
      <c r="F16" s="10"/>
      <c r="G16" s="2" t="n">
        <f>2696430041894</f>
        <v>2.696430041894E12</v>
      </c>
      <c r="H16" s="10"/>
      <c r="I16" s="2" t="n">
        <f>7602</f>
        <v>7602.0</v>
      </c>
      <c r="J16" s="10"/>
      <c r="K16" s="2" t="n">
        <f>277610</f>
        <v>277610.0</v>
      </c>
    </row>
    <row r="17">
      <c r="A17" s="8" t="s">
        <v>30</v>
      </c>
      <c r="B17" s="9" t="s">
        <v>17</v>
      </c>
      <c r="C17" s="9" t="s">
        <v>18</v>
      </c>
      <c r="D17" s="10"/>
      <c r="E17" s="2" t="n">
        <f>61706</f>
        <v>61706.0</v>
      </c>
      <c r="F17" s="10"/>
      <c r="G17" s="2" t="n">
        <f>2439102916194</f>
        <v>2.439102916194E12</v>
      </c>
      <c r="H17" s="10"/>
      <c r="I17" s="2" t="n">
        <f>7840</f>
        <v>7840.0</v>
      </c>
      <c r="J17" s="10"/>
      <c r="K17" s="2" t="n">
        <f>279113</f>
        <v>279113.0</v>
      </c>
    </row>
    <row r="18">
      <c r="A18" s="8" t="s">
        <v>31</v>
      </c>
      <c r="B18" s="9" t="s">
        <v>17</v>
      </c>
      <c r="C18" s="9" t="s">
        <v>18</v>
      </c>
      <c r="D18" s="10"/>
      <c r="E18" s="2"/>
      <c r="F18" s="10"/>
      <c r="G18" s="2"/>
      <c r="H18" s="10"/>
      <c r="I18" s="2"/>
      <c r="J18" s="10"/>
      <c r="K18" s="2"/>
    </row>
    <row r="19">
      <c r="A19" s="8" t="s">
        <v>32</v>
      </c>
      <c r="B19" s="9" t="s">
        <v>17</v>
      </c>
      <c r="C19" s="9" t="s">
        <v>18</v>
      </c>
      <c r="D19" s="10"/>
      <c r="E19" s="2"/>
      <c r="F19" s="10"/>
      <c r="G19" s="2"/>
      <c r="H19" s="10"/>
      <c r="I19" s="2"/>
      <c r="J19" s="10"/>
      <c r="K19" s="2"/>
    </row>
    <row r="20">
      <c r="A20" s="8" t="s">
        <v>33</v>
      </c>
      <c r="B20" s="9" t="s">
        <v>17</v>
      </c>
      <c r="C20" s="9" t="s">
        <v>18</v>
      </c>
      <c r="D20" s="10"/>
      <c r="E20" s="2" t="n">
        <f>70408</f>
        <v>70408.0</v>
      </c>
      <c r="F20" s="10"/>
      <c r="G20" s="2" t="n">
        <f>2752290751632</f>
        <v>2.752290751632E12</v>
      </c>
      <c r="H20" s="10"/>
      <c r="I20" s="2" t="n">
        <f>9253</f>
        <v>9253.0</v>
      </c>
      <c r="J20" s="10" t="s">
        <v>27</v>
      </c>
      <c r="K20" s="2" t="n">
        <f>275162</f>
        <v>275162.0</v>
      </c>
    </row>
    <row r="21">
      <c r="A21" s="8" t="s">
        <v>34</v>
      </c>
      <c r="B21" s="9" t="s">
        <v>17</v>
      </c>
      <c r="C21" s="9" t="s">
        <v>18</v>
      </c>
      <c r="D21" s="10"/>
      <c r="E21" s="2" t="n">
        <f>80054</f>
        <v>80054.0</v>
      </c>
      <c r="F21" s="10"/>
      <c r="G21" s="2" t="n">
        <f>3097377332520</f>
        <v>3.09737733252E12</v>
      </c>
      <c r="H21" s="10"/>
      <c r="I21" s="2" t="n">
        <f>11126</f>
        <v>11126.0</v>
      </c>
      <c r="J21" s="10"/>
      <c r="K21" s="2" t="n">
        <f>277006</f>
        <v>277006.0</v>
      </c>
    </row>
    <row r="22">
      <c r="A22" s="8" t="s">
        <v>35</v>
      </c>
      <c r="B22" s="9" t="s">
        <v>17</v>
      </c>
      <c r="C22" s="9" t="s">
        <v>18</v>
      </c>
      <c r="D22" s="10"/>
      <c r="E22" s="2" t="n">
        <f>82582</f>
        <v>82582.0</v>
      </c>
      <c r="F22" s="10"/>
      <c r="G22" s="2" t="n">
        <f>3164923044450</f>
        <v>3.16492304445E12</v>
      </c>
      <c r="H22" s="10"/>
      <c r="I22" s="2" t="n">
        <f>10495</f>
        <v>10495.0</v>
      </c>
      <c r="J22" s="10"/>
      <c r="K22" s="2" t="n">
        <f>281099</f>
        <v>281099.0</v>
      </c>
    </row>
    <row r="23">
      <c r="A23" s="8" t="s">
        <v>36</v>
      </c>
      <c r="B23" s="9" t="s">
        <v>17</v>
      </c>
      <c r="C23" s="9" t="s">
        <v>18</v>
      </c>
      <c r="D23" s="10"/>
      <c r="E23" s="2" t="n">
        <f>85355</f>
        <v>85355.0</v>
      </c>
      <c r="F23" s="10"/>
      <c r="G23" s="2" t="n">
        <f>3240944394488</f>
        <v>3.240944394488E12</v>
      </c>
      <c r="H23" s="10"/>
      <c r="I23" s="2" t="n">
        <f>10738</f>
        <v>10738.0</v>
      </c>
      <c r="J23" s="10"/>
      <c r="K23" s="2" t="n">
        <f>283418</f>
        <v>283418.0</v>
      </c>
    </row>
    <row r="24">
      <c r="A24" s="8" t="s">
        <v>37</v>
      </c>
      <c r="B24" s="9" t="s">
        <v>17</v>
      </c>
      <c r="C24" s="9" t="s">
        <v>18</v>
      </c>
      <c r="D24" s="10" t="s">
        <v>38</v>
      </c>
      <c r="E24" s="2" t="n">
        <f>136529</f>
        <v>136529.0</v>
      </c>
      <c r="F24" s="10" t="s">
        <v>38</v>
      </c>
      <c r="G24" s="2" t="n">
        <f>5085514854324</f>
        <v>5.085514854324E12</v>
      </c>
      <c r="H24" s="10" t="s">
        <v>38</v>
      </c>
      <c r="I24" s="2" t="n">
        <f>15421</f>
        <v>15421.0</v>
      </c>
      <c r="J24" s="10"/>
      <c r="K24" s="2" t="n">
        <f>282183</f>
        <v>282183.0</v>
      </c>
    </row>
    <row r="25">
      <c r="A25" s="8" t="s">
        <v>39</v>
      </c>
      <c r="B25" s="9" t="s">
        <v>17</v>
      </c>
      <c r="C25" s="9" t="s">
        <v>18</v>
      </c>
      <c r="D25" s="10"/>
      <c r="E25" s="2"/>
      <c r="F25" s="10"/>
      <c r="G25" s="2"/>
      <c r="H25" s="10"/>
      <c r="I25" s="2"/>
      <c r="J25" s="10"/>
      <c r="K25" s="2"/>
    </row>
    <row r="26">
      <c r="A26" s="8" t="s">
        <v>40</v>
      </c>
      <c r="B26" s="9" t="s">
        <v>17</v>
      </c>
      <c r="C26" s="9" t="s">
        <v>18</v>
      </c>
      <c r="D26" s="10"/>
      <c r="E26" s="2"/>
      <c r="F26" s="10"/>
      <c r="G26" s="2"/>
      <c r="H26" s="10"/>
      <c r="I26" s="2"/>
      <c r="J26" s="10"/>
      <c r="K26" s="2"/>
    </row>
    <row r="27">
      <c r="A27" s="8" t="s">
        <v>41</v>
      </c>
      <c r="B27" s="9" t="s">
        <v>17</v>
      </c>
      <c r="C27" s="9" t="s">
        <v>18</v>
      </c>
      <c r="D27" s="10"/>
      <c r="E27" s="2" t="n">
        <f>91322</f>
        <v>91322.0</v>
      </c>
      <c r="F27" s="10"/>
      <c r="G27" s="2" t="n">
        <f>3409533276550</f>
        <v>3.40953327655E12</v>
      </c>
      <c r="H27" s="10"/>
      <c r="I27" s="2" t="n">
        <f>14309</f>
        <v>14309.0</v>
      </c>
      <c r="J27" s="10"/>
      <c r="K27" s="2" t="n">
        <f>285799</f>
        <v>285799.0</v>
      </c>
    </row>
    <row r="28">
      <c r="A28" s="8" t="s">
        <v>42</v>
      </c>
      <c r="B28" s="9" t="s">
        <v>17</v>
      </c>
      <c r="C28" s="9" t="s">
        <v>18</v>
      </c>
      <c r="D28" s="10"/>
      <c r="E28" s="2" t="n">
        <f>64156</f>
        <v>64156.0</v>
      </c>
      <c r="F28" s="10"/>
      <c r="G28" s="2" t="n">
        <f>2410585993564</f>
        <v>2.410585993564E12</v>
      </c>
      <c r="H28" s="10"/>
      <c r="I28" s="2" t="n">
        <f>6846</f>
        <v>6846.0</v>
      </c>
      <c r="J28" s="10"/>
      <c r="K28" s="2" t="n">
        <f>285309</f>
        <v>285309.0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71560</f>
        <v>71560.0</v>
      </c>
      <c r="F29" s="10"/>
      <c r="G29" s="2" t="n">
        <f>2731223232249</f>
        <v>2.731223232249E12</v>
      </c>
      <c r="H29" s="10"/>
      <c r="I29" s="2" t="n">
        <f>9173</f>
        <v>9173.0</v>
      </c>
      <c r="J29" s="10"/>
      <c r="K29" s="2" t="n">
        <f>283831</f>
        <v>283831.0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67944</f>
        <v>67944.0</v>
      </c>
      <c r="F30" s="10"/>
      <c r="G30" s="2" t="n">
        <f>2576096402229</f>
        <v>2.576096402229E12</v>
      </c>
      <c r="H30" s="10"/>
      <c r="I30" s="2" t="n">
        <f>6732</f>
        <v>6732.0</v>
      </c>
      <c r="J30" s="10"/>
      <c r="K30" s="2" t="n">
        <f>282025</f>
        <v>282025.0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76598</f>
        <v>76598.0</v>
      </c>
      <c r="F31" s="10"/>
      <c r="G31" s="2" t="n">
        <f>2889821241490</f>
        <v>2.88982124149E12</v>
      </c>
      <c r="H31" s="10"/>
      <c r="I31" s="2" t="n">
        <f>9135</f>
        <v>9135.0</v>
      </c>
      <c r="J31" s="10"/>
      <c r="K31" s="2" t="n">
        <f>282799</f>
        <v>282799.0</v>
      </c>
    </row>
    <row r="32">
      <c r="A32" s="8" t="s">
        <v>46</v>
      </c>
      <c r="B32" s="9" t="s">
        <v>17</v>
      </c>
      <c r="C32" s="9" t="s">
        <v>18</v>
      </c>
      <c r="D32" s="10"/>
      <c r="E32" s="2"/>
      <c r="F32" s="10"/>
      <c r="G32" s="2"/>
      <c r="H32" s="10"/>
      <c r="I32" s="2"/>
      <c r="J32" s="10"/>
      <c r="K32" s="2"/>
    </row>
    <row r="33">
      <c r="A33" s="8" t="s">
        <v>47</v>
      </c>
      <c r="B33" s="9" t="s">
        <v>17</v>
      </c>
      <c r="C33" s="9" t="s">
        <v>18</v>
      </c>
      <c r="D33" s="10"/>
      <c r="E33" s="2"/>
      <c r="F33" s="10"/>
      <c r="G33" s="2"/>
      <c r="H33" s="10"/>
      <c r="I33" s="2"/>
      <c r="J33" s="10"/>
      <c r="K33" s="2"/>
    </row>
    <row r="34">
      <c r="A34" s="8" t="s">
        <v>48</v>
      </c>
      <c r="B34" s="9" t="s">
        <v>17</v>
      </c>
      <c r="C34" s="9" t="s">
        <v>18</v>
      </c>
      <c r="D34" s="10"/>
      <c r="E34" s="2"/>
      <c r="F34" s="10"/>
      <c r="G34" s="2"/>
      <c r="H34" s="10"/>
      <c r="I34" s="2"/>
      <c r="J34" s="10"/>
      <c r="K34" s="2"/>
    </row>
    <row r="35">
      <c r="A35" s="8" t="s">
        <v>49</v>
      </c>
      <c r="B35" s="9" t="s">
        <v>17</v>
      </c>
      <c r="C35" s="9" t="s">
        <v>18</v>
      </c>
      <c r="D35" s="10"/>
      <c r="E35" s="2" t="n">
        <f>108956</f>
        <v>108956.0</v>
      </c>
      <c r="F35" s="10"/>
      <c r="G35" s="2" t="n">
        <f>4176118681614</f>
        <v>4.176118681614E12</v>
      </c>
      <c r="H35" s="10"/>
      <c r="I35" s="2" t="n">
        <f>11469</f>
        <v>11469.0</v>
      </c>
      <c r="J35" s="10" t="s">
        <v>38</v>
      </c>
      <c r="K35" s="2" t="n">
        <f>293091</f>
        <v>293091.0</v>
      </c>
    </row>
    <row r="36">
      <c r="A36" s="8" t="s">
        <v>16</v>
      </c>
      <c r="B36" s="9" t="s">
        <v>50</v>
      </c>
      <c r="C36" s="9" t="s">
        <v>51</v>
      </c>
      <c r="D36" s="10"/>
      <c r="E36" s="2" t="n">
        <f>836096</f>
        <v>836096.0</v>
      </c>
      <c r="F36" s="10"/>
      <c r="G36" s="2" t="n">
        <f>3356021885526</f>
        <v>3.356021885526E12</v>
      </c>
      <c r="H36" s="10"/>
      <c r="I36" s="2" t="n">
        <f>94543</f>
        <v>94543.0</v>
      </c>
      <c r="J36" s="10"/>
      <c r="K36" s="2" t="n">
        <f>428494</f>
        <v>428494.0</v>
      </c>
    </row>
    <row r="37">
      <c r="A37" s="8" t="s">
        <v>19</v>
      </c>
      <c r="B37" s="9" t="s">
        <v>50</v>
      </c>
      <c r="C37" s="9" t="s">
        <v>51</v>
      </c>
      <c r="D37" s="10"/>
      <c r="E37" s="2" t="n">
        <f>811956</f>
        <v>811956.0</v>
      </c>
      <c r="F37" s="10"/>
      <c r="G37" s="2" t="n">
        <f>3243537944196</f>
        <v>3.243537944196E12</v>
      </c>
      <c r="H37" s="10"/>
      <c r="I37" s="2" t="n">
        <f>93672</f>
        <v>93672.0</v>
      </c>
      <c r="J37" s="10"/>
      <c r="K37" s="2" t="n">
        <f>434219</f>
        <v>434219.0</v>
      </c>
    </row>
    <row r="38">
      <c r="A38" s="8" t="s">
        <v>20</v>
      </c>
      <c r="B38" s="9" t="s">
        <v>50</v>
      </c>
      <c r="C38" s="9" t="s">
        <v>51</v>
      </c>
      <c r="D38" s="10"/>
      <c r="E38" s="2" t="n">
        <f>957363</f>
        <v>957363.0</v>
      </c>
      <c r="F38" s="10"/>
      <c r="G38" s="2" t="n">
        <f>3786927284546</f>
        <v>3.786927284546E12</v>
      </c>
      <c r="H38" s="10"/>
      <c r="I38" s="2" t="n">
        <f>112962</f>
        <v>112962.0</v>
      </c>
      <c r="J38" s="10"/>
      <c r="K38" s="2" t="n">
        <f>442345</f>
        <v>442345.0</v>
      </c>
    </row>
    <row r="39">
      <c r="A39" s="8" t="s">
        <v>21</v>
      </c>
      <c r="B39" s="9" t="s">
        <v>50</v>
      </c>
      <c r="C39" s="9" t="s">
        <v>51</v>
      </c>
      <c r="D39" s="10"/>
      <c r="E39" s="2" t="n">
        <f>991377</f>
        <v>991377.0</v>
      </c>
      <c r="F39" s="10"/>
      <c r="G39" s="2" t="n">
        <f>3963191650202</f>
        <v>3.963191650202E12</v>
      </c>
      <c r="H39" s="10"/>
      <c r="I39" s="2" t="n">
        <f>118495</f>
        <v>118495.0</v>
      </c>
      <c r="J39" s="10"/>
      <c r="K39" s="2" t="n">
        <f>472143</f>
        <v>472143.0</v>
      </c>
    </row>
    <row r="40">
      <c r="A40" s="8" t="s">
        <v>22</v>
      </c>
      <c r="B40" s="9" t="s">
        <v>50</v>
      </c>
      <c r="C40" s="9" t="s">
        <v>51</v>
      </c>
      <c r="D40" s="10"/>
      <c r="E40" s="2" t="n">
        <f>1138874</f>
        <v>1138874.0</v>
      </c>
      <c r="F40" s="10"/>
      <c r="G40" s="2" t="n">
        <f>4468519836870</f>
        <v>4.46851983687E12</v>
      </c>
      <c r="H40" s="10"/>
      <c r="I40" s="2" t="n">
        <f>126111</f>
        <v>126111.0</v>
      </c>
      <c r="J40" s="10"/>
      <c r="K40" s="2" t="n">
        <f>503243</f>
        <v>503243.0</v>
      </c>
    </row>
    <row r="41">
      <c r="A41" s="8" t="s">
        <v>23</v>
      </c>
      <c r="B41" s="9" t="s">
        <v>50</v>
      </c>
      <c r="C41" s="9" t="s">
        <v>51</v>
      </c>
      <c r="D41" s="10"/>
      <c r="E41" s="2"/>
      <c r="F41" s="10"/>
      <c r="G41" s="2"/>
      <c r="H41" s="10"/>
      <c r="I41" s="2"/>
      <c r="J41" s="10"/>
      <c r="K41" s="2"/>
    </row>
    <row r="42">
      <c r="A42" s="8" t="s">
        <v>24</v>
      </c>
      <c r="B42" s="9" t="s">
        <v>50</v>
      </c>
      <c r="C42" s="9" t="s">
        <v>51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25</v>
      </c>
      <c r="B43" s="9" t="s">
        <v>50</v>
      </c>
      <c r="C43" s="9" t="s">
        <v>51</v>
      </c>
      <c r="D43" s="10"/>
      <c r="E43" s="2" t="n">
        <f>1117468</f>
        <v>1117468.0</v>
      </c>
      <c r="F43" s="10"/>
      <c r="G43" s="2" t="n">
        <f>4392918779292</f>
        <v>4.392918779292E12</v>
      </c>
      <c r="H43" s="10"/>
      <c r="I43" s="2" t="n">
        <f>131629</f>
        <v>131629.0</v>
      </c>
      <c r="J43" s="10"/>
      <c r="K43" s="2" t="n">
        <f>499819</f>
        <v>499819.0</v>
      </c>
    </row>
    <row r="44">
      <c r="A44" s="8" t="s">
        <v>26</v>
      </c>
      <c r="B44" s="9" t="s">
        <v>50</v>
      </c>
      <c r="C44" s="9" t="s">
        <v>51</v>
      </c>
      <c r="D44" s="10" t="s">
        <v>27</v>
      </c>
      <c r="E44" s="2" t="n">
        <f>788238</f>
        <v>788238.0</v>
      </c>
      <c r="F44" s="10" t="s">
        <v>27</v>
      </c>
      <c r="G44" s="2" t="n">
        <f>3118920049177</f>
        <v>3.118920049177E12</v>
      </c>
      <c r="H44" s="10" t="s">
        <v>27</v>
      </c>
      <c r="I44" s="2" t="n">
        <f>90224</f>
        <v>90224.0</v>
      </c>
      <c r="J44" s="10"/>
      <c r="K44" s="2" t="n">
        <f>502234</f>
        <v>502234.0</v>
      </c>
    </row>
    <row r="45">
      <c r="A45" s="8" t="s">
        <v>28</v>
      </c>
      <c r="B45" s="9" t="s">
        <v>50</v>
      </c>
      <c r="C45" s="9" t="s">
        <v>51</v>
      </c>
      <c r="D45" s="10"/>
      <c r="E45" s="2" t="n">
        <f>910017</f>
        <v>910017.0</v>
      </c>
      <c r="F45" s="10"/>
      <c r="G45" s="2" t="n">
        <f>3602957660970</f>
        <v>3.60295766097E12</v>
      </c>
      <c r="H45" s="10"/>
      <c r="I45" s="2" t="n">
        <f>104882</f>
        <v>104882.0</v>
      </c>
      <c r="J45" s="10"/>
      <c r="K45" s="2" t="n">
        <f>502545</f>
        <v>502545.0</v>
      </c>
    </row>
    <row r="46">
      <c r="A46" s="8" t="s">
        <v>29</v>
      </c>
      <c r="B46" s="9" t="s">
        <v>50</v>
      </c>
      <c r="C46" s="9" t="s">
        <v>51</v>
      </c>
      <c r="D46" s="10"/>
      <c r="E46" s="2" t="n">
        <f>1192471</f>
        <v>1192471.0</v>
      </c>
      <c r="F46" s="10"/>
      <c r="G46" s="2" t="n">
        <f>4684521180204</f>
        <v>4.684521180204E12</v>
      </c>
      <c r="H46" s="10"/>
      <c r="I46" s="2" t="n">
        <f>117865</f>
        <v>117865.0</v>
      </c>
      <c r="J46" s="10"/>
      <c r="K46" s="2" t="n">
        <f>541286</f>
        <v>541286.0</v>
      </c>
    </row>
    <row r="47">
      <c r="A47" s="8" t="s">
        <v>30</v>
      </c>
      <c r="B47" s="9" t="s">
        <v>50</v>
      </c>
      <c r="C47" s="9" t="s">
        <v>51</v>
      </c>
      <c r="D47" s="10"/>
      <c r="E47" s="2" t="n">
        <f>967630</f>
        <v>967630.0</v>
      </c>
      <c r="F47" s="10"/>
      <c r="G47" s="2" t="n">
        <f>3820136746022</f>
        <v>3.820136746022E12</v>
      </c>
      <c r="H47" s="10"/>
      <c r="I47" s="2" t="n">
        <f>115732</f>
        <v>115732.0</v>
      </c>
      <c r="J47" s="10"/>
      <c r="K47" s="2" t="n">
        <f>550389</f>
        <v>550389.0</v>
      </c>
    </row>
    <row r="48">
      <c r="A48" s="8" t="s">
        <v>31</v>
      </c>
      <c r="B48" s="9" t="s">
        <v>50</v>
      </c>
      <c r="C48" s="9" t="s">
        <v>51</v>
      </c>
      <c r="D48" s="10"/>
      <c r="E48" s="2"/>
      <c r="F48" s="10"/>
      <c r="G48" s="2"/>
      <c r="H48" s="10"/>
      <c r="I48" s="2"/>
      <c r="J48" s="10"/>
      <c r="K48" s="2"/>
    </row>
    <row r="49">
      <c r="A49" s="8" t="s">
        <v>32</v>
      </c>
      <c r="B49" s="9" t="s">
        <v>50</v>
      </c>
      <c r="C49" s="9" t="s">
        <v>51</v>
      </c>
      <c r="D49" s="10"/>
      <c r="E49" s="2"/>
      <c r="F49" s="10"/>
      <c r="G49" s="2"/>
      <c r="H49" s="10"/>
      <c r="I49" s="2"/>
      <c r="J49" s="10"/>
      <c r="K49" s="2"/>
    </row>
    <row r="50">
      <c r="A50" s="8" t="s">
        <v>33</v>
      </c>
      <c r="B50" s="9" t="s">
        <v>50</v>
      </c>
      <c r="C50" s="9" t="s">
        <v>51</v>
      </c>
      <c r="D50" s="10"/>
      <c r="E50" s="2" t="n">
        <f>1164204</f>
        <v>1164204.0</v>
      </c>
      <c r="F50" s="10"/>
      <c r="G50" s="2" t="n">
        <f>4549852260220</f>
        <v>4.54985226022E12</v>
      </c>
      <c r="H50" s="10"/>
      <c r="I50" s="2" t="n">
        <f>137386</f>
        <v>137386.0</v>
      </c>
      <c r="J50" s="10" t="s">
        <v>27</v>
      </c>
      <c r="K50" s="2" t="n">
        <f>422901</f>
        <v>422901.0</v>
      </c>
    </row>
    <row r="51">
      <c r="A51" s="8" t="s">
        <v>34</v>
      </c>
      <c r="B51" s="9" t="s">
        <v>50</v>
      </c>
      <c r="C51" s="9" t="s">
        <v>51</v>
      </c>
      <c r="D51" s="10"/>
      <c r="E51" s="2" t="n">
        <f>1230930</f>
        <v>1230930.0</v>
      </c>
      <c r="F51" s="10"/>
      <c r="G51" s="2" t="n">
        <f>4776969905917</f>
        <v>4.776969905917E12</v>
      </c>
      <c r="H51" s="10"/>
      <c r="I51" s="2" t="n">
        <f>141561</f>
        <v>141561.0</v>
      </c>
      <c r="J51" s="10"/>
      <c r="K51" s="2" t="n">
        <f>436502</f>
        <v>436502.0</v>
      </c>
    </row>
    <row r="52">
      <c r="A52" s="8" t="s">
        <v>35</v>
      </c>
      <c r="B52" s="9" t="s">
        <v>50</v>
      </c>
      <c r="C52" s="9" t="s">
        <v>51</v>
      </c>
      <c r="D52" s="10"/>
      <c r="E52" s="2" t="n">
        <f>1364972</f>
        <v>1364972.0</v>
      </c>
      <c r="F52" s="10"/>
      <c r="G52" s="2" t="n">
        <f>5239703360520</f>
        <v>5.23970336052E12</v>
      </c>
      <c r="H52" s="10"/>
      <c r="I52" s="2" t="n">
        <f>142850</f>
        <v>142850.0</v>
      </c>
      <c r="J52" s="10"/>
      <c r="K52" s="2" t="n">
        <f>443060</f>
        <v>443060.0</v>
      </c>
    </row>
    <row r="53">
      <c r="A53" s="8" t="s">
        <v>36</v>
      </c>
      <c r="B53" s="9" t="s">
        <v>50</v>
      </c>
      <c r="C53" s="9" t="s">
        <v>51</v>
      </c>
      <c r="D53" s="10"/>
      <c r="E53" s="2" t="n">
        <f>1259949</f>
        <v>1259949.0</v>
      </c>
      <c r="F53" s="10"/>
      <c r="G53" s="2" t="n">
        <f>4783034016308</f>
        <v>4.783034016308E12</v>
      </c>
      <c r="H53" s="10"/>
      <c r="I53" s="2" t="n">
        <f>132640</f>
        <v>132640.0</v>
      </c>
      <c r="J53" s="10"/>
      <c r="K53" s="2" t="n">
        <f>460063</f>
        <v>460063.0</v>
      </c>
    </row>
    <row r="54">
      <c r="A54" s="8" t="s">
        <v>37</v>
      </c>
      <c r="B54" s="9" t="s">
        <v>50</v>
      </c>
      <c r="C54" s="9" t="s">
        <v>51</v>
      </c>
      <c r="D54" s="10"/>
      <c r="E54" s="2" t="n">
        <f>1817669</f>
        <v>1817669.0</v>
      </c>
      <c r="F54" s="10"/>
      <c r="G54" s="2" t="n">
        <f>6790892796302</f>
        <v>6.790892796302E12</v>
      </c>
      <c r="H54" s="10"/>
      <c r="I54" s="2" t="n">
        <f>181889</f>
        <v>181889.0</v>
      </c>
      <c r="J54" s="10"/>
      <c r="K54" s="2" t="n">
        <f>465580</f>
        <v>465580.0</v>
      </c>
    </row>
    <row r="55">
      <c r="A55" s="8" t="s">
        <v>39</v>
      </c>
      <c r="B55" s="9" t="s">
        <v>50</v>
      </c>
      <c r="C55" s="9" t="s">
        <v>51</v>
      </c>
      <c r="D55" s="10"/>
      <c r="E55" s="2"/>
      <c r="F55" s="10"/>
      <c r="G55" s="2"/>
      <c r="H55" s="10"/>
      <c r="I55" s="2"/>
      <c r="J55" s="10"/>
      <c r="K55" s="2"/>
    </row>
    <row r="56">
      <c r="A56" s="8" t="s">
        <v>40</v>
      </c>
      <c r="B56" s="9" t="s">
        <v>50</v>
      </c>
      <c r="C56" s="9" t="s">
        <v>51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41</v>
      </c>
      <c r="B57" s="9" t="s">
        <v>50</v>
      </c>
      <c r="C57" s="9" t="s">
        <v>51</v>
      </c>
      <c r="D57" s="10"/>
      <c r="E57" s="2" t="n">
        <f>1404500</f>
        <v>1404500.0</v>
      </c>
      <c r="F57" s="10"/>
      <c r="G57" s="2" t="n">
        <f>5242388670308</f>
        <v>5.242388670308E12</v>
      </c>
      <c r="H57" s="10"/>
      <c r="I57" s="2" t="n">
        <f>157217</f>
        <v>157217.0</v>
      </c>
      <c r="J57" s="10"/>
      <c r="K57" s="2" t="n">
        <f>475830</f>
        <v>475830.0</v>
      </c>
    </row>
    <row r="58">
      <c r="A58" s="8" t="s">
        <v>42</v>
      </c>
      <c r="B58" s="9" t="s">
        <v>50</v>
      </c>
      <c r="C58" s="9" t="s">
        <v>51</v>
      </c>
      <c r="D58" s="10"/>
      <c r="E58" s="2" t="n">
        <f>978820</f>
        <v>978820.0</v>
      </c>
      <c r="F58" s="10"/>
      <c r="G58" s="2" t="n">
        <f>3677434123715</f>
        <v>3.677434123715E12</v>
      </c>
      <c r="H58" s="10"/>
      <c r="I58" s="2" t="n">
        <f>107267</f>
        <v>107267.0</v>
      </c>
      <c r="J58" s="10"/>
      <c r="K58" s="2" t="n">
        <f>480878</f>
        <v>480878.0</v>
      </c>
    </row>
    <row r="59">
      <c r="A59" s="8" t="s">
        <v>43</v>
      </c>
      <c r="B59" s="9" t="s">
        <v>50</v>
      </c>
      <c r="C59" s="9" t="s">
        <v>51</v>
      </c>
      <c r="D59" s="10"/>
      <c r="E59" s="2" t="n">
        <f>941557</f>
        <v>941557.0</v>
      </c>
      <c r="F59" s="10"/>
      <c r="G59" s="2" t="n">
        <f>3586393499550</f>
        <v>3.58639349955E12</v>
      </c>
      <c r="H59" s="10"/>
      <c r="I59" s="2" t="n">
        <f>113479</f>
        <v>113479.0</v>
      </c>
      <c r="J59" s="10"/>
      <c r="K59" s="2" t="n">
        <f>492304</f>
        <v>492304.0</v>
      </c>
    </row>
    <row r="60">
      <c r="A60" s="8" t="s">
        <v>44</v>
      </c>
      <c r="B60" s="9" t="s">
        <v>50</v>
      </c>
      <c r="C60" s="9" t="s">
        <v>51</v>
      </c>
      <c r="D60" s="10"/>
      <c r="E60" s="2" t="n">
        <f>1007753</f>
        <v>1007753.0</v>
      </c>
      <c r="F60" s="10"/>
      <c r="G60" s="2" t="n">
        <f>3828413377848</f>
        <v>3.828413377848E12</v>
      </c>
      <c r="H60" s="10"/>
      <c r="I60" s="2" t="n">
        <f>122832</f>
        <v>122832.0</v>
      </c>
      <c r="J60" s="10"/>
      <c r="K60" s="2" t="n">
        <f>511001</f>
        <v>511001.0</v>
      </c>
    </row>
    <row r="61">
      <c r="A61" s="8" t="s">
        <v>45</v>
      </c>
      <c r="B61" s="9" t="s">
        <v>50</v>
      </c>
      <c r="C61" s="9" t="s">
        <v>51</v>
      </c>
      <c r="D61" s="10"/>
      <c r="E61" s="2" t="n">
        <f>1235546</f>
        <v>1235546.0</v>
      </c>
      <c r="F61" s="10"/>
      <c r="G61" s="2" t="n">
        <f>4652946532657</f>
        <v>4.652946532657E12</v>
      </c>
      <c r="H61" s="10"/>
      <c r="I61" s="2" t="n">
        <f>140847</f>
        <v>140847.0</v>
      </c>
      <c r="J61" s="10"/>
      <c r="K61" s="2" t="n">
        <f>512272</f>
        <v>512272.0</v>
      </c>
    </row>
    <row r="62">
      <c r="A62" s="8" t="s">
        <v>46</v>
      </c>
      <c r="B62" s="9" t="s">
        <v>50</v>
      </c>
      <c r="C62" s="9" t="s">
        <v>51</v>
      </c>
      <c r="D62" s="10"/>
      <c r="E62" s="2"/>
      <c r="F62" s="10"/>
      <c r="G62" s="2"/>
      <c r="H62" s="10"/>
      <c r="I62" s="2"/>
      <c r="J62" s="10"/>
      <c r="K62" s="2"/>
    </row>
    <row r="63">
      <c r="A63" s="8" t="s">
        <v>47</v>
      </c>
      <c r="B63" s="9" t="s">
        <v>50</v>
      </c>
      <c r="C63" s="9" t="s">
        <v>51</v>
      </c>
      <c r="D63" s="10"/>
      <c r="E63" s="2"/>
      <c r="F63" s="10"/>
      <c r="G63" s="2"/>
      <c r="H63" s="10"/>
      <c r="I63" s="2"/>
      <c r="J63" s="10"/>
      <c r="K63" s="2"/>
    </row>
    <row r="64">
      <c r="A64" s="8" t="s">
        <v>48</v>
      </c>
      <c r="B64" s="9" t="s">
        <v>50</v>
      </c>
      <c r="C64" s="9" t="s">
        <v>51</v>
      </c>
      <c r="D64" s="10"/>
      <c r="E64" s="2"/>
      <c r="F64" s="10"/>
      <c r="G64" s="2"/>
      <c r="H64" s="10"/>
      <c r="I64" s="2"/>
      <c r="J64" s="10"/>
      <c r="K64" s="2"/>
    </row>
    <row r="65">
      <c r="A65" s="8" t="s">
        <v>49</v>
      </c>
      <c r="B65" s="9" t="s">
        <v>50</v>
      </c>
      <c r="C65" s="9" t="s">
        <v>51</v>
      </c>
      <c r="D65" s="10" t="s">
        <v>38</v>
      </c>
      <c r="E65" s="2" t="n">
        <f>1873077</f>
        <v>1873077.0</v>
      </c>
      <c r="F65" s="10" t="s">
        <v>38</v>
      </c>
      <c r="G65" s="2" t="n">
        <f>7180044017583</f>
        <v>7.180044017583E12</v>
      </c>
      <c r="H65" s="10" t="s">
        <v>38</v>
      </c>
      <c r="I65" s="2" t="n">
        <f>204578</f>
        <v>204578.0</v>
      </c>
      <c r="J65" s="10" t="s">
        <v>38</v>
      </c>
      <c r="K65" s="2" t="n">
        <f>619729</f>
        <v>619729.0</v>
      </c>
    </row>
    <row r="66">
      <c r="A66" s="8" t="s">
        <v>16</v>
      </c>
      <c r="B66" s="9" t="s">
        <v>52</v>
      </c>
      <c r="C66" s="9" t="s">
        <v>53</v>
      </c>
      <c r="D66" s="10"/>
      <c r="E66" s="2" t="n">
        <f>320135</f>
        <v>320135.0</v>
      </c>
      <c r="F66" s="10"/>
      <c r="G66" s="2" t="n">
        <f>128491925350</f>
        <v>1.2849192535E11</v>
      </c>
      <c r="H66" s="10" t="s">
        <v>54</v>
      </c>
      <c r="I66" s="2" t="str">
        <f>"－"</f>
        <v>－</v>
      </c>
      <c r="J66" s="10"/>
      <c r="K66" s="2" t="n">
        <f>61637</f>
        <v>61637.0</v>
      </c>
    </row>
    <row r="67">
      <c r="A67" s="8" t="s">
        <v>19</v>
      </c>
      <c r="B67" s="9" t="s">
        <v>52</v>
      </c>
      <c r="C67" s="9" t="s">
        <v>53</v>
      </c>
      <c r="D67" s="10"/>
      <c r="E67" s="2" t="n">
        <f>313703</f>
        <v>313703.0</v>
      </c>
      <c r="F67" s="10"/>
      <c r="G67" s="2" t="n">
        <f>125296179700</f>
        <v>1.252961797E11</v>
      </c>
      <c r="H67" s="10"/>
      <c r="I67" s="2" t="str">
        <f>"－"</f>
        <v>－</v>
      </c>
      <c r="J67" s="10" t="s">
        <v>27</v>
      </c>
      <c r="K67" s="2" t="n">
        <f>61475</f>
        <v>61475.0</v>
      </c>
    </row>
    <row r="68">
      <c r="A68" s="8" t="s">
        <v>20</v>
      </c>
      <c r="B68" s="9" t="s">
        <v>52</v>
      </c>
      <c r="C68" s="9" t="s">
        <v>53</v>
      </c>
      <c r="D68" s="10"/>
      <c r="E68" s="2" t="n">
        <f>381772</f>
        <v>381772.0</v>
      </c>
      <c r="F68" s="10"/>
      <c r="G68" s="2" t="n">
        <f>151048764550</f>
        <v>1.5104876455E11</v>
      </c>
      <c r="H68" s="10"/>
      <c r="I68" s="2" t="str">
        <f>"－"</f>
        <v>－</v>
      </c>
      <c r="J68" s="10"/>
      <c r="K68" s="2" t="n">
        <f>64087</f>
        <v>64087.0</v>
      </c>
    </row>
    <row r="69">
      <c r="A69" s="8" t="s">
        <v>21</v>
      </c>
      <c r="B69" s="9" t="s">
        <v>52</v>
      </c>
      <c r="C69" s="9" t="s">
        <v>53</v>
      </c>
      <c r="D69" s="10"/>
      <c r="E69" s="2" t="n">
        <f>337512</f>
        <v>337512.0</v>
      </c>
      <c r="F69" s="10"/>
      <c r="G69" s="2" t="n">
        <f>134878646550</f>
        <v>1.3487864655E11</v>
      </c>
      <c r="H69" s="10"/>
      <c r="I69" s="2" t="str">
        <f>"－"</f>
        <v>－</v>
      </c>
      <c r="J69" s="10"/>
      <c r="K69" s="2" t="n">
        <f>62517</f>
        <v>62517.0</v>
      </c>
    </row>
    <row r="70">
      <c r="A70" s="8" t="s">
        <v>22</v>
      </c>
      <c r="B70" s="9" t="s">
        <v>52</v>
      </c>
      <c r="C70" s="9" t="s">
        <v>53</v>
      </c>
      <c r="D70" s="10"/>
      <c r="E70" s="2" t="n">
        <f>396829</f>
        <v>396829.0</v>
      </c>
      <c r="F70" s="10"/>
      <c r="G70" s="2" t="n">
        <f>155652030800</f>
        <v>1.556520308E11</v>
      </c>
      <c r="H70" s="10"/>
      <c r="I70" s="2" t="str">
        <f>"－"</f>
        <v>－</v>
      </c>
      <c r="J70" s="10"/>
      <c r="K70" s="2" t="n">
        <f>71217</f>
        <v>71217.0</v>
      </c>
    </row>
    <row r="71">
      <c r="A71" s="8" t="s">
        <v>23</v>
      </c>
      <c r="B71" s="9" t="s">
        <v>52</v>
      </c>
      <c r="C71" s="9" t="s">
        <v>53</v>
      </c>
      <c r="D71" s="10"/>
      <c r="E71" s="2"/>
      <c r="F71" s="10"/>
      <c r="G71" s="2"/>
      <c r="H71" s="10"/>
      <c r="I71" s="2"/>
      <c r="J71" s="10"/>
      <c r="K71" s="2"/>
    </row>
    <row r="72">
      <c r="A72" s="8" t="s">
        <v>24</v>
      </c>
      <c r="B72" s="9" t="s">
        <v>52</v>
      </c>
      <c r="C72" s="9" t="s">
        <v>53</v>
      </c>
      <c r="D72" s="10"/>
      <c r="E72" s="2"/>
      <c r="F72" s="10"/>
      <c r="G72" s="2"/>
      <c r="H72" s="10"/>
      <c r="I72" s="2"/>
      <c r="J72" s="10"/>
      <c r="K72" s="2"/>
    </row>
    <row r="73">
      <c r="A73" s="8" t="s">
        <v>25</v>
      </c>
      <c r="B73" s="9" t="s">
        <v>52</v>
      </c>
      <c r="C73" s="9" t="s">
        <v>53</v>
      </c>
      <c r="D73" s="10"/>
      <c r="E73" s="2" t="n">
        <f>409321</f>
        <v>409321.0</v>
      </c>
      <c r="F73" s="10"/>
      <c r="G73" s="2" t="n">
        <f>160857073600</f>
        <v>1.608570736E11</v>
      </c>
      <c r="H73" s="10"/>
      <c r="I73" s="2" t="str">
        <f>"－"</f>
        <v>－</v>
      </c>
      <c r="J73" s="10"/>
      <c r="K73" s="2" t="n">
        <f>66547</f>
        <v>66547.0</v>
      </c>
    </row>
    <row r="74">
      <c r="A74" s="8" t="s">
        <v>26</v>
      </c>
      <c r="B74" s="9" t="s">
        <v>52</v>
      </c>
      <c r="C74" s="9" t="s">
        <v>53</v>
      </c>
      <c r="D74" s="10" t="s">
        <v>27</v>
      </c>
      <c r="E74" s="2" t="n">
        <f>278849</f>
        <v>278849.0</v>
      </c>
      <c r="F74" s="10" t="s">
        <v>27</v>
      </c>
      <c r="G74" s="2" t="n">
        <f>110311560000</f>
        <v>1.1031156E11</v>
      </c>
      <c r="H74" s="10"/>
      <c r="I74" s="2" t="str">
        <f>"－"</f>
        <v>－</v>
      </c>
      <c r="J74" s="10"/>
      <c r="K74" s="2" t="n">
        <f>66875</f>
        <v>66875.0</v>
      </c>
    </row>
    <row r="75">
      <c r="A75" s="8" t="s">
        <v>28</v>
      </c>
      <c r="B75" s="9" t="s">
        <v>52</v>
      </c>
      <c r="C75" s="9" t="s">
        <v>53</v>
      </c>
      <c r="D75" s="10"/>
      <c r="E75" s="2" t="n">
        <f>305385</f>
        <v>305385.0</v>
      </c>
      <c r="F75" s="10"/>
      <c r="G75" s="2" t="n">
        <f>120925573650</f>
        <v>1.2092557365E11</v>
      </c>
      <c r="H75" s="10"/>
      <c r="I75" s="2" t="str">
        <f>"－"</f>
        <v>－</v>
      </c>
      <c r="J75" s="10"/>
      <c r="K75" s="2" t="n">
        <f>70193</f>
        <v>70193.0</v>
      </c>
    </row>
    <row r="76">
      <c r="A76" s="8" t="s">
        <v>29</v>
      </c>
      <c r="B76" s="9" t="s">
        <v>52</v>
      </c>
      <c r="C76" s="9" t="s">
        <v>53</v>
      </c>
      <c r="D76" s="10"/>
      <c r="E76" s="2" t="n">
        <f>376726</f>
        <v>376726.0</v>
      </c>
      <c r="F76" s="10"/>
      <c r="G76" s="2" t="n">
        <f>148004382550</f>
        <v>1.4800438255E11</v>
      </c>
      <c r="H76" s="10"/>
      <c r="I76" s="2" t="str">
        <f>"－"</f>
        <v>－</v>
      </c>
      <c r="J76" s="10"/>
      <c r="K76" s="2" t="n">
        <f>74835</f>
        <v>74835.0</v>
      </c>
    </row>
    <row r="77">
      <c r="A77" s="8" t="s">
        <v>30</v>
      </c>
      <c r="B77" s="9" t="s">
        <v>52</v>
      </c>
      <c r="C77" s="9" t="s">
        <v>53</v>
      </c>
      <c r="D77" s="10"/>
      <c r="E77" s="2" t="n">
        <f>319635</f>
        <v>319635.0</v>
      </c>
      <c r="F77" s="10"/>
      <c r="G77" s="2" t="n">
        <f>126160784650</f>
        <v>1.2616078465E11</v>
      </c>
      <c r="H77" s="10"/>
      <c r="I77" s="2" t="str">
        <f>"－"</f>
        <v>－</v>
      </c>
      <c r="J77" s="10"/>
      <c r="K77" s="2" t="n">
        <f>78243</f>
        <v>78243.0</v>
      </c>
    </row>
    <row r="78">
      <c r="A78" s="8" t="s">
        <v>31</v>
      </c>
      <c r="B78" s="9" t="s">
        <v>52</v>
      </c>
      <c r="C78" s="9" t="s">
        <v>53</v>
      </c>
      <c r="D78" s="10"/>
      <c r="E78" s="2"/>
      <c r="F78" s="10"/>
      <c r="G78" s="2"/>
      <c r="H78" s="10"/>
      <c r="I78" s="2"/>
      <c r="J78" s="10"/>
      <c r="K78" s="2"/>
    </row>
    <row r="79">
      <c r="A79" s="8" t="s">
        <v>32</v>
      </c>
      <c r="B79" s="9" t="s">
        <v>52</v>
      </c>
      <c r="C79" s="9" t="s">
        <v>53</v>
      </c>
      <c r="D79" s="10"/>
      <c r="E79" s="2"/>
      <c r="F79" s="10"/>
      <c r="G79" s="2"/>
      <c r="H79" s="10"/>
      <c r="I79" s="2"/>
      <c r="J79" s="10"/>
      <c r="K79" s="2"/>
    </row>
    <row r="80">
      <c r="A80" s="8" t="s">
        <v>33</v>
      </c>
      <c r="B80" s="9" t="s">
        <v>52</v>
      </c>
      <c r="C80" s="9" t="s">
        <v>53</v>
      </c>
      <c r="D80" s="10"/>
      <c r="E80" s="2" t="n">
        <f>394703</f>
        <v>394703.0</v>
      </c>
      <c r="F80" s="10"/>
      <c r="G80" s="2" t="n">
        <f>154273419900</f>
        <v>1.542734199E11</v>
      </c>
      <c r="H80" s="10"/>
      <c r="I80" s="2" t="str">
        <f>"－"</f>
        <v>－</v>
      </c>
      <c r="J80" s="10"/>
      <c r="K80" s="2" t="n">
        <f>83382</f>
        <v>83382.0</v>
      </c>
    </row>
    <row r="81">
      <c r="A81" s="8" t="s">
        <v>34</v>
      </c>
      <c r="B81" s="9" t="s">
        <v>52</v>
      </c>
      <c r="C81" s="9" t="s">
        <v>53</v>
      </c>
      <c r="D81" s="10"/>
      <c r="E81" s="2" t="n">
        <f>442375</f>
        <v>442375.0</v>
      </c>
      <c r="F81" s="10"/>
      <c r="G81" s="2" t="n">
        <f>171753309450</f>
        <v>1.7175330945E11</v>
      </c>
      <c r="H81" s="10"/>
      <c r="I81" s="2" t="str">
        <f>"－"</f>
        <v>－</v>
      </c>
      <c r="J81" s="10"/>
      <c r="K81" s="2" t="n">
        <f>90951</f>
        <v>90951.0</v>
      </c>
    </row>
    <row r="82">
      <c r="A82" s="8" t="s">
        <v>35</v>
      </c>
      <c r="B82" s="9" t="s">
        <v>52</v>
      </c>
      <c r="C82" s="9" t="s">
        <v>53</v>
      </c>
      <c r="D82" s="10"/>
      <c r="E82" s="2" t="n">
        <f>493411</f>
        <v>493411.0</v>
      </c>
      <c r="F82" s="10"/>
      <c r="G82" s="2" t="n">
        <f>189411868150</f>
        <v>1.8941186815E11</v>
      </c>
      <c r="H82" s="10"/>
      <c r="I82" s="2" t="str">
        <f>"－"</f>
        <v>－</v>
      </c>
      <c r="J82" s="10"/>
      <c r="K82" s="2" t="n">
        <f>98225</f>
        <v>98225.0</v>
      </c>
    </row>
    <row r="83">
      <c r="A83" s="8" t="s">
        <v>36</v>
      </c>
      <c r="B83" s="9" t="s">
        <v>52</v>
      </c>
      <c r="C83" s="9" t="s">
        <v>53</v>
      </c>
      <c r="D83" s="10"/>
      <c r="E83" s="2" t="n">
        <f>492400</f>
        <v>492400.0</v>
      </c>
      <c r="F83" s="10"/>
      <c r="G83" s="2" t="n">
        <f>186949289100</f>
        <v>1.869492891E11</v>
      </c>
      <c r="H83" s="10"/>
      <c r="I83" s="2" t="str">
        <f>"－"</f>
        <v>－</v>
      </c>
      <c r="J83" s="10"/>
      <c r="K83" s="2" t="n">
        <f>100804</f>
        <v>100804.0</v>
      </c>
    </row>
    <row r="84">
      <c r="A84" s="8" t="s">
        <v>37</v>
      </c>
      <c r="B84" s="9" t="s">
        <v>52</v>
      </c>
      <c r="C84" s="9" t="s">
        <v>53</v>
      </c>
      <c r="D84" s="10"/>
      <c r="E84" s="2" t="n">
        <f>701886</f>
        <v>701886.0</v>
      </c>
      <c r="F84" s="10"/>
      <c r="G84" s="2" t="n">
        <f>262317147950</f>
        <v>2.6231714795E11</v>
      </c>
      <c r="H84" s="10"/>
      <c r="I84" s="2" t="str">
        <f>"－"</f>
        <v>－</v>
      </c>
      <c r="J84" s="10"/>
      <c r="K84" s="2" t="n">
        <f>110327</f>
        <v>110327.0</v>
      </c>
    </row>
    <row r="85">
      <c r="A85" s="8" t="s">
        <v>39</v>
      </c>
      <c r="B85" s="9" t="s">
        <v>52</v>
      </c>
      <c r="C85" s="9" t="s">
        <v>53</v>
      </c>
      <c r="D85" s="10"/>
      <c r="E85" s="2"/>
      <c r="F85" s="10"/>
      <c r="G85" s="2"/>
      <c r="H85" s="10"/>
      <c r="I85" s="2"/>
      <c r="J85" s="10"/>
      <c r="K85" s="2"/>
    </row>
    <row r="86">
      <c r="A86" s="8" t="s">
        <v>40</v>
      </c>
      <c r="B86" s="9" t="s">
        <v>52</v>
      </c>
      <c r="C86" s="9" t="s">
        <v>53</v>
      </c>
      <c r="D86" s="10"/>
      <c r="E86" s="2"/>
      <c r="F86" s="10"/>
      <c r="G86" s="2"/>
      <c r="H86" s="10"/>
      <c r="I86" s="2"/>
      <c r="J86" s="10"/>
      <c r="K86" s="2"/>
    </row>
    <row r="87">
      <c r="A87" s="8" t="s">
        <v>41</v>
      </c>
      <c r="B87" s="9" t="s">
        <v>52</v>
      </c>
      <c r="C87" s="9" t="s">
        <v>53</v>
      </c>
      <c r="D87" s="10"/>
      <c r="E87" s="2" t="n">
        <f>543055</f>
        <v>543055.0</v>
      </c>
      <c r="F87" s="10"/>
      <c r="G87" s="2" t="n">
        <f>202682592900</f>
        <v>2.026825929E11</v>
      </c>
      <c r="H87" s="10"/>
      <c r="I87" s="2" t="str">
        <f>"－"</f>
        <v>－</v>
      </c>
      <c r="J87" s="10"/>
      <c r="K87" s="2" t="n">
        <f>108193</f>
        <v>108193.0</v>
      </c>
    </row>
    <row r="88">
      <c r="A88" s="8" t="s">
        <v>42</v>
      </c>
      <c r="B88" s="9" t="s">
        <v>52</v>
      </c>
      <c r="C88" s="9" t="s">
        <v>53</v>
      </c>
      <c r="D88" s="10"/>
      <c r="E88" s="2" t="n">
        <f>353118</f>
        <v>353118.0</v>
      </c>
      <c r="F88" s="10"/>
      <c r="G88" s="2" t="n">
        <f>132660046000</f>
        <v>1.32660046E11</v>
      </c>
      <c r="H88" s="10"/>
      <c r="I88" s="2" t="str">
        <f>"－"</f>
        <v>－</v>
      </c>
      <c r="J88" s="10"/>
      <c r="K88" s="2" t="n">
        <f>104497</f>
        <v>104497.0</v>
      </c>
    </row>
    <row r="89">
      <c r="A89" s="8" t="s">
        <v>43</v>
      </c>
      <c r="B89" s="9" t="s">
        <v>52</v>
      </c>
      <c r="C89" s="9" t="s">
        <v>53</v>
      </c>
      <c r="D89" s="10"/>
      <c r="E89" s="2" t="n">
        <f>354254</f>
        <v>354254.0</v>
      </c>
      <c r="F89" s="10"/>
      <c r="G89" s="2" t="n">
        <f>134898026550</f>
        <v>1.3489802655E11</v>
      </c>
      <c r="H89" s="10"/>
      <c r="I89" s="2" t="str">
        <f>"－"</f>
        <v>－</v>
      </c>
      <c r="J89" s="10"/>
      <c r="K89" s="2" t="n">
        <f>101116</f>
        <v>101116.0</v>
      </c>
    </row>
    <row r="90">
      <c r="A90" s="8" t="s">
        <v>44</v>
      </c>
      <c r="B90" s="9" t="s">
        <v>52</v>
      </c>
      <c r="C90" s="9" t="s">
        <v>53</v>
      </c>
      <c r="D90" s="10"/>
      <c r="E90" s="2" t="n">
        <f>389035</f>
        <v>389035.0</v>
      </c>
      <c r="F90" s="10"/>
      <c r="G90" s="2" t="n">
        <f>147770928400</f>
        <v>1.477709284E11</v>
      </c>
      <c r="H90" s="10"/>
      <c r="I90" s="2" t="str">
        <f>"－"</f>
        <v>－</v>
      </c>
      <c r="J90" s="10"/>
      <c r="K90" s="2" t="n">
        <f>109858</f>
        <v>109858.0</v>
      </c>
    </row>
    <row r="91">
      <c r="A91" s="8" t="s">
        <v>45</v>
      </c>
      <c r="B91" s="9" t="s">
        <v>52</v>
      </c>
      <c r="C91" s="9" t="s">
        <v>53</v>
      </c>
      <c r="D91" s="10"/>
      <c r="E91" s="2" t="n">
        <f>515494</f>
        <v>515494.0</v>
      </c>
      <c r="F91" s="10"/>
      <c r="G91" s="2" t="n">
        <f>194205741000</f>
        <v>1.94205741E11</v>
      </c>
      <c r="H91" s="10"/>
      <c r="I91" s="2" t="str">
        <f>"－"</f>
        <v>－</v>
      </c>
      <c r="J91" s="10"/>
      <c r="K91" s="2" t="n">
        <f>106817</f>
        <v>106817.0</v>
      </c>
    </row>
    <row r="92">
      <c r="A92" s="8" t="s">
        <v>46</v>
      </c>
      <c r="B92" s="9" t="s">
        <v>52</v>
      </c>
      <c r="C92" s="9" t="s">
        <v>53</v>
      </c>
      <c r="D92" s="10"/>
      <c r="E92" s="2"/>
      <c r="F92" s="10"/>
      <c r="G92" s="2"/>
      <c r="H92" s="10"/>
      <c r="I92" s="2"/>
      <c r="J92" s="10"/>
      <c r="K92" s="2"/>
    </row>
    <row r="93">
      <c r="A93" s="8" t="s">
        <v>47</v>
      </c>
      <c r="B93" s="9" t="s">
        <v>52</v>
      </c>
      <c r="C93" s="9" t="s">
        <v>53</v>
      </c>
      <c r="D93" s="10"/>
      <c r="E93" s="2"/>
      <c r="F93" s="10"/>
      <c r="G93" s="2"/>
      <c r="H93" s="10"/>
      <c r="I93" s="2"/>
      <c r="J93" s="10"/>
      <c r="K93" s="2"/>
    </row>
    <row r="94">
      <c r="A94" s="8" t="s">
        <v>48</v>
      </c>
      <c r="B94" s="9" t="s">
        <v>52</v>
      </c>
      <c r="C94" s="9" t="s">
        <v>53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49</v>
      </c>
      <c r="B95" s="9" t="s">
        <v>52</v>
      </c>
      <c r="C95" s="9" t="s">
        <v>53</v>
      </c>
      <c r="D95" s="10" t="s">
        <v>38</v>
      </c>
      <c r="E95" s="2" t="n">
        <f>924558</f>
        <v>924558.0</v>
      </c>
      <c r="F95" s="10" t="s">
        <v>38</v>
      </c>
      <c r="G95" s="2" t="n">
        <f>354463258800</f>
        <v>3.544632588E11</v>
      </c>
      <c r="H95" s="10"/>
      <c r="I95" s="2" t="str">
        <f>"－"</f>
        <v>－</v>
      </c>
      <c r="J95" s="10" t="s">
        <v>38</v>
      </c>
      <c r="K95" s="2" t="n">
        <f>137166</f>
        <v>137166.0</v>
      </c>
    </row>
    <row r="96">
      <c r="A96" s="8" t="s">
        <v>16</v>
      </c>
      <c r="B96" s="9" t="s">
        <v>55</v>
      </c>
      <c r="C96" s="9" t="s">
        <v>56</v>
      </c>
      <c r="D96" s="10"/>
      <c r="E96" s="2" t="n">
        <f>72588</f>
        <v>72588.0</v>
      </c>
      <c r="F96" s="10"/>
      <c r="G96" s="2" t="n">
        <f>1985736442600</f>
        <v>1.9857364426E12</v>
      </c>
      <c r="H96" s="10"/>
      <c r="I96" s="2" t="n">
        <f>14016</f>
        <v>14016.0</v>
      </c>
      <c r="J96" s="10"/>
      <c r="K96" s="2" t="n">
        <f>584683</f>
        <v>584683.0</v>
      </c>
    </row>
    <row r="97">
      <c r="A97" s="8" t="s">
        <v>19</v>
      </c>
      <c r="B97" s="9" t="s">
        <v>55</v>
      </c>
      <c r="C97" s="9" t="s">
        <v>56</v>
      </c>
      <c r="D97" s="10"/>
      <c r="E97" s="2" t="n">
        <f>63673</f>
        <v>63673.0</v>
      </c>
      <c r="F97" s="10"/>
      <c r="G97" s="2" t="n">
        <f>1732451937525</f>
        <v>1.732451937525E12</v>
      </c>
      <c r="H97" s="10"/>
      <c r="I97" s="2" t="n">
        <f>12180</f>
        <v>12180.0</v>
      </c>
      <c r="J97" s="10"/>
      <c r="K97" s="2" t="n">
        <f>581600</f>
        <v>581600.0</v>
      </c>
    </row>
    <row r="98">
      <c r="A98" s="8" t="s">
        <v>20</v>
      </c>
      <c r="B98" s="9" t="s">
        <v>55</v>
      </c>
      <c r="C98" s="9" t="s">
        <v>56</v>
      </c>
      <c r="D98" s="10"/>
      <c r="E98" s="2" t="n">
        <f>69455</f>
        <v>69455.0</v>
      </c>
      <c r="F98" s="10"/>
      <c r="G98" s="2" t="n">
        <f>1879904383493</f>
        <v>1.879904383493E12</v>
      </c>
      <c r="H98" s="10"/>
      <c r="I98" s="2" t="n">
        <f>15351</f>
        <v>15351.0</v>
      </c>
      <c r="J98" s="10" t="s">
        <v>38</v>
      </c>
      <c r="K98" s="2" t="n">
        <f>585545</f>
        <v>585545.0</v>
      </c>
    </row>
    <row r="99">
      <c r="A99" s="8" t="s">
        <v>21</v>
      </c>
      <c r="B99" s="9" t="s">
        <v>55</v>
      </c>
      <c r="C99" s="9" t="s">
        <v>56</v>
      </c>
      <c r="D99" s="10"/>
      <c r="E99" s="2" t="n">
        <f>79341</f>
        <v>79341.0</v>
      </c>
      <c r="F99" s="10"/>
      <c r="G99" s="2" t="n">
        <f>2171846508310</f>
        <v>2.17184650831E12</v>
      </c>
      <c r="H99" s="10"/>
      <c r="I99" s="2" t="n">
        <f>18573</f>
        <v>18573.0</v>
      </c>
      <c r="J99" s="10"/>
      <c r="K99" s="2" t="n">
        <f>583635</f>
        <v>583635.0</v>
      </c>
    </row>
    <row r="100">
      <c r="A100" s="8" t="s">
        <v>22</v>
      </c>
      <c r="B100" s="9" t="s">
        <v>55</v>
      </c>
      <c r="C100" s="9" t="s">
        <v>56</v>
      </c>
      <c r="D100" s="10"/>
      <c r="E100" s="2" t="n">
        <f>72130</f>
        <v>72130.0</v>
      </c>
      <c r="F100" s="10"/>
      <c r="G100" s="2" t="n">
        <f>1951687114700</f>
        <v>1.9516871147E12</v>
      </c>
      <c r="H100" s="10"/>
      <c r="I100" s="2" t="n">
        <f>21138</f>
        <v>21138.0</v>
      </c>
      <c r="J100" s="10"/>
      <c r="K100" s="2" t="n">
        <f>580255</f>
        <v>580255.0</v>
      </c>
    </row>
    <row r="101">
      <c r="A101" s="8" t="s">
        <v>23</v>
      </c>
      <c r="B101" s="9" t="s">
        <v>55</v>
      </c>
      <c r="C101" s="9" t="s">
        <v>56</v>
      </c>
      <c r="D101" s="10"/>
      <c r="E101" s="2"/>
      <c r="F101" s="10"/>
      <c r="G101" s="2"/>
      <c r="H101" s="10"/>
      <c r="I101" s="2"/>
      <c r="J101" s="10"/>
      <c r="K101" s="2"/>
    </row>
    <row r="102">
      <c r="A102" s="8" t="s">
        <v>24</v>
      </c>
      <c r="B102" s="9" t="s">
        <v>55</v>
      </c>
      <c r="C102" s="9" t="s">
        <v>56</v>
      </c>
      <c r="D102" s="10"/>
      <c r="E102" s="2"/>
      <c r="F102" s="10"/>
      <c r="G102" s="2"/>
      <c r="H102" s="10"/>
      <c r="I102" s="2"/>
      <c r="J102" s="10"/>
      <c r="K102" s="2"/>
    </row>
    <row r="103">
      <c r="A103" s="8" t="s">
        <v>25</v>
      </c>
      <c r="B103" s="9" t="s">
        <v>55</v>
      </c>
      <c r="C103" s="9" t="s">
        <v>56</v>
      </c>
      <c r="D103" s="10"/>
      <c r="E103" s="2" t="n">
        <f>59484</f>
        <v>59484.0</v>
      </c>
      <c r="F103" s="10"/>
      <c r="G103" s="2" t="n">
        <f>1620739422800</f>
        <v>1.6207394228E12</v>
      </c>
      <c r="H103" s="10"/>
      <c r="I103" s="2" t="n">
        <f>18040</f>
        <v>18040.0</v>
      </c>
      <c r="J103" s="10"/>
      <c r="K103" s="2" t="n">
        <f>578724</f>
        <v>578724.0</v>
      </c>
    </row>
    <row r="104">
      <c r="A104" s="8" t="s">
        <v>26</v>
      </c>
      <c r="B104" s="9" t="s">
        <v>55</v>
      </c>
      <c r="C104" s="9" t="s">
        <v>56</v>
      </c>
      <c r="D104" s="10"/>
      <c r="E104" s="2" t="n">
        <f>52296</f>
        <v>52296.0</v>
      </c>
      <c r="F104" s="10"/>
      <c r="G104" s="2" t="n">
        <f>1434362845420</f>
        <v>1.43436284542E12</v>
      </c>
      <c r="H104" s="10"/>
      <c r="I104" s="2" t="n">
        <f>9339</f>
        <v>9339.0</v>
      </c>
      <c r="J104" s="10"/>
      <c r="K104" s="2" t="n">
        <f>569415</f>
        <v>569415.0</v>
      </c>
    </row>
    <row r="105">
      <c r="A105" s="8" t="s">
        <v>28</v>
      </c>
      <c r="B105" s="9" t="s">
        <v>55</v>
      </c>
      <c r="C105" s="9" t="s">
        <v>56</v>
      </c>
      <c r="D105" s="10" t="s">
        <v>27</v>
      </c>
      <c r="E105" s="2" t="n">
        <f>38747</f>
        <v>38747.0</v>
      </c>
      <c r="F105" s="10" t="s">
        <v>27</v>
      </c>
      <c r="G105" s="2" t="n">
        <f>1064081645400</f>
        <v>1.0640816454E12</v>
      </c>
      <c r="H105" s="10" t="s">
        <v>27</v>
      </c>
      <c r="I105" s="2" t="n">
        <f>8356</f>
        <v>8356.0</v>
      </c>
      <c r="J105" s="10"/>
      <c r="K105" s="2" t="n">
        <f>569631</f>
        <v>569631.0</v>
      </c>
    </row>
    <row r="106">
      <c r="A106" s="8" t="s">
        <v>29</v>
      </c>
      <c r="B106" s="9" t="s">
        <v>55</v>
      </c>
      <c r="C106" s="9" t="s">
        <v>56</v>
      </c>
      <c r="D106" s="10"/>
      <c r="E106" s="2" t="n">
        <f>54420</f>
        <v>54420.0</v>
      </c>
      <c r="F106" s="10"/>
      <c r="G106" s="2" t="n">
        <f>1489319797500</f>
        <v>1.4893197975E12</v>
      </c>
      <c r="H106" s="10"/>
      <c r="I106" s="2" t="n">
        <f>13165</f>
        <v>13165.0</v>
      </c>
      <c r="J106" s="10"/>
      <c r="K106" s="2" t="n">
        <f>568409</f>
        <v>568409.0</v>
      </c>
    </row>
    <row r="107">
      <c r="A107" s="8" t="s">
        <v>30</v>
      </c>
      <c r="B107" s="9" t="s">
        <v>55</v>
      </c>
      <c r="C107" s="9" t="s">
        <v>56</v>
      </c>
      <c r="D107" s="10"/>
      <c r="E107" s="2" t="n">
        <f>51859</f>
        <v>51859.0</v>
      </c>
      <c r="F107" s="10"/>
      <c r="G107" s="2" t="n">
        <f>1428663391200</f>
        <v>1.4286633912E12</v>
      </c>
      <c r="H107" s="10"/>
      <c r="I107" s="2" t="n">
        <f>14454</f>
        <v>14454.0</v>
      </c>
      <c r="J107" s="10"/>
      <c r="K107" s="2" t="n">
        <f>571812</f>
        <v>571812.0</v>
      </c>
    </row>
    <row r="108">
      <c r="A108" s="8" t="s">
        <v>31</v>
      </c>
      <c r="B108" s="9" t="s">
        <v>55</v>
      </c>
      <c r="C108" s="9" t="s">
        <v>56</v>
      </c>
      <c r="D108" s="10"/>
      <c r="E108" s="2"/>
      <c r="F108" s="10"/>
      <c r="G108" s="2"/>
      <c r="H108" s="10"/>
      <c r="I108" s="2"/>
      <c r="J108" s="10"/>
      <c r="K108" s="2"/>
    </row>
    <row r="109">
      <c r="A109" s="8" t="s">
        <v>32</v>
      </c>
      <c r="B109" s="9" t="s">
        <v>55</v>
      </c>
      <c r="C109" s="9" t="s">
        <v>56</v>
      </c>
      <c r="D109" s="10"/>
      <c r="E109" s="2"/>
      <c r="F109" s="10"/>
      <c r="G109" s="2"/>
      <c r="H109" s="10"/>
      <c r="I109" s="2"/>
      <c r="J109" s="10"/>
      <c r="K109" s="2"/>
    </row>
    <row r="110">
      <c r="A110" s="8" t="s">
        <v>33</v>
      </c>
      <c r="B110" s="9" t="s">
        <v>55</v>
      </c>
      <c r="C110" s="9" t="s">
        <v>56</v>
      </c>
      <c r="D110" s="10"/>
      <c r="E110" s="2" t="n">
        <f>61619</f>
        <v>61619.0</v>
      </c>
      <c r="F110" s="10"/>
      <c r="G110" s="2" t="n">
        <f>1687678446400</f>
        <v>1.6876784464E12</v>
      </c>
      <c r="H110" s="10"/>
      <c r="I110" s="2" t="n">
        <f>13813</f>
        <v>13813.0</v>
      </c>
      <c r="J110" s="10"/>
      <c r="K110" s="2" t="n">
        <f>565088</f>
        <v>565088.0</v>
      </c>
    </row>
    <row r="111">
      <c r="A111" s="8" t="s">
        <v>34</v>
      </c>
      <c r="B111" s="9" t="s">
        <v>55</v>
      </c>
      <c r="C111" s="9" t="s">
        <v>56</v>
      </c>
      <c r="D111" s="10"/>
      <c r="E111" s="2" t="n">
        <f>96206</f>
        <v>96206.0</v>
      </c>
      <c r="F111" s="10"/>
      <c r="G111" s="2" t="n">
        <f>2613772093540</f>
        <v>2.61377209354E12</v>
      </c>
      <c r="H111" s="10"/>
      <c r="I111" s="2" t="n">
        <f>18033</f>
        <v>18033.0</v>
      </c>
      <c r="J111" s="10"/>
      <c r="K111" s="2" t="n">
        <f>556850</f>
        <v>556850.0</v>
      </c>
    </row>
    <row r="112">
      <c r="A112" s="8" t="s">
        <v>35</v>
      </c>
      <c r="B112" s="9" t="s">
        <v>55</v>
      </c>
      <c r="C112" s="9" t="s">
        <v>56</v>
      </c>
      <c r="D112" s="10"/>
      <c r="E112" s="2" t="n">
        <f>85980</f>
        <v>85980.0</v>
      </c>
      <c r="F112" s="10"/>
      <c r="G112" s="2" t="n">
        <f>2306919289000</f>
        <v>2.306919289E12</v>
      </c>
      <c r="H112" s="10"/>
      <c r="I112" s="2" t="n">
        <f>21779</f>
        <v>21779.0</v>
      </c>
      <c r="J112" s="10"/>
      <c r="K112" s="2" t="n">
        <f>554093</f>
        <v>554093.0</v>
      </c>
    </row>
    <row r="113">
      <c r="A113" s="8" t="s">
        <v>36</v>
      </c>
      <c r="B113" s="9" t="s">
        <v>55</v>
      </c>
      <c r="C113" s="9" t="s">
        <v>56</v>
      </c>
      <c r="D113" s="10"/>
      <c r="E113" s="2" t="n">
        <f>63986</f>
        <v>63986.0</v>
      </c>
      <c r="F113" s="10"/>
      <c r="G113" s="2" t="n">
        <f>1709752419200</f>
        <v>1.7097524192E12</v>
      </c>
      <c r="H113" s="10"/>
      <c r="I113" s="2" t="n">
        <f>14589</f>
        <v>14589.0</v>
      </c>
      <c r="J113" s="10"/>
      <c r="K113" s="2" t="n">
        <f>556787</f>
        <v>556787.0</v>
      </c>
    </row>
    <row r="114">
      <c r="A114" s="8" t="s">
        <v>37</v>
      </c>
      <c r="B114" s="9" t="s">
        <v>55</v>
      </c>
      <c r="C114" s="9" t="s">
        <v>56</v>
      </c>
      <c r="D114" s="10" t="s">
        <v>38</v>
      </c>
      <c r="E114" s="2" t="n">
        <f>106482</f>
        <v>106482.0</v>
      </c>
      <c r="F114" s="10" t="s">
        <v>38</v>
      </c>
      <c r="G114" s="2" t="n">
        <f>2804651431591</f>
        <v>2.804651431591E12</v>
      </c>
      <c r="H114" s="10"/>
      <c r="I114" s="2" t="n">
        <f>21659</f>
        <v>21659.0</v>
      </c>
      <c r="J114" s="10"/>
      <c r="K114" s="2" t="n">
        <f>548337</f>
        <v>548337.0</v>
      </c>
    </row>
    <row r="115">
      <c r="A115" s="8" t="s">
        <v>39</v>
      </c>
      <c r="B115" s="9" t="s">
        <v>55</v>
      </c>
      <c r="C115" s="9" t="s">
        <v>56</v>
      </c>
      <c r="D115" s="10"/>
      <c r="E115" s="2"/>
      <c r="F115" s="10"/>
      <c r="G115" s="2"/>
      <c r="H115" s="10"/>
      <c r="I115" s="2"/>
      <c r="J115" s="10"/>
      <c r="K115" s="2"/>
    </row>
    <row r="116">
      <c r="A116" s="8" t="s">
        <v>40</v>
      </c>
      <c r="B116" s="9" t="s">
        <v>55</v>
      </c>
      <c r="C116" s="9" t="s">
        <v>56</v>
      </c>
      <c r="D116" s="10"/>
      <c r="E116" s="2"/>
      <c r="F116" s="10"/>
      <c r="G116" s="2"/>
      <c r="H116" s="10"/>
      <c r="I116" s="2"/>
      <c r="J116" s="10"/>
      <c r="K116" s="2"/>
    </row>
    <row r="117">
      <c r="A117" s="8" t="s">
        <v>41</v>
      </c>
      <c r="B117" s="9" t="s">
        <v>55</v>
      </c>
      <c r="C117" s="9" t="s">
        <v>56</v>
      </c>
      <c r="D117" s="10"/>
      <c r="E117" s="2" t="n">
        <f>70724</f>
        <v>70724.0</v>
      </c>
      <c r="F117" s="10"/>
      <c r="G117" s="2" t="n">
        <f>1878581370000</f>
        <v>1.87858137E12</v>
      </c>
      <c r="H117" s="10"/>
      <c r="I117" s="2" t="n">
        <f>14977</f>
        <v>14977.0</v>
      </c>
      <c r="J117" s="10" t="s">
        <v>27</v>
      </c>
      <c r="K117" s="2" t="n">
        <f>547333</f>
        <v>547333.0</v>
      </c>
    </row>
    <row r="118">
      <c r="A118" s="8" t="s">
        <v>42</v>
      </c>
      <c r="B118" s="9" t="s">
        <v>55</v>
      </c>
      <c r="C118" s="9" t="s">
        <v>56</v>
      </c>
      <c r="D118" s="10"/>
      <c r="E118" s="2" t="n">
        <f>48284</f>
        <v>48284.0</v>
      </c>
      <c r="F118" s="10"/>
      <c r="G118" s="2" t="n">
        <f>1287888286210</f>
        <v>1.28788828621E12</v>
      </c>
      <c r="H118" s="10"/>
      <c r="I118" s="2" t="n">
        <f>11914</f>
        <v>11914.0</v>
      </c>
      <c r="J118" s="10"/>
      <c r="K118" s="2" t="n">
        <f>549535</f>
        <v>549535.0</v>
      </c>
    </row>
    <row r="119">
      <c r="A119" s="8" t="s">
        <v>43</v>
      </c>
      <c r="B119" s="9" t="s">
        <v>55</v>
      </c>
      <c r="C119" s="9" t="s">
        <v>56</v>
      </c>
      <c r="D119" s="10"/>
      <c r="E119" s="2" t="n">
        <f>60580</f>
        <v>60580.0</v>
      </c>
      <c r="F119" s="10"/>
      <c r="G119" s="2" t="n">
        <f>1633563515200</f>
        <v>1.6335635152E12</v>
      </c>
      <c r="H119" s="10"/>
      <c r="I119" s="2" t="n">
        <f>15222</f>
        <v>15222.0</v>
      </c>
      <c r="J119" s="10"/>
      <c r="K119" s="2" t="n">
        <f>549365</f>
        <v>549365.0</v>
      </c>
    </row>
    <row r="120">
      <c r="A120" s="8" t="s">
        <v>44</v>
      </c>
      <c r="B120" s="9" t="s">
        <v>55</v>
      </c>
      <c r="C120" s="9" t="s">
        <v>56</v>
      </c>
      <c r="D120" s="10"/>
      <c r="E120" s="2" t="n">
        <f>69570</f>
        <v>69570.0</v>
      </c>
      <c r="F120" s="10"/>
      <c r="G120" s="2" t="n">
        <f>1867967405122</f>
        <v>1.867967405122E12</v>
      </c>
      <c r="H120" s="10"/>
      <c r="I120" s="2" t="n">
        <f>14274</f>
        <v>14274.0</v>
      </c>
      <c r="J120" s="10"/>
      <c r="K120" s="2" t="n">
        <f>552165</f>
        <v>552165.0</v>
      </c>
    </row>
    <row r="121">
      <c r="A121" s="8" t="s">
        <v>45</v>
      </c>
      <c r="B121" s="9" t="s">
        <v>55</v>
      </c>
      <c r="C121" s="9" t="s">
        <v>56</v>
      </c>
      <c r="D121" s="10"/>
      <c r="E121" s="2" t="n">
        <f>60482</f>
        <v>60482.0</v>
      </c>
      <c r="F121" s="10"/>
      <c r="G121" s="2" t="n">
        <f>1616642066810</f>
        <v>1.61664206681E12</v>
      </c>
      <c r="H121" s="10"/>
      <c r="I121" s="2" t="n">
        <f>13287</f>
        <v>13287.0</v>
      </c>
      <c r="J121" s="10"/>
      <c r="K121" s="2" t="n">
        <f>550134</f>
        <v>550134.0</v>
      </c>
    </row>
    <row r="122">
      <c r="A122" s="8" t="s">
        <v>46</v>
      </c>
      <c r="B122" s="9" t="s">
        <v>55</v>
      </c>
      <c r="C122" s="9" t="s">
        <v>56</v>
      </c>
      <c r="D122" s="10"/>
      <c r="E122" s="2"/>
      <c r="F122" s="10"/>
      <c r="G122" s="2"/>
      <c r="H122" s="10"/>
      <c r="I122" s="2"/>
      <c r="J122" s="10"/>
      <c r="K122" s="2"/>
    </row>
    <row r="123">
      <c r="A123" s="8" t="s">
        <v>47</v>
      </c>
      <c r="B123" s="9" t="s">
        <v>55</v>
      </c>
      <c r="C123" s="9" t="s">
        <v>56</v>
      </c>
      <c r="D123" s="10"/>
      <c r="E123" s="2"/>
      <c r="F123" s="10"/>
      <c r="G123" s="2"/>
      <c r="H123" s="10"/>
      <c r="I123" s="2"/>
      <c r="J123" s="10"/>
      <c r="K123" s="2"/>
    </row>
    <row r="124">
      <c r="A124" s="8" t="s">
        <v>48</v>
      </c>
      <c r="B124" s="9" t="s">
        <v>55</v>
      </c>
      <c r="C124" s="9" t="s">
        <v>56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49</v>
      </c>
      <c r="B125" s="9" t="s">
        <v>55</v>
      </c>
      <c r="C125" s="9" t="s">
        <v>56</v>
      </c>
      <c r="D125" s="10"/>
      <c r="E125" s="2" t="n">
        <f>96552</f>
        <v>96552.0</v>
      </c>
      <c r="F125" s="10"/>
      <c r="G125" s="2" t="n">
        <f>2634436288717</f>
        <v>2.634436288717E12</v>
      </c>
      <c r="H125" s="10" t="s">
        <v>38</v>
      </c>
      <c r="I125" s="2" t="n">
        <f>27410</f>
        <v>27410.0</v>
      </c>
      <c r="J125" s="10"/>
      <c r="K125" s="2" t="n">
        <f>561144</f>
        <v>561144.0</v>
      </c>
    </row>
    <row r="126">
      <c r="A126" s="8" t="s">
        <v>16</v>
      </c>
      <c r="B126" s="9" t="s">
        <v>57</v>
      </c>
      <c r="C126" s="9" t="s">
        <v>58</v>
      </c>
      <c r="D126" s="10"/>
      <c r="E126" s="2" t="n">
        <f>33188</f>
        <v>33188.0</v>
      </c>
      <c r="F126" s="10"/>
      <c r="G126" s="2" t="n">
        <f>90971532650</f>
        <v>9.097153265E10</v>
      </c>
      <c r="H126" s="10" t="s">
        <v>27</v>
      </c>
      <c r="I126" s="2" t="n">
        <f>634</f>
        <v>634.0</v>
      </c>
      <c r="J126" s="10" t="s">
        <v>27</v>
      </c>
      <c r="K126" s="2" t="n">
        <f>54249</f>
        <v>54249.0</v>
      </c>
    </row>
    <row r="127">
      <c r="A127" s="8" t="s">
        <v>19</v>
      </c>
      <c r="B127" s="9" t="s">
        <v>57</v>
      </c>
      <c r="C127" s="9" t="s">
        <v>58</v>
      </c>
      <c r="D127" s="10"/>
      <c r="E127" s="2" t="n">
        <f>28359</f>
        <v>28359.0</v>
      </c>
      <c r="F127" s="10"/>
      <c r="G127" s="2" t="n">
        <f>77198479100</f>
        <v>7.71984791E10</v>
      </c>
      <c r="H127" s="10"/>
      <c r="I127" s="2" t="n">
        <f>716</f>
        <v>716.0</v>
      </c>
      <c r="J127" s="10"/>
      <c r="K127" s="2" t="n">
        <f>54487</f>
        <v>54487.0</v>
      </c>
    </row>
    <row r="128">
      <c r="A128" s="8" t="s">
        <v>20</v>
      </c>
      <c r="B128" s="9" t="s">
        <v>57</v>
      </c>
      <c r="C128" s="9" t="s">
        <v>58</v>
      </c>
      <c r="D128" s="10"/>
      <c r="E128" s="2" t="n">
        <f>31990</f>
        <v>31990.0</v>
      </c>
      <c r="F128" s="10"/>
      <c r="G128" s="2" t="n">
        <f>86575093380</f>
        <v>8.657509338E10</v>
      </c>
      <c r="H128" s="10"/>
      <c r="I128" s="2" t="n">
        <f>1461</f>
        <v>1461.0</v>
      </c>
      <c r="J128" s="10"/>
      <c r="K128" s="2" t="n">
        <f>55702</f>
        <v>55702.0</v>
      </c>
    </row>
    <row r="129">
      <c r="A129" s="8" t="s">
        <v>21</v>
      </c>
      <c r="B129" s="9" t="s">
        <v>57</v>
      </c>
      <c r="C129" s="9" t="s">
        <v>58</v>
      </c>
      <c r="D129" s="10"/>
      <c r="E129" s="2" t="n">
        <f>29949</f>
        <v>29949.0</v>
      </c>
      <c r="F129" s="10"/>
      <c r="G129" s="2" t="n">
        <f>82005309550</f>
        <v>8.200530955E10</v>
      </c>
      <c r="H129" s="10"/>
      <c r="I129" s="2" t="n">
        <f>1427</f>
        <v>1427.0</v>
      </c>
      <c r="J129" s="10"/>
      <c r="K129" s="2" t="n">
        <f>55430</f>
        <v>55430.0</v>
      </c>
    </row>
    <row r="130">
      <c r="A130" s="8" t="s">
        <v>22</v>
      </c>
      <c r="B130" s="9" t="s">
        <v>57</v>
      </c>
      <c r="C130" s="9" t="s">
        <v>58</v>
      </c>
      <c r="D130" s="10"/>
      <c r="E130" s="2" t="n">
        <f>41387</f>
        <v>41387.0</v>
      </c>
      <c r="F130" s="10"/>
      <c r="G130" s="2" t="n">
        <f>111958149175</f>
        <v>1.11958149175E11</v>
      </c>
      <c r="H130" s="10"/>
      <c r="I130" s="2" t="n">
        <f>2503</f>
        <v>2503.0</v>
      </c>
      <c r="J130" s="10"/>
      <c r="K130" s="2" t="n">
        <f>56442</f>
        <v>56442.0</v>
      </c>
    </row>
    <row r="131">
      <c r="A131" s="8" t="s">
        <v>23</v>
      </c>
      <c r="B131" s="9" t="s">
        <v>57</v>
      </c>
      <c r="C131" s="9" t="s">
        <v>58</v>
      </c>
      <c r="D131" s="10"/>
      <c r="E131" s="2"/>
      <c r="F131" s="10"/>
      <c r="G131" s="2"/>
      <c r="H131" s="10"/>
      <c r="I131" s="2"/>
      <c r="J131" s="10"/>
      <c r="K131" s="2"/>
    </row>
    <row r="132">
      <c r="A132" s="8" t="s">
        <v>24</v>
      </c>
      <c r="B132" s="9" t="s">
        <v>57</v>
      </c>
      <c r="C132" s="9" t="s">
        <v>58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25</v>
      </c>
      <c r="B133" s="9" t="s">
        <v>57</v>
      </c>
      <c r="C133" s="9" t="s">
        <v>58</v>
      </c>
      <c r="D133" s="10"/>
      <c r="E133" s="2" t="n">
        <f>26828</f>
        <v>26828.0</v>
      </c>
      <c r="F133" s="10"/>
      <c r="G133" s="2" t="n">
        <f>73058809450</f>
        <v>7.305880945E10</v>
      </c>
      <c r="H133" s="10"/>
      <c r="I133" s="2" t="n">
        <f>1101</f>
        <v>1101.0</v>
      </c>
      <c r="J133" s="10"/>
      <c r="K133" s="2" t="n">
        <f>56330</f>
        <v>56330.0</v>
      </c>
    </row>
    <row r="134">
      <c r="A134" s="8" t="s">
        <v>26</v>
      </c>
      <c r="B134" s="9" t="s">
        <v>57</v>
      </c>
      <c r="C134" s="9" t="s">
        <v>58</v>
      </c>
      <c r="D134" s="10" t="s">
        <v>27</v>
      </c>
      <c r="E134" s="2" t="n">
        <f>19420</f>
        <v>19420.0</v>
      </c>
      <c r="F134" s="10" t="s">
        <v>27</v>
      </c>
      <c r="G134" s="2" t="n">
        <f>53275420375</f>
        <v>5.3275420375E10</v>
      </c>
      <c r="H134" s="10"/>
      <c r="I134" s="2" t="n">
        <f>894</f>
        <v>894.0</v>
      </c>
      <c r="J134" s="10"/>
      <c r="K134" s="2" t="n">
        <f>55983</f>
        <v>55983.0</v>
      </c>
    </row>
    <row r="135">
      <c r="A135" s="8" t="s">
        <v>28</v>
      </c>
      <c r="B135" s="9" t="s">
        <v>57</v>
      </c>
      <c r="C135" s="9" t="s">
        <v>58</v>
      </c>
      <c r="D135" s="10"/>
      <c r="E135" s="2" t="n">
        <f>20973</f>
        <v>20973.0</v>
      </c>
      <c r="F135" s="10"/>
      <c r="G135" s="2" t="n">
        <f>57602341100</f>
        <v>5.76023411E10</v>
      </c>
      <c r="H135" s="10"/>
      <c r="I135" s="2" t="n">
        <f>1056</f>
        <v>1056.0</v>
      </c>
      <c r="J135" s="10"/>
      <c r="K135" s="2" t="n">
        <f>56961</f>
        <v>56961.0</v>
      </c>
    </row>
    <row r="136">
      <c r="A136" s="8" t="s">
        <v>29</v>
      </c>
      <c r="B136" s="9" t="s">
        <v>57</v>
      </c>
      <c r="C136" s="9" t="s">
        <v>58</v>
      </c>
      <c r="D136" s="10"/>
      <c r="E136" s="2" t="n">
        <f>31319</f>
        <v>31319.0</v>
      </c>
      <c r="F136" s="10"/>
      <c r="G136" s="2" t="n">
        <f>85633179670</f>
        <v>8.563317967E10</v>
      </c>
      <c r="H136" s="10"/>
      <c r="I136" s="2" t="n">
        <f>866</f>
        <v>866.0</v>
      </c>
      <c r="J136" s="10"/>
      <c r="K136" s="2" t="n">
        <f>56852</f>
        <v>56852.0</v>
      </c>
    </row>
    <row r="137">
      <c r="A137" s="8" t="s">
        <v>30</v>
      </c>
      <c r="B137" s="9" t="s">
        <v>57</v>
      </c>
      <c r="C137" s="9" t="s">
        <v>58</v>
      </c>
      <c r="D137" s="10"/>
      <c r="E137" s="2" t="n">
        <f>28474</f>
        <v>28474.0</v>
      </c>
      <c r="F137" s="10"/>
      <c r="G137" s="2" t="n">
        <f>78435413790</f>
        <v>7.843541379E10</v>
      </c>
      <c r="H137" s="10"/>
      <c r="I137" s="2" t="n">
        <f>913</f>
        <v>913.0</v>
      </c>
      <c r="J137" s="10"/>
      <c r="K137" s="2" t="n">
        <f>56972</f>
        <v>56972.0</v>
      </c>
    </row>
    <row r="138">
      <c r="A138" s="8" t="s">
        <v>31</v>
      </c>
      <c r="B138" s="9" t="s">
        <v>57</v>
      </c>
      <c r="C138" s="9" t="s">
        <v>58</v>
      </c>
      <c r="D138" s="10"/>
      <c r="E138" s="2"/>
      <c r="F138" s="10"/>
      <c r="G138" s="2"/>
      <c r="H138" s="10"/>
      <c r="I138" s="2"/>
      <c r="J138" s="10"/>
      <c r="K138" s="2"/>
    </row>
    <row r="139">
      <c r="A139" s="8" t="s">
        <v>32</v>
      </c>
      <c r="B139" s="9" t="s">
        <v>57</v>
      </c>
      <c r="C139" s="9" t="s">
        <v>58</v>
      </c>
      <c r="D139" s="10"/>
      <c r="E139" s="2"/>
      <c r="F139" s="10"/>
      <c r="G139" s="2"/>
      <c r="H139" s="10"/>
      <c r="I139" s="2"/>
      <c r="J139" s="10"/>
      <c r="K139" s="2"/>
    </row>
    <row r="140">
      <c r="A140" s="8" t="s">
        <v>33</v>
      </c>
      <c r="B140" s="9" t="s">
        <v>57</v>
      </c>
      <c r="C140" s="9" t="s">
        <v>58</v>
      </c>
      <c r="D140" s="10"/>
      <c r="E140" s="2" t="n">
        <f>31540</f>
        <v>31540.0</v>
      </c>
      <c r="F140" s="10"/>
      <c r="G140" s="2" t="n">
        <f>86356074400</f>
        <v>8.63560744E10</v>
      </c>
      <c r="H140" s="10"/>
      <c r="I140" s="2" t="n">
        <f>848</f>
        <v>848.0</v>
      </c>
      <c r="J140" s="10"/>
      <c r="K140" s="2" t="n">
        <f>56580</f>
        <v>56580.0</v>
      </c>
    </row>
    <row r="141">
      <c r="A141" s="8" t="s">
        <v>34</v>
      </c>
      <c r="B141" s="9" t="s">
        <v>57</v>
      </c>
      <c r="C141" s="9" t="s">
        <v>58</v>
      </c>
      <c r="D141" s="10"/>
      <c r="E141" s="2" t="n">
        <f>48752</f>
        <v>48752.0</v>
      </c>
      <c r="F141" s="10"/>
      <c r="G141" s="2" t="n">
        <f>132444003250</f>
        <v>1.3244400325E11</v>
      </c>
      <c r="H141" s="10"/>
      <c r="I141" s="2" t="n">
        <f>882</f>
        <v>882.0</v>
      </c>
      <c r="J141" s="10"/>
      <c r="K141" s="2" t="n">
        <f>57562</f>
        <v>57562.0</v>
      </c>
    </row>
    <row r="142">
      <c r="A142" s="8" t="s">
        <v>35</v>
      </c>
      <c r="B142" s="9" t="s">
        <v>57</v>
      </c>
      <c r="C142" s="9" t="s">
        <v>58</v>
      </c>
      <c r="D142" s="10"/>
      <c r="E142" s="2" t="n">
        <f>53580</f>
        <v>53580.0</v>
      </c>
      <c r="F142" s="10"/>
      <c r="G142" s="2" t="n">
        <f>143672720475</f>
        <v>1.43672720475E11</v>
      </c>
      <c r="H142" s="10"/>
      <c r="I142" s="2" t="n">
        <f>1339</f>
        <v>1339.0</v>
      </c>
      <c r="J142" s="10"/>
      <c r="K142" s="2" t="n">
        <f>58582</f>
        <v>58582.0</v>
      </c>
    </row>
    <row r="143">
      <c r="A143" s="8" t="s">
        <v>36</v>
      </c>
      <c r="B143" s="9" t="s">
        <v>57</v>
      </c>
      <c r="C143" s="9" t="s">
        <v>58</v>
      </c>
      <c r="D143" s="10"/>
      <c r="E143" s="2" t="n">
        <f>40074</f>
        <v>40074.0</v>
      </c>
      <c r="F143" s="10"/>
      <c r="G143" s="2" t="n">
        <f>107033117860</f>
        <v>1.0703311786E11</v>
      </c>
      <c r="H143" s="10"/>
      <c r="I143" s="2" t="n">
        <f>3119</f>
        <v>3119.0</v>
      </c>
      <c r="J143" s="10"/>
      <c r="K143" s="2" t="n">
        <f>60615</f>
        <v>60615.0</v>
      </c>
    </row>
    <row r="144">
      <c r="A144" s="8" t="s">
        <v>37</v>
      </c>
      <c r="B144" s="9" t="s">
        <v>57</v>
      </c>
      <c r="C144" s="9" t="s">
        <v>58</v>
      </c>
      <c r="D144" s="10"/>
      <c r="E144" s="2" t="n">
        <f>52578</f>
        <v>52578.0</v>
      </c>
      <c r="F144" s="10"/>
      <c r="G144" s="2" t="n">
        <f>138423197125</f>
        <v>1.38423197125E11</v>
      </c>
      <c r="H144" s="10"/>
      <c r="I144" s="2" t="n">
        <f>1374</f>
        <v>1374.0</v>
      </c>
      <c r="J144" s="10"/>
      <c r="K144" s="2" t="n">
        <f>62837</f>
        <v>62837.0</v>
      </c>
    </row>
    <row r="145">
      <c r="A145" s="8" t="s">
        <v>39</v>
      </c>
      <c r="B145" s="9" t="s">
        <v>57</v>
      </c>
      <c r="C145" s="9" t="s">
        <v>58</v>
      </c>
      <c r="D145" s="10"/>
      <c r="E145" s="2"/>
      <c r="F145" s="10"/>
      <c r="G145" s="2"/>
      <c r="H145" s="10"/>
      <c r="I145" s="2"/>
      <c r="J145" s="10"/>
      <c r="K145" s="2"/>
    </row>
    <row r="146">
      <c r="A146" s="8" t="s">
        <v>40</v>
      </c>
      <c r="B146" s="9" t="s">
        <v>57</v>
      </c>
      <c r="C146" s="9" t="s">
        <v>58</v>
      </c>
      <c r="D146" s="10"/>
      <c r="E146" s="2"/>
      <c r="F146" s="10"/>
      <c r="G146" s="2"/>
      <c r="H146" s="10"/>
      <c r="I146" s="2"/>
      <c r="J146" s="10"/>
      <c r="K146" s="2"/>
    </row>
    <row r="147">
      <c r="A147" s="8" t="s">
        <v>41</v>
      </c>
      <c r="B147" s="9" t="s">
        <v>57</v>
      </c>
      <c r="C147" s="9" t="s">
        <v>58</v>
      </c>
      <c r="D147" s="10"/>
      <c r="E147" s="2" t="n">
        <f>30213</f>
        <v>30213.0</v>
      </c>
      <c r="F147" s="10"/>
      <c r="G147" s="2" t="n">
        <f>80195045480</f>
        <v>8.019504548E10</v>
      </c>
      <c r="H147" s="10"/>
      <c r="I147" s="2" t="n">
        <f>1302</f>
        <v>1302.0</v>
      </c>
      <c r="J147" s="10"/>
      <c r="K147" s="2" t="n">
        <f>63048</f>
        <v>63048.0</v>
      </c>
    </row>
    <row r="148">
      <c r="A148" s="8" t="s">
        <v>42</v>
      </c>
      <c r="B148" s="9" t="s">
        <v>57</v>
      </c>
      <c r="C148" s="9" t="s">
        <v>58</v>
      </c>
      <c r="D148" s="10"/>
      <c r="E148" s="2" t="n">
        <f>20387</f>
        <v>20387.0</v>
      </c>
      <c r="F148" s="10"/>
      <c r="G148" s="2" t="n">
        <f>54408856925</f>
        <v>5.4408856925E10</v>
      </c>
      <c r="H148" s="10"/>
      <c r="I148" s="2" t="n">
        <f>1070</f>
        <v>1070.0</v>
      </c>
      <c r="J148" s="10"/>
      <c r="K148" s="2" t="n">
        <f>63180</f>
        <v>63180.0</v>
      </c>
    </row>
    <row r="149">
      <c r="A149" s="8" t="s">
        <v>43</v>
      </c>
      <c r="B149" s="9" t="s">
        <v>57</v>
      </c>
      <c r="C149" s="9" t="s">
        <v>58</v>
      </c>
      <c r="D149" s="10"/>
      <c r="E149" s="2" t="n">
        <f>22121</f>
        <v>22121.0</v>
      </c>
      <c r="F149" s="10"/>
      <c r="G149" s="2" t="n">
        <f>59575515650</f>
        <v>5.957551565E10</v>
      </c>
      <c r="H149" s="10"/>
      <c r="I149" s="2" t="n">
        <f>694</f>
        <v>694.0</v>
      </c>
      <c r="J149" s="10"/>
      <c r="K149" s="2" t="n">
        <f>62848</f>
        <v>62848.0</v>
      </c>
    </row>
    <row r="150">
      <c r="A150" s="8" t="s">
        <v>44</v>
      </c>
      <c r="B150" s="9" t="s">
        <v>57</v>
      </c>
      <c r="C150" s="9" t="s">
        <v>58</v>
      </c>
      <c r="D150" s="10"/>
      <c r="E150" s="2" t="n">
        <f>21404</f>
        <v>21404.0</v>
      </c>
      <c r="F150" s="10"/>
      <c r="G150" s="2" t="n">
        <f>57432633490</f>
        <v>5.743263349E10</v>
      </c>
      <c r="H150" s="10"/>
      <c r="I150" s="2" t="n">
        <f>939</f>
        <v>939.0</v>
      </c>
      <c r="J150" s="10"/>
      <c r="K150" s="2" t="n">
        <f>63906</f>
        <v>63906.0</v>
      </c>
    </row>
    <row r="151">
      <c r="A151" s="8" t="s">
        <v>45</v>
      </c>
      <c r="B151" s="9" t="s">
        <v>57</v>
      </c>
      <c r="C151" s="9" t="s">
        <v>58</v>
      </c>
      <c r="D151" s="10"/>
      <c r="E151" s="2" t="n">
        <f>26935</f>
        <v>26935.0</v>
      </c>
      <c r="F151" s="10"/>
      <c r="G151" s="2" t="n">
        <f>71870793095</f>
        <v>7.1870793095E10</v>
      </c>
      <c r="H151" s="10"/>
      <c r="I151" s="2" t="n">
        <f>1172</f>
        <v>1172.0</v>
      </c>
      <c r="J151" s="10"/>
      <c r="K151" s="2" t="n">
        <f>64050</f>
        <v>64050.0</v>
      </c>
    </row>
    <row r="152">
      <c r="A152" s="8" t="s">
        <v>46</v>
      </c>
      <c r="B152" s="9" t="s">
        <v>57</v>
      </c>
      <c r="C152" s="9" t="s">
        <v>58</v>
      </c>
      <c r="D152" s="10"/>
      <c r="E152" s="2"/>
      <c r="F152" s="10"/>
      <c r="G152" s="2"/>
      <c r="H152" s="10"/>
      <c r="I152" s="2"/>
      <c r="J152" s="10"/>
      <c r="K152" s="2"/>
    </row>
    <row r="153">
      <c r="A153" s="8" t="s">
        <v>47</v>
      </c>
      <c r="B153" s="9" t="s">
        <v>57</v>
      </c>
      <c r="C153" s="9" t="s">
        <v>58</v>
      </c>
      <c r="D153" s="10"/>
      <c r="E153" s="2"/>
      <c r="F153" s="10"/>
      <c r="G153" s="2"/>
      <c r="H153" s="10"/>
      <c r="I153" s="2"/>
      <c r="J153" s="10"/>
      <c r="K153" s="2"/>
    </row>
    <row r="154">
      <c r="A154" s="8" t="s">
        <v>48</v>
      </c>
      <c r="B154" s="9" t="s">
        <v>57</v>
      </c>
      <c r="C154" s="9" t="s">
        <v>58</v>
      </c>
      <c r="D154" s="10"/>
      <c r="E154" s="2"/>
      <c r="F154" s="10"/>
      <c r="G154" s="2"/>
      <c r="H154" s="10"/>
      <c r="I154" s="2"/>
      <c r="J154" s="10"/>
      <c r="K154" s="2"/>
    </row>
    <row r="155">
      <c r="A155" s="8" t="s">
        <v>49</v>
      </c>
      <c r="B155" s="9" t="s">
        <v>57</v>
      </c>
      <c r="C155" s="9" t="s">
        <v>58</v>
      </c>
      <c r="D155" s="10" t="s">
        <v>38</v>
      </c>
      <c r="E155" s="2" t="n">
        <f>64147</f>
        <v>64147.0</v>
      </c>
      <c r="F155" s="10" t="s">
        <v>38</v>
      </c>
      <c r="G155" s="2" t="n">
        <f>174822126335</f>
        <v>1.74822126335E11</v>
      </c>
      <c r="H155" s="10" t="s">
        <v>38</v>
      </c>
      <c r="I155" s="2" t="n">
        <f>3636</f>
        <v>3636.0</v>
      </c>
      <c r="J155" s="10" t="s">
        <v>38</v>
      </c>
      <c r="K155" s="2" t="n">
        <f>64932</f>
        <v>64932.0</v>
      </c>
    </row>
    <row r="156">
      <c r="A156" s="8" t="s">
        <v>16</v>
      </c>
      <c r="B156" s="9" t="s">
        <v>59</v>
      </c>
      <c r="C156" s="9" t="s">
        <v>60</v>
      </c>
      <c r="D156" s="10" t="s">
        <v>27</v>
      </c>
      <c r="E156" s="2" t="str">
        <f>"－"</f>
        <v>－</v>
      </c>
      <c r="F156" s="10" t="s">
        <v>27</v>
      </c>
      <c r="G156" s="2" t="str">
        <f>"－"</f>
        <v>－</v>
      </c>
      <c r="H156" s="10" t="s">
        <v>54</v>
      </c>
      <c r="I156" s="2" t="str">
        <f>"－"</f>
        <v>－</v>
      </c>
      <c r="J156" s="10" t="s">
        <v>27</v>
      </c>
      <c r="K156" s="2" t="n">
        <f>23</f>
        <v>23.0</v>
      </c>
    </row>
    <row r="157">
      <c r="A157" s="8" t="s">
        <v>19</v>
      </c>
      <c r="B157" s="9" t="s">
        <v>59</v>
      </c>
      <c r="C157" s="9" t="s">
        <v>60</v>
      </c>
      <c r="D157" s="10"/>
      <c r="E157" s="2" t="n">
        <f>1</f>
        <v>1.0</v>
      </c>
      <c r="F157" s="10"/>
      <c r="G157" s="2" t="n">
        <f>1184500</f>
        <v>1184500.0</v>
      </c>
      <c r="H157" s="10"/>
      <c r="I157" s="2" t="str">
        <f>"－"</f>
        <v>－</v>
      </c>
      <c r="J157" s="10" t="s">
        <v>38</v>
      </c>
      <c r="K157" s="2" t="n">
        <f>24</f>
        <v>24.0</v>
      </c>
    </row>
    <row r="158">
      <c r="A158" s="8" t="s">
        <v>20</v>
      </c>
      <c r="B158" s="9" t="s">
        <v>59</v>
      </c>
      <c r="C158" s="9" t="s">
        <v>60</v>
      </c>
      <c r="D158" s="10"/>
      <c r="E158" s="2" t="str">
        <f>"－"</f>
        <v>－</v>
      </c>
      <c r="F158" s="10"/>
      <c r="G158" s="2" t="str">
        <f>"－"</f>
        <v>－</v>
      </c>
      <c r="H158" s="10"/>
      <c r="I158" s="2" t="str">
        <f>"－"</f>
        <v>－</v>
      </c>
      <c r="J158" s="10"/>
      <c r="K158" s="2" t="n">
        <f>24</f>
        <v>24.0</v>
      </c>
    </row>
    <row r="159">
      <c r="A159" s="8" t="s">
        <v>21</v>
      </c>
      <c r="B159" s="9" t="s">
        <v>59</v>
      </c>
      <c r="C159" s="9" t="s">
        <v>60</v>
      </c>
      <c r="D159" s="10"/>
      <c r="E159" s="2" t="str">
        <f>"－"</f>
        <v>－</v>
      </c>
      <c r="F159" s="10"/>
      <c r="G159" s="2" t="str">
        <f>"－"</f>
        <v>－</v>
      </c>
      <c r="H159" s="10"/>
      <c r="I159" s="2" t="str">
        <f>"－"</f>
        <v>－</v>
      </c>
      <c r="J159" s="10"/>
      <c r="K159" s="2" t="n">
        <f>24</f>
        <v>24.0</v>
      </c>
    </row>
    <row r="160">
      <c r="A160" s="8" t="s">
        <v>22</v>
      </c>
      <c r="B160" s="9" t="s">
        <v>59</v>
      </c>
      <c r="C160" s="9" t="s">
        <v>60</v>
      </c>
      <c r="D160" s="10"/>
      <c r="E160" s="2" t="n">
        <f>1</f>
        <v>1.0</v>
      </c>
      <c r="F160" s="10"/>
      <c r="G160" s="2" t="n">
        <f>1170500</f>
        <v>1170500.0</v>
      </c>
      <c r="H160" s="10"/>
      <c r="I160" s="2" t="str">
        <f>"－"</f>
        <v>－</v>
      </c>
      <c r="J160" s="10"/>
      <c r="K160" s="2" t="n">
        <f>23</f>
        <v>23.0</v>
      </c>
    </row>
    <row r="161">
      <c r="A161" s="8" t="s">
        <v>23</v>
      </c>
      <c r="B161" s="9" t="s">
        <v>59</v>
      </c>
      <c r="C161" s="9" t="s">
        <v>60</v>
      </c>
      <c r="D161" s="10"/>
      <c r="E161" s="2"/>
      <c r="F161" s="10"/>
      <c r="G161" s="2"/>
      <c r="H161" s="10"/>
      <c r="I161" s="2"/>
      <c r="J161" s="10"/>
      <c r="K161" s="2"/>
    </row>
    <row r="162">
      <c r="A162" s="8" t="s">
        <v>24</v>
      </c>
      <c r="B162" s="9" t="s">
        <v>59</v>
      </c>
      <c r="C162" s="9" t="s">
        <v>60</v>
      </c>
      <c r="D162" s="10"/>
      <c r="E162" s="2"/>
      <c r="F162" s="10"/>
      <c r="G162" s="2"/>
      <c r="H162" s="10"/>
      <c r="I162" s="2"/>
      <c r="J162" s="10"/>
      <c r="K162" s="2"/>
    </row>
    <row r="163">
      <c r="A163" s="8" t="s">
        <v>25</v>
      </c>
      <c r="B163" s="9" t="s">
        <v>59</v>
      </c>
      <c r="C163" s="9" t="s">
        <v>60</v>
      </c>
      <c r="D163" s="10"/>
      <c r="E163" s="2" t="n">
        <f>1</f>
        <v>1.0</v>
      </c>
      <c r="F163" s="10"/>
      <c r="G163" s="2" t="n">
        <f>1178500</f>
        <v>1178500.0</v>
      </c>
      <c r="H163" s="10"/>
      <c r="I163" s="2" t="str">
        <f>"－"</f>
        <v>－</v>
      </c>
      <c r="J163" s="10"/>
      <c r="K163" s="2" t="n">
        <f>24</f>
        <v>24.0</v>
      </c>
    </row>
    <row r="164">
      <c r="A164" s="8" t="s">
        <v>26</v>
      </c>
      <c r="B164" s="9" t="s">
        <v>59</v>
      </c>
      <c r="C164" s="9" t="s">
        <v>60</v>
      </c>
      <c r="D164" s="10"/>
      <c r="E164" s="2" t="str">
        <f>"－"</f>
        <v>－</v>
      </c>
      <c r="F164" s="10"/>
      <c r="G164" s="2" t="str">
        <f>"－"</f>
        <v>－</v>
      </c>
      <c r="H164" s="10"/>
      <c r="I164" s="2" t="str">
        <f>"－"</f>
        <v>－</v>
      </c>
      <c r="J164" s="10"/>
      <c r="K164" s="2" t="n">
        <f>24</f>
        <v>24.0</v>
      </c>
    </row>
    <row r="165">
      <c r="A165" s="8" t="s">
        <v>28</v>
      </c>
      <c r="B165" s="9" t="s">
        <v>59</v>
      </c>
      <c r="C165" s="9" t="s">
        <v>60</v>
      </c>
      <c r="D165" s="10"/>
      <c r="E165" s="2" t="str">
        <f>"－"</f>
        <v>－</v>
      </c>
      <c r="F165" s="10"/>
      <c r="G165" s="2" t="str">
        <f>"－"</f>
        <v>－</v>
      </c>
      <c r="H165" s="10"/>
      <c r="I165" s="2" t="str">
        <f>"－"</f>
        <v>－</v>
      </c>
      <c r="J165" s="10"/>
      <c r="K165" s="2" t="n">
        <f>24</f>
        <v>24.0</v>
      </c>
    </row>
    <row r="166">
      <c r="A166" s="8" t="s">
        <v>29</v>
      </c>
      <c r="B166" s="9" t="s">
        <v>59</v>
      </c>
      <c r="C166" s="9" t="s">
        <v>60</v>
      </c>
      <c r="D166" s="10"/>
      <c r="E166" s="2" t="str">
        <f>"－"</f>
        <v>－</v>
      </c>
      <c r="F166" s="10"/>
      <c r="G166" s="2" t="str">
        <f>"－"</f>
        <v>－</v>
      </c>
      <c r="H166" s="10"/>
      <c r="I166" s="2" t="str">
        <f>"－"</f>
        <v>－</v>
      </c>
      <c r="J166" s="10"/>
      <c r="K166" s="2" t="n">
        <f>24</f>
        <v>24.0</v>
      </c>
    </row>
    <row r="167">
      <c r="A167" s="8" t="s">
        <v>30</v>
      </c>
      <c r="B167" s="9" t="s">
        <v>59</v>
      </c>
      <c r="C167" s="9" t="s">
        <v>60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24</f>
        <v>24.0</v>
      </c>
    </row>
    <row r="168">
      <c r="A168" s="8" t="s">
        <v>31</v>
      </c>
      <c r="B168" s="9" t="s">
        <v>59</v>
      </c>
      <c r="C168" s="9" t="s">
        <v>60</v>
      </c>
      <c r="D168" s="10"/>
      <c r="E168" s="2"/>
      <c r="F168" s="10"/>
      <c r="G168" s="2"/>
      <c r="H168" s="10"/>
      <c r="I168" s="2"/>
      <c r="J168" s="10"/>
      <c r="K168" s="2"/>
    </row>
    <row r="169">
      <c r="A169" s="8" t="s">
        <v>32</v>
      </c>
      <c r="B169" s="9" t="s">
        <v>59</v>
      </c>
      <c r="C169" s="9" t="s">
        <v>60</v>
      </c>
      <c r="D169" s="10"/>
      <c r="E169" s="2"/>
      <c r="F169" s="10"/>
      <c r="G169" s="2"/>
      <c r="H169" s="10"/>
      <c r="I169" s="2"/>
      <c r="J169" s="10"/>
      <c r="K169" s="2"/>
    </row>
    <row r="170">
      <c r="A170" s="8" t="s">
        <v>33</v>
      </c>
      <c r="B170" s="9" t="s">
        <v>59</v>
      </c>
      <c r="C170" s="9" t="s">
        <v>60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24</f>
        <v>24.0</v>
      </c>
    </row>
    <row r="171">
      <c r="A171" s="8" t="s">
        <v>34</v>
      </c>
      <c r="B171" s="9" t="s">
        <v>59</v>
      </c>
      <c r="C171" s="9" t="s">
        <v>60</v>
      </c>
      <c r="D171" s="10" t="s">
        <v>38</v>
      </c>
      <c r="E171" s="2" t="n">
        <f>2</f>
        <v>2.0</v>
      </c>
      <c r="F171" s="10" t="s">
        <v>38</v>
      </c>
      <c r="G171" s="2" t="n">
        <f>2341500</f>
        <v>2341500.0</v>
      </c>
      <c r="H171" s="10"/>
      <c r="I171" s="2" t="str">
        <f>"－"</f>
        <v>－</v>
      </c>
      <c r="J171" s="10"/>
      <c r="K171" s="2" t="n">
        <f>23</f>
        <v>23.0</v>
      </c>
    </row>
    <row r="172">
      <c r="A172" s="8" t="s">
        <v>35</v>
      </c>
      <c r="B172" s="9" t="s">
        <v>59</v>
      </c>
      <c r="C172" s="9" t="s">
        <v>60</v>
      </c>
      <c r="D172" s="10"/>
      <c r="E172" s="2" t="n">
        <f>2</f>
        <v>2.0</v>
      </c>
      <c r="F172" s="10"/>
      <c r="G172" s="2" t="n">
        <f>2316000</f>
        <v>2316000.0</v>
      </c>
      <c r="H172" s="10"/>
      <c r="I172" s="2" t="str">
        <f>"－"</f>
        <v>－</v>
      </c>
      <c r="J172" s="10"/>
      <c r="K172" s="2" t="n">
        <f>24</f>
        <v>24.0</v>
      </c>
    </row>
    <row r="173">
      <c r="A173" s="8" t="s">
        <v>36</v>
      </c>
      <c r="B173" s="9" t="s">
        <v>59</v>
      </c>
      <c r="C173" s="9" t="s">
        <v>60</v>
      </c>
      <c r="D173" s="10"/>
      <c r="E173" s="2" t="n">
        <f>2</f>
        <v>2.0</v>
      </c>
      <c r="F173" s="10"/>
      <c r="G173" s="2" t="n">
        <f>2313500</f>
        <v>2313500.0</v>
      </c>
      <c r="H173" s="10"/>
      <c r="I173" s="2" t="str">
        <f>"－"</f>
        <v>－</v>
      </c>
      <c r="J173" s="10"/>
      <c r="K173" s="2" t="n">
        <f>23</f>
        <v>23.0</v>
      </c>
    </row>
    <row r="174">
      <c r="A174" s="8" t="s">
        <v>37</v>
      </c>
      <c r="B174" s="9" t="s">
        <v>59</v>
      </c>
      <c r="C174" s="9" t="s">
        <v>60</v>
      </c>
      <c r="D174" s="10"/>
      <c r="E174" s="2" t="n">
        <f>2</f>
        <v>2.0</v>
      </c>
      <c r="F174" s="10"/>
      <c r="G174" s="2" t="n">
        <f>2259000</f>
        <v>2259000.0</v>
      </c>
      <c r="H174" s="10"/>
      <c r="I174" s="2" t="str">
        <f>"－"</f>
        <v>－</v>
      </c>
      <c r="J174" s="10"/>
      <c r="K174" s="2" t="n">
        <f>24</f>
        <v>24.0</v>
      </c>
    </row>
    <row r="175">
      <c r="A175" s="8" t="s">
        <v>39</v>
      </c>
      <c r="B175" s="9" t="s">
        <v>59</v>
      </c>
      <c r="C175" s="9" t="s">
        <v>60</v>
      </c>
      <c r="D175" s="10"/>
      <c r="E175" s="2"/>
      <c r="F175" s="10"/>
      <c r="G175" s="2"/>
      <c r="H175" s="10"/>
      <c r="I175" s="2"/>
      <c r="J175" s="10"/>
      <c r="K175" s="2"/>
    </row>
    <row r="176">
      <c r="A176" s="8" t="s">
        <v>40</v>
      </c>
      <c r="B176" s="9" t="s">
        <v>59</v>
      </c>
      <c r="C176" s="9" t="s">
        <v>60</v>
      </c>
      <c r="D176" s="10"/>
      <c r="E176" s="2"/>
      <c r="F176" s="10"/>
      <c r="G176" s="2"/>
      <c r="H176" s="10"/>
      <c r="I176" s="2"/>
      <c r="J176" s="10"/>
      <c r="K176" s="2"/>
    </row>
    <row r="177">
      <c r="A177" s="8" t="s">
        <v>41</v>
      </c>
      <c r="B177" s="9" t="s">
        <v>59</v>
      </c>
      <c r="C177" s="9" t="s">
        <v>60</v>
      </c>
      <c r="D177" s="10"/>
      <c r="E177" s="2" t="n">
        <f>1</f>
        <v>1.0</v>
      </c>
      <c r="F177" s="10"/>
      <c r="G177" s="2" t="n">
        <f>1146500</f>
        <v>1146500.0</v>
      </c>
      <c r="H177" s="10"/>
      <c r="I177" s="2" t="str">
        <f>"－"</f>
        <v>－</v>
      </c>
      <c r="J177" s="10"/>
      <c r="K177" s="2" t="n">
        <f>23</f>
        <v>23.0</v>
      </c>
    </row>
    <row r="178">
      <c r="A178" s="8" t="s">
        <v>42</v>
      </c>
      <c r="B178" s="9" t="s">
        <v>59</v>
      </c>
      <c r="C178" s="9" t="s">
        <v>60</v>
      </c>
      <c r="D178" s="10"/>
      <c r="E178" s="2" t="str">
        <f>"－"</f>
        <v>－</v>
      </c>
      <c r="F178" s="10"/>
      <c r="G178" s="2" t="str">
        <f>"－"</f>
        <v>－</v>
      </c>
      <c r="H178" s="10"/>
      <c r="I178" s="2" t="str">
        <f>"－"</f>
        <v>－</v>
      </c>
      <c r="J178" s="10"/>
      <c r="K178" s="2" t="n">
        <f>23</f>
        <v>23.0</v>
      </c>
    </row>
    <row r="179">
      <c r="A179" s="8" t="s">
        <v>43</v>
      </c>
      <c r="B179" s="9" t="s">
        <v>59</v>
      </c>
      <c r="C179" s="9" t="s">
        <v>60</v>
      </c>
      <c r="D179" s="10"/>
      <c r="E179" s="2" t="str">
        <f>"－"</f>
        <v>－</v>
      </c>
      <c r="F179" s="10"/>
      <c r="G179" s="2" t="str">
        <f>"－"</f>
        <v>－</v>
      </c>
      <c r="H179" s="10"/>
      <c r="I179" s="2" t="str">
        <f>"－"</f>
        <v>－</v>
      </c>
      <c r="J179" s="10"/>
      <c r="K179" s="2" t="n">
        <f>23</f>
        <v>23.0</v>
      </c>
    </row>
    <row r="180">
      <c r="A180" s="8" t="s">
        <v>44</v>
      </c>
      <c r="B180" s="9" t="s">
        <v>59</v>
      </c>
      <c r="C180" s="9" t="s">
        <v>60</v>
      </c>
      <c r="D180" s="10"/>
      <c r="E180" s="2" t="str">
        <f>"－"</f>
        <v>－</v>
      </c>
      <c r="F180" s="10"/>
      <c r="G180" s="2" t="str">
        <f>"－"</f>
        <v>－</v>
      </c>
      <c r="H180" s="10"/>
      <c r="I180" s="2" t="str">
        <f>"－"</f>
        <v>－</v>
      </c>
      <c r="J180" s="10"/>
      <c r="K180" s="2" t="n">
        <f>23</f>
        <v>23.0</v>
      </c>
    </row>
    <row r="181">
      <c r="A181" s="8" t="s">
        <v>45</v>
      </c>
      <c r="B181" s="9" t="s">
        <v>59</v>
      </c>
      <c r="C181" s="9" t="s">
        <v>60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23</f>
        <v>23.0</v>
      </c>
    </row>
    <row r="182">
      <c r="A182" s="8" t="s">
        <v>46</v>
      </c>
      <c r="B182" s="9" t="s">
        <v>59</v>
      </c>
      <c r="C182" s="9" t="s">
        <v>60</v>
      </c>
      <c r="D182" s="10"/>
      <c r="E182" s="2"/>
      <c r="F182" s="10"/>
      <c r="G182" s="2"/>
      <c r="H182" s="10"/>
      <c r="I182" s="2"/>
      <c r="J182" s="10"/>
      <c r="K182" s="2"/>
    </row>
    <row r="183">
      <c r="A183" s="8" t="s">
        <v>47</v>
      </c>
      <c r="B183" s="9" t="s">
        <v>59</v>
      </c>
      <c r="C183" s="9" t="s">
        <v>60</v>
      </c>
      <c r="D183" s="10"/>
      <c r="E183" s="2"/>
      <c r="F183" s="10"/>
      <c r="G183" s="2"/>
      <c r="H183" s="10"/>
      <c r="I183" s="2"/>
      <c r="J183" s="10"/>
      <c r="K183" s="2"/>
    </row>
    <row r="184">
      <c r="A184" s="8" t="s">
        <v>48</v>
      </c>
      <c r="B184" s="9" t="s">
        <v>59</v>
      </c>
      <c r="C184" s="9" t="s">
        <v>60</v>
      </c>
      <c r="D184" s="10"/>
      <c r="E184" s="2"/>
      <c r="F184" s="10"/>
      <c r="G184" s="2"/>
      <c r="H184" s="10"/>
      <c r="I184" s="2"/>
      <c r="J184" s="10"/>
      <c r="K184" s="2"/>
    </row>
    <row r="185">
      <c r="A185" s="8" t="s">
        <v>49</v>
      </c>
      <c r="B185" s="9" t="s">
        <v>59</v>
      </c>
      <c r="C185" s="9" t="s">
        <v>60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23</f>
        <v>23.0</v>
      </c>
    </row>
    <row r="186">
      <c r="A186" s="8" t="s">
        <v>16</v>
      </c>
      <c r="B186" s="9" t="s">
        <v>61</v>
      </c>
      <c r="C186" s="9" t="s">
        <v>62</v>
      </c>
      <c r="D186" s="10"/>
      <c r="E186" s="2" t="n">
        <f>6925</f>
        <v>6925.0</v>
      </c>
      <c r="F186" s="10"/>
      <c r="G186" s="2" t="n">
        <f>17154312000</f>
        <v>1.7154312E10</v>
      </c>
      <c r="H186" s="10" t="s">
        <v>27</v>
      </c>
      <c r="I186" s="2" t="n">
        <f>129</f>
        <v>129.0</v>
      </c>
      <c r="J186" s="10"/>
      <c r="K186" s="2" t="n">
        <f>58252</f>
        <v>58252.0</v>
      </c>
    </row>
    <row r="187">
      <c r="A187" s="8" t="s">
        <v>19</v>
      </c>
      <c r="B187" s="9" t="s">
        <v>61</v>
      </c>
      <c r="C187" s="9" t="s">
        <v>62</v>
      </c>
      <c r="D187" s="10"/>
      <c r="E187" s="2" t="n">
        <f>7700</f>
        <v>7700.0</v>
      </c>
      <c r="F187" s="10"/>
      <c r="G187" s="2" t="n">
        <f>18989335892</f>
        <v>1.8989335892E10</v>
      </c>
      <c r="H187" s="10"/>
      <c r="I187" s="2" t="n">
        <f>265</f>
        <v>265.0</v>
      </c>
      <c r="J187" s="10"/>
      <c r="K187" s="2" t="n">
        <f>58746</f>
        <v>58746.0</v>
      </c>
    </row>
    <row r="188">
      <c r="A188" s="8" t="s">
        <v>20</v>
      </c>
      <c r="B188" s="9" t="s">
        <v>61</v>
      </c>
      <c r="C188" s="9" t="s">
        <v>62</v>
      </c>
      <c r="D188" s="10"/>
      <c r="E188" s="2" t="n">
        <f>9434</f>
        <v>9434.0</v>
      </c>
      <c r="F188" s="10"/>
      <c r="G188" s="2" t="n">
        <f>23121150490</f>
        <v>2.312115049E10</v>
      </c>
      <c r="H188" s="10"/>
      <c r="I188" s="2" t="n">
        <f>649</f>
        <v>649.0</v>
      </c>
      <c r="J188" s="10"/>
      <c r="K188" s="2" t="n">
        <f>57799</f>
        <v>57799.0</v>
      </c>
    </row>
    <row r="189">
      <c r="A189" s="8" t="s">
        <v>21</v>
      </c>
      <c r="B189" s="9" t="s">
        <v>61</v>
      </c>
      <c r="C189" s="9" t="s">
        <v>62</v>
      </c>
      <c r="D189" s="10"/>
      <c r="E189" s="2" t="n">
        <f>10480</f>
        <v>10480.0</v>
      </c>
      <c r="F189" s="10"/>
      <c r="G189" s="2" t="n">
        <f>26004223185</f>
        <v>2.6004223185E10</v>
      </c>
      <c r="H189" s="10"/>
      <c r="I189" s="2" t="n">
        <f>611</f>
        <v>611.0</v>
      </c>
      <c r="J189" s="10" t="s">
        <v>38</v>
      </c>
      <c r="K189" s="2" t="n">
        <f>58759</f>
        <v>58759.0</v>
      </c>
    </row>
    <row r="190">
      <c r="A190" s="8" t="s">
        <v>22</v>
      </c>
      <c r="B190" s="9" t="s">
        <v>61</v>
      </c>
      <c r="C190" s="9" t="s">
        <v>62</v>
      </c>
      <c r="D190" s="10"/>
      <c r="E190" s="2" t="n">
        <f>12580</f>
        <v>12580.0</v>
      </c>
      <c r="F190" s="10"/>
      <c r="G190" s="2" t="n">
        <f>30860774820</f>
        <v>3.086077482E10</v>
      </c>
      <c r="H190" s="10"/>
      <c r="I190" s="2" t="n">
        <f>715</f>
        <v>715.0</v>
      </c>
      <c r="J190" s="10"/>
      <c r="K190" s="2" t="n">
        <f>54210</f>
        <v>54210.0</v>
      </c>
    </row>
    <row r="191">
      <c r="A191" s="8" t="s">
        <v>23</v>
      </c>
      <c r="B191" s="9" t="s">
        <v>61</v>
      </c>
      <c r="C191" s="9" t="s">
        <v>62</v>
      </c>
      <c r="D191" s="10"/>
      <c r="E191" s="2"/>
      <c r="F191" s="10"/>
      <c r="G191" s="2"/>
      <c r="H191" s="10"/>
      <c r="I191" s="2"/>
      <c r="J191" s="10"/>
      <c r="K191" s="2"/>
    </row>
    <row r="192">
      <c r="A192" s="8" t="s">
        <v>24</v>
      </c>
      <c r="B192" s="9" t="s">
        <v>61</v>
      </c>
      <c r="C192" s="9" t="s">
        <v>62</v>
      </c>
      <c r="D192" s="10"/>
      <c r="E192" s="2"/>
      <c r="F192" s="10"/>
      <c r="G192" s="2"/>
      <c r="H192" s="10"/>
      <c r="I192" s="2"/>
      <c r="J192" s="10"/>
      <c r="K192" s="2"/>
    </row>
    <row r="193">
      <c r="A193" s="8" t="s">
        <v>25</v>
      </c>
      <c r="B193" s="9" t="s">
        <v>61</v>
      </c>
      <c r="C193" s="9" t="s">
        <v>62</v>
      </c>
      <c r="D193" s="10"/>
      <c r="E193" s="2" t="n">
        <f>9168</f>
        <v>9168.0</v>
      </c>
      <c r="F193" s="10"/>
      <c r="G193" s="2" t="n">
        <f>22634600800</f>
        <v>2.26346008E10</v>
      </c>
      <c r="H193" s="10" t="s">
        <v>38</v>
      </c>
      <c r="I193" s="2" t="n">
        <f>1165</f>
        <v>1165.0</v>
      </c>
      <c r="J193" s="10"/>
      <c r="K193" s="2" t="n">
        <f>53929</f>
        <v>53929.0</v>
      </c>
    </row>
    <row r="194">
      <c r="A194" s="8" t="s">
        <v>26</v>
      </c>
      <c r="B194" s="9" t="s">
        <v>61</v>
      </c>
      <c r="C194" s="9" t="s">
        <v>62</v>
      </c>
      <c r="D194" s="10"/>
      <c r="E194" s="2" t="n">
        <f>7057</f>
        <v>7057.0</v>
      </c>
      <c r="F194" s="10"/>
      <c r="G194" s="2" t="n">
        <f>17538433000</f>
        <v>1.7538433E10</v>
      </c>
      <c r="H194" s="10"/>
      <c r="I194" s="2" t="n">
        <f>460</f>
        <v>460.0</v>
      </c>
      <c r="J194" s="10"/>
      <c r="K194" s="2" t="n">
        <f>53446</f>
        <v>53446.0</v>
      </c>
    </row>
    <row r="195">
      <c r="A195" s="8" t="s">
        <v>28</v>
      </c>
      <c r="B195" s="9" t="s">
        <v>61</v>
      </c>
      <c r="C195" s="9" t="s">
        <v>62</v>
      </c>
      <c r="D195" s="10" t="s">
        <v>27</v>
      </c>
      <c r="E195" s="2" t="n">
        <f>5940</f>
        <v>5940.0</v>
      </c>
      <c r="F195" s="10" t="s">
        <v>27</v>
      </c>
      <c r="G195" s="2" t="n">
        <f>14773085470</f>
        <v>1.477308547E10</v>
      </c>
      <c r="H195" s="10"/>
      <c r="I195" s="2" t="n">
        <f>421</f>
        <v>421.0</v>
      </c>
      <c r="J195" s="10"/>
      <c r="K195" s="2" t="n">
        <f>53486</f>
        <v>53486.0</v>
      </c>
    </row>
    <row r="196">
      <c r="A196" s="8" t="s">
        <v>29</v>
      </c>
      <c r="B196" s="9" t="s">
        <v>61</v>
      </c>
      <c r="C196" s="9" t="s">
        <v>62</v>
      </c>
      <c r="D196" s="10"/>
      <c r="E196" s="2" t="n">
        <f>7297</f>
        <v>7297.0</v>
      </c>
      <c r="F196" s="10"/>
      <c r="G196" s="2" t="n">
        <f>18059672490</f>
        <v>1.805967249E10</v>
      </c>
      <c r="H196" s="10"/>
      <c r="I196" s="2" t="n">
        <f>672</f>
        <v>672.0</v>
      </c>
      <c r="J196" s="10"/>
      <c r="K196" s="2" t="n">
        <f>53520</f>
        <v>53520.0</v>
      </c>
    </row>
    <row r="197">
      <c r="A197" s="8" t="s">
        <v>30</v>
      </c>
      <c r="B197" s="9" t="s">
        <v>61</v>
      </c>
      <c r="C197" s="9" t="s">
        <v>62</v>
      </c>
      <c r="D197" s="10"/>
      <c r="E197" s="2" t="n">
        <f>7210</f>
        <v>7210.0</v>
      </c>
      <c r="F197" s="10"/>
      <c r="G197" s="2" t="n">
        <f>17992729470</f>
        <v>1.799272947E10</v>
      </c>
      <c r="H197" s="10"/>
      <c r="I197" s="2" t="n">
        <f>684</f>
        <v>684.0</v>
      </c>
      <c r="J197" s="10"/>
      <c r="K197" s="2" t="n">
        <f>53728</f>
        <v>53728.0</v>
      </c>
    </row>
    <row r="198">
      <c r="A198" s="8" t="s">
        <v>31</v>
      </c>
      <c r="B198" s="9" t="s">
        <v>61</v>
      </c>
      <c r="C198" s="9" t="s">
        <v>62</v>
      </c>
      <c r="D198" s="10"/>
      <c r="E198" s="2"/>
      <c r="F198" s="10"/>
      <c r="G198" s="2"/>
      <c r="H198" s="10"/>
      <c r="I198" s="2"/>
      <c r="J198" s="10"/>
      <c r="K198" s="2"/>
    </row>
    <row r="199">
      <c r="A199" s="8" t="s">
        <v>32</v>
      </c>
      <c r="B199" s="9" t="s">
        <v>61</v>
      </c>
      <c r="C199" s="9" t="s">
        <v>62</v>
      </c>
      <c r="D199" s="10"/>
      <c r="E199" s="2"/>
      <c r="F199" s="10"/>
      <c r="G199" s="2"/>
      <c r="H199" s="10"/>
      <c r="I199" s="2"/>
      <c r="J199" s="10"/>
      <c r="K199" s="2"/>
    </row>
    <row r="200">
      <c r="A200" s="8" t="s">
        <v>33</v>
      </c>
      <c r="B200" s="9" t="s">
        <v>61</v>
      </c>
      <c r="C200" s="9" t="s">
        <v>62</v>
      </c>
      <c r="D200" s="10"/>
      <c r="E200" s="2" t="n">
        <f>7880</f>
        <v>7880.0</v>
      </c>
      <c r="F200" s="10"/>
      <c r="G200" s="2" t="n">
        <f>19520267480</f>
        <v>1.952026748E10</v>
      </c>
      <c r="H200" s="10"/>
      <c r="I200" s="2" t="n">
        <f>952</f>
        <v>952.0</v>
      </c>
      <c r="J200" s="10"/>
      <c r="K200" s="2" t="n">
        <f>53116</f>
        <v>53116.0</v>
      </c>
    </row>
    <row r="201">
      <c r="A201" s="8" t="s">
        <v>34</v>
      </c>
      <c r="B201" s="9" t="s">
        <v>61</v>
      </c>
      <c r="C201" s="9" t="s">
        <v>62</v>
      </c>
      <c r="D201" s="10"/>
      <c r="E201" s="2" t="n">
        <f>11677</f>
        <v>11677.0</v>
      </c>
      <c r="F201" s="10"/>
      <c r="G201" s="2" t="n">
        <f>28726812030</f>
        <v>2.872681203E10</v>
      </c>
      <c r="H201" s="10"/>
      <c r="I201" s="2" t="n">
        <f>802</f>
        <v>802.0</v>
      </c>
      <c r="J201" s="10"/>
      <c r="K201" s="2" t="n">
        <f>52291</f>
        <v>52291.0</v>
      </c>
    </row>
    <row r="202">
      <c r="A202" s="8" t="s">
        <v>35</v>
      </c>
      <c r="B202" s="9" t="s">
        <v>61</v>
      </c>
      <c r="C202" s="9" t="s">
        <v>62</v>
      </c>
      <c r="D202" s="10"/>
      <c r="E202" s="2" t="n">
        <f>11448</f>
        <v>11448.0</v>
      </c>
      <c r="F202" s="10"/>
      <c r="G202" s="2" t="n">
        <f>27798997490</f>
        <v>2.779899749E10</v>
      </c>
      <c r="H202" s="10"/>
      <c r="I202" s="2" t="n">
        <f>840</f>
        <v>840.0</v>
      </c>
      <c r="J202" s="10"/>
      <c r="K202" s="2" t="n">
        <f>52496</f>
        <v>52496.0</v>
      </c>
    </row>
    <row r="203">
      <c r="A203" s="8" t="s">
        <v>36</v>
      </c>
      <c r="B203" s="9" t="s">
        <v>61</v>
      </c>
      <c r="C203" s="9" t="s">
        <v>62</v>
      </c>
      <c r="D203" s="10"/>
      <c r="E203" s="2" t="n">
        <f>9633</f>
        <v>9633.0</v>
      </c>
      <c r="F203" s="10"/>
      <c r="G203" s="2" t="n">
        <f>23276356000</f>
        <v>2.3276356E10</v>
      </c>
      <c r="H203" s="10"/>
      <c r="I203" s="2" t="n">
        <f>343</f>
        <v>343.0</v>
      </c>
      <c r="J203" s="10"/>
      <c r="K203" s="2" t="n">
        <f>52546</f>
        <v>52546.0</v>
      </c>
    </row>
    <row r="204">
      <c r="A204" s="8" t="s">
        <v>37</v>
      </c>
      <c r="B204" s="9" t="s">
        <v>61</v>
      </c>
      <c r="C204" s="9" t="s">
        <v>62</v>
      </c>
      <c r="D204" s="10" t="s">
        <v>38</v>
      </c>
      <c r="E204" s="2" t="n">
        <f>15627</f>
        <v>15627.0</v>
      </c>
      <c r="F204" s="10" t="s">
        <v>38</v>
      </c>
      <c r="G204" s="2" t="n">
        <f>37237634500</f>
        <v>3.72376345E10</v>
      </c>
      <c r="H204" s="10"/>
      <c r="I204" s="2" t="n">
        <f>1056</f>
        <v>1056.0</v>
      </c>
      <c r="J204" s="10"/>
      <c r="K204" s="2" t="n">
        <f>51439</f>
        <v>51439.0</v>
      </c>
    </row>
    <row r="205">
      <c r="A205" s="8" t="s">
        <v>39</v>
      </c>
      <c r="B205" s="9" t="s">
        <v>61</v>
      </c>
      <c r="C205" s="9" t="s">
        <v>62</v>
      </c>
      <c r="D205" s="10"/>
      <c r="E205" s="2"/>
      <c r="F205" s="10"/>
      <c r="G205" s="2"/>
      <c r="H205" s="10"/>
      <c r="I205" s="2"/>
      <c r="J205" s="10"/>
      <c r="K205" s="2"/>
    </row>
    <row r="206">
      <c r="A206" s="8" t="s">
        <v>40</v>
      </c>
      <c r="B206" s="9" t="s">
        <v>61</v>
      </c>
      <c r="C206" s="9" t="s">
        <v>62</v>
      </c>
      <c r="D206" s="10"/>
      <c r="E206" s="2"/>
      <c r="F206" s="10"/>
      <c r="G206" s="2"/>
      <c r="H206" s="10"/>
      <c r="I206" s="2"/>
      <c r="J206" s="10"/>
      <c r="K206" s="2"/>
    </row>
    <row r="207">
      <c r="A207" s="8" t="s">
        <v>41</v>
      </c>
      <c r="B207" s="9" t="s">
        <v>61</v>
      </c>
      <c r="C207" s="9" t="s">
        <v>62</v>
      </c>
      <c r="D207" s="10"/>
      <c r="E207" s="2" t="n">
        <f>12331</f>
        <v>12331.0</v>
      </c>
      <c r="F207" s="10"/>
      <c r="G207" s="2" t="n">
        <f>29634735990</f>
        <v>2.963473599E10</v>
      </c>
      <c r="H207" s="10"/>
      <c r="I207" s="2" t="n">
        <f>912</f>
        <v>912.0</v>
      </c>
      <c r="J207" s="10"/>
      <c r="K207" s="2" t="n">
        <f>51586</f>
        <v>51586.0</v>
      </c>
    </row>
    <row r="208">
      <c r="A208" s="8" t="s">
        <v>42</v>
      </c>
      <c r="B208" s="9" t="s">
        <v>61</v>
      </c>
      <c r="C208" s="9" t="s">
        <v>62</v>
      </c>
      <c r="D208" s="10"/>
      <c r="E208" s="2" t="n">
        <f>6224</f>
        <v>6224.0</v>
      </c>
      <c r="F208" s="10"/>
      <c r="G208" s="2" t="n">
        <f>15043159010</f>
        <v>1.504315901E10</v>
      </c>
      <c r="H208" s="10"/>
      <c r="I208" s="2" t="n">
        <f>906</f>
        <v>906.0</v>
      </c>
      <c r="J208" s="10" t="s">
        <v>27</v>
      </c>
      <c r="K208" s="2" t="n">
        <f>51287</f>
        <v>51287.0</v>
      </c>
    </row>
    <row r="209">
      <c r="A209" s="8" t="s">
        <v>43</v>
      </c>
      <c r="B209" s="9" t="s">
        <v>61</v>
      </c>
      <c r="C209" s="9" t="s">
        <v>62</v>
      </c>
      <c r="D209" s="10"/>
      <c r="E209" s="2" t="n">
        <f>8445</f>
        <v>8445.0</v>
      </c>
      <c r="F209" s="10"/>
      <c r="G209" s="2" t="n">
        <f>20643790490</f>
        <v>2.064379049E10</v>
      </c>
      <c r="H209" s="10"/>
      <c r="I209" s="2" t="n">
        <f>427</f>
        <v>427.0</v>
      </c>
      <c r="J209" s="10"/>
      <c r="K209" s="2" t="n">
        <f>51681</f>
        <v>51681.0</v>
      </c>
    </row>
    <row r="210">
      <c r="A210" s="8" t="s">
        <v>44</v>
      </c>
      <c r="B210" s="9" t="s">
        <v>61</v>
      </c>
      <c r="C210" s="9" t="s">
        <v>62</v>
      </c>
      <c r="D210" s="10"/>
      <c r="E210" s="2" t="n">
        <f>9314</f>
        <v>9314.0</v>
      </c>
      <c r="F210" s="10"/>
      <c r="G210" s="2" t="n">
        <f>22650276500</f>
        <v>2.26502765E10</v>
      </c>
      <c r="H210" s="10"/>
      <c r="I210" s="2" t="n">
        <f>479</f>
        <v>479.0</v>
      </c>
      <c r="J210" s="10"/>
      <c r="K210" s="2" t="n">
        <f>52169</f>
        <v>52169.0</v>
      </c>
    </row>
    <row r="211">
      <c r="A211" s="8" t="s">
        <v>45</v>
      </c>
      <c r="B211" s="9" t="s">
        <v>61</v>
      </c>
      <c r="C211" s="9" t="s">
        <v>62</v>
      </c>
      <c r="D211" s="10"/>
      <c r="E211" s="2" t="n">
        <f>6520</f>
        <v>6520.0</v>
      </c>
      <c r="F211" s="10"/>
      <c r="G211" s="2" t="n">
        <f>15795169286</f>
        <v>1.5795169286E10</v>
      </c>
      <c r="H211" s="10"/>
      <c r="I211" s="2" t="n">
        <f>393</f>
        <v>393.0</v>
      </c>
      <c r="J211" s="10"/>
      <c r="K211" s="2" t="n">
        <f>51448</f>
        <v>51448.0</v>
      </c>
    </row>
    <row r="212">
      <c r="A212" s="8" t="s">
        <v>46</v>
      </c>
      <c r="B212" s="9" t="s">
        <v>61</v>
      </c>
      <c r="C212" s="9" t="s">
        <v>62</v>
      </c>
      <c r="D212" s="10"/>
      <c r="E212" s="2"/>
      <c r="F212" s="10"/>
      <c r="G212" s="2"/>
      <c r="H212" s="10"/>
      <c r="I212" s="2"/>
      <c r="J212" s="10"/>
      <c r="K212" s="2"/>
    </row>
    <row r="213">
      <c r="A213" s="8" t="s">
        <v>47</v>
      </c>
      <c r="B213" s="9" t="s">
        <v>61</v>
      </c>
      <c r="C213" s="9" t="s">
        <v>62</v>
      </c>
      <c r="D213" s="10"/>
      <c r="E213" s="2"/>
      <c r="F213" s="10"/>
      <c r="G213" s="2"/>
      <c r="H213" s="10"/>
      <c r="I213" s="2"/>
      <c r="J213" s="10"/>
      <c r="K213" s="2"/>
    </row>
    <row r="214">
      <c r="A214" s="8" t="s">
        <v>48</v>
      </c>
      <c r="B214" s="9" t="s">
        <v>61</v>
      </c>
      <c r="C214" s="9" t="s">
        <v>62</v>
      </c>
      <c r="D214" s="10"/>
      <c r="E214" s="2"/>
      <c r="F214" s="10"/>
      <c r="G214" s="2"/>
      <c r="H214" s="10"/>
      <c r="I214" s="2"/>
      <c r="J214" s="10"/>
      <c r="K214" s="2"/>
    </row>
    <row r="215">
      <c r="A215" s="8" t="s">
        <v>49</v>
      </c>
      <c r="B215" s="9" t="s">
        <v>61</v>
      </c>
      <c r="C215" s="9" t="s">
        <v>62</v>
      </c>
      <c r="D215" s="10"/>
      <c r="E215" s="2" t="n">
        <f>11868</f>
        <v>11868.0</v>
      </c>
      <c r="F215" s="10"/>
      <c r="G215" s="2" t="n">
        <f>29387165294</f>
        <v>2.9387165294E10</v>
      </c>
      <c r="H215" s="10"/>
      <c r="I215" s="2" t="n">
        <f>570</f>
        <v>570.0</v>
      </c>
      <c r="J215" s="10"/>
      <c r="K215" s="2" t="n">
        <f>52122</f>
        <v>52122.0</v>
      </c>
    </row>
    <row r="216">
      <c r="A216" s="8" t="s">
        <v>16</v>
      </c>
      <c r="B216" s="9" t="s">
        <v>63</v>
      </c>
      <c r="C216" s="9" t="s">
        <v>64</v>
      </c>
      <c r="D216" s="10" t="s">
        <v>54</v>
      </c>
      <c r="E216" s="2" t="str">
        <f>"－"</f>
        <v>－</v>
      </c>
      <c r="F216" s="10" t="s">
        <v>54</v>
      </c>
      <c r="G216" s="2" t="str">
        <f>"－"</f>
        <v>－</v>
      </c>
      <c r="H216" s="10" t="s">
        <v>54</v>
      </c>
      <c r="I216" s="2" t="str">
        <f>"－"</f>
        <v>－</v>
      </c>
      <c r="J216" s="10" t="s">
        <v>54</v>
      </c>
      <c r="K216" s="2" t="n">
        <f>156</f>
        <v>156.0</v>
      </c>
    </row>
    <row r="217">
      <c r="A217" s="8" t="s">
        <v>19</v>
      </c>
      <c r="B217" s="9" t="s">
        <v>63</v>
      </c>
      <c r="C217" s="9" t="s">
        <v>64</v>
      </c>
      <c r="D217" s="10"/>
      <c r="E217" s="2" t="str">
        <f>"－"</f>
        <v>－</v>
      </c>
      <c r="F217" s="10"/>
      <c r="G217" s="2" t="str">
        <f>"－"</f>
        <v>－</v>
      </c>
      <c r="H217" s="10"/>
      <c r="I217" s="2" t="str">
        <f>"－"</f>
        <v>－</v>
      </c>
      <c r="J217" s="10"/>
      <c r="K217" s="2" t="n">
        <f>156</f>
        <v>156.0</v>
      </c>
    </row>
    <row r="218">
      <c r="A218" s="8" t="s">
        <v>20</v>
      </c>
      <c r="B218" s="9" t="s">
        <v>63</v>
      </c>
      <c r="C218" s="9" t="s">
        <v>64</v>
      </c>
      <c r="D218" s="10"/>
      <c r="E218" s="2" t="str">
        <f>"－"</f>
        <v>－</v>
      </c>
      <c r="F218" s="10"/>
      <c r="G218" s="2" t="str">
        <f>"－"</f>
        <v>－</v>
      </c>
      <c r="H218" s="10"/>
      <c r="I218" s="2" t="str">
        <f>"－"</f>
        <v>－</v>
      </c>
      <c r="J218" s="10"/>
      <c r="K218" s="2" t="n">
        <f>156</f>
        <v>156.0</v>
      </c>
    </row>
    <row r="219">
      <c r="A219" s="8" t="s">
        <v>21</v>
      </c>
      <c r="B219" s="9" t="s">
        <v>63</v>
      </c>
      <c r="C219" s="9" t="s">
        <v>64</v>
      </c>
      <c r="D219" s="10"/>
      <c r="E219" s="2" t="str">
        <f>"－"</f>
        <v>－</v>
      </c>
      <c r="F219" s="10"/>
      <c r="G219" s="2" t="str">
        <f>"－"</f>
        <v>－</v>
      </c>
      <c r="H219" s="10"/>
      <c r="I219" s="2" t="str">
        <f>"－"</f>
        <v>－</v>
      </c>
      <c r="J219" s="10"/>
      <c r="K219" s="2" t="n">
        <f>156</f>
        <v>156.0</v>
      </c>
    </row>
    <row r="220">
      <c r="A220" s="8" t="s">
        <v>22</v>
      </c>
      <c r="B220" s="9" t="s">
        <v>63</v>
      </c>
      <c r="C220" s="9" t="s">
        <v>64</v>
      </c>
      <c r="D220" s="10"/>
      <c r="E220" s="2" t="str">
        <f>"－"</f>
        <v>－</v>
      </c>
      <c r="F220" s="10"/>
      <c r="G220" s="2" t="str">
        <f>"－"</f>
        <v>－</v>
      </c>
      <c r="H220" s="10"/>
      <c r="I220" s="2" t="str">
        <f>"－"</f>
        <v>－</v>
      </c>
      <c r="J220" s="10"/>
      <c r="K220" s="2" t="n">
        <f>156</f>
        <v>156.0</v>
      </c>
    </row>
    <row r="221">
      <c r="A221" s="8" t="s">
        <v>23</v>
      </c>
      <c r="B221" s="9" t="s">
        <v>63</v>
      </c>
      <c r="C221" s="9" t="s">
        <v>64</v>
      </c>
      <c r="D221" s="10"/>
      <c r="E221" s="2"/>
      <c r="F221" s="10"/>
      <c r="G221" s="2"/>
      <c r="H221" s="10"/>
      <c r="I221" s="2"/>
      <c r="J221" s="10"/>
      <c r="K221" s="2"/>
    </row>
    <row r="222">
      <c r="A222" s="8" t="s">
        <v>24</v>
      </c>
      <c r="B222" s="9" t="s">
        <v>63</v>
      </c>
      <c r="C222" s="9" t="s">
        <v>64</v>
      </c>
      <c r="D222" s="10"/>
      <c r="E222" s="2"/>
      <c r="F222" s="10"/>
      <c r="G222" s="2"/>
      <c r="H222" s="10"/>
      <c r="I222" s="2"/>
      <c r="J222" s="10"/>
      <c r="K222" s="2"/>
    </row>
    <row r="223">
      <c r="A223" s="8" t="s">
        <v>25</v>
      </c>
      <c r="B223" s="9" t="s">
        <v>63</v>
      </c>
      <c r="C223" s="9" t="s">
        <v>64</v>
      </c>
      <c r="D223" s="10"/>
      <c r="E223" s="2" t="str">
        <f>"－"</f>
        <v>－</v>
      </c>
      <c r="F223" s="10"/>
      <c r="G223" s="2" t="str">
        <f>"－"</f>
        <v>－</v>
      </c>
      <c r="H223" s="10"/>
      <c r="I223" s="2" t="str">
        <f>"－"</f>
        <v>－</v>
      </c>
      <c r="J223" s="10"/>
      <c r="K223" s="2" t="n">
        <f>156</f>
        <v>156.0</v>
      </c>
    </row>
    <row r="224">
      <c r="A224" s="8" t="s">
        <v>26</v>
      </c>
      <c r="B224" s="9" t="s">
        <v>63</v>
      </c>
      <c r="C224" s="9" t="s">
        <v>64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156</f>
        <v>156.0</v>
      </c>
    </row>
    <row r="225">
      <c r="A225" s="8" t="s">
        <v>28</v>
      </c>
      <c r="B225" s="9" t="s">
        <v>63</v>
      </c>
      <c r="C225" s="9" t="s">
        <v>64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156</f>
        <v>156.0</v>
      </c>
    </row>
    <row r="226">
      <c r="A226" s="8" t="s">
        <v>29</v>
      </c>
      <c r="B226" s="9" t="s">
        <v>63</v>
      </c>
      <c r="C226" s="9" t="s">
        <v>64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156</f>
        <v>156.0</v>
      </c>
    </row>
    <row r="227">
      <c r="A227" s="8" t="s">
        <v>30</v>
      </c>
      <c r="B227" s="9" t="s">
        <v>63</v>
      </c>
      <c r="C227" s="9" t="s">
        <v>64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156</f>
        <v>156.0</v>
      </c>
    </row>
    <row r="228">
      <c r="A228" s="8" t="s">
        <v>31</v>
      </c>
      <c r="B228" s="9" t="s">
        <v>63</v>
      </c>
      <c r="C228" s="9" t="s">
        <v>64</v>
      </c>
      <c r="D228" s="10"/>
      <c r="E228" s="2"/>
      <c r="F228" s="10"/>
      <c r="G228" s="2"/>
      <c r="H228" s="10"/>
      <c r="I228" s="2"/>
      <c r="J228" s="10"/>
      <c r="K228" s="2"/>
    </row>
    <row r="229">
      <c r="A229" s="8" t="s">
        <v>32</v>
      </c>
      <c r="B229" s="9" t="s">
        <v>63</v>
      </c>
      <c r="C229" s="9" t="s">
        <v>64</v>
      </c>
      <c r="D229" s="10"/>
      <c r="E229" s="2"/>
      <c r="F229" s="10"/>
      <c r="G229" s="2"/>
      <c r="H229" s="10"/>
      <c r="I229" s="2"/>
      <c r="J229" s="10"/>
      <c r="K229" s="2"/>
    </row>
    <row r="230">
      <c r="A230" s="8" t="s">
        <v>33</v>
      </c>
      <c r="B230" s="9" t="s">
        <v>63</v>
      </c>
      <c r="C230" s="9" t="s">
        <v>64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156</f>
        <v>156.0</v>
      </c>
    </row>
    <row r="231">
      <c r="A231" s="8" t="s">
        <v>34</v>
      </c>
      <c r="B231" s="9" t="s">
        <v>63</v>
      </c>
      <c r="C231" s="9" t="s">
        <v>64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156</f>
        <v>156.0</v>
      </c>
    </row>
    <row r="232">
      <c r="A232" s="8" t="s">
        <v>35</v>
      </c>
      <c r="B232" s="9" t="s">
        <v>63</v>
      </c>
      <c r="C232" s="9" t="s">
        <v>64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156</f>
        <v>156.0</v>
      </c>
    </row>
    <row r="233">
      <c r="A233" s="8" t="s">
        <v>36</v>
      </c>
      <c r="B233" s="9" t="s">
        <v>63</v>
      </c>
      <c r="C233" s="9" t="s">
        <v>64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156</f>
        <v>156.0</v>
      </c>
    </row>
    <row r="234">
      <c r="A234" s="8" t="s">
        <v>37</v>
      </c>
      <c r="B234" s="9" t="s">
        <v>63</v>
      </c>
      <c r="C234" s="9" t="s">
        <v>64</v>
      </c>
      <c r="D234" s="10"/>
      <c r="E234" s="2" t="str">
        <f>"－"</f>
        <v>－</v>
      </c>
      <c r="F234" s="10"/>
      <c r="G234" s="2" t="str">
        <f>"－"</f>
        <v>－</v>
      </c>
      <c r="H234" s="10"/>
      <c r="I234" s="2" t="str">
        <f>"－"</f>
        <v>－</v>
      </c>
      <c r="J234" s="10"/>
      <c r="K234" s="2" t="n">
        <f>156</f>
        <v>156.0</v>
      </c>
    </row>
    <row r="235">
      <c r="A235" s="8" t="s">
        <v>39</v>
      </c>
      <c r="B235" s="9" t="s">
        <v>63</v>
      </c>
      <c r="C235" s="9" t="s">
        <v>64</v>
      </c>
      <c r="D235" s="10"/>
      <c r="E235" s="2"/>
      <c r="F235" s="10"/>
      <c r="G235" s="2"/>
      <c r="H235" s="10"/>
      <c r="I235" s="2"/>
      <c r="J235" s="10"/>
      <c r="K235" s="2"/>
    </row>
    <row r="236">
      <c r="A236" s="8" t="s">
        <v>40</v>
      </c>
      <c r="B236" s="9" t="s">
        <v>63</v>
      </c>
      <c r="C236" s="9" t="s">
        <v>64</v>
      </c>
      <c r="D236" s="10"/>
      <c r="E236" s="2"/>
      <c r="F236" s="10"/>
      <c r="G236" s="2"/>
      <c r="H236" s="10"/>
      <c r="I236" s="2"/>
      <c r="J236" s="10"/>
      <c r="K236" s="2"/>
    </row>
    <row r="237">
      <c r="A237" s="8" t="s">
        <v>41</v>
      </c>
      <c r="B237" s="9" t="s">
        <v>63</v>
      </c>
      <c r="C237" s="9" t="s">
        <v>64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156</f>
        <v>156.0</v>
      </c>
    </row>
    <row r="238">
      <c r="A238" s="8" t="s">
        <v>42</v>
      </c>
      <c r="B238" s="9" t="s">
        <v>63</v>
      </c>
      <c r="C238" s="9" t="s">
        <v>64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/>
      <c r="K238" s="2" t="n">
        <f>156</f>
        <v>156.0</v>
      </c>
    </row>
    <row r="239">
      <c r="A239" s="8" t="s">
        <v>43</v>
      </c>
      <c r="B239" s="9" t="s">
        <v>63</v>
      </c>
      <c r="C239" s="9" t="s">
        <v>64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156</f>
        <v>156.0</v>
      </c>
    </row>
    <row r="240">
      <c r="A240" s="8" t="s">
        <v>44</v>
      </c>
      <c r="B240" s="9" t="s">
        <v>63</v>
      </c>
      <c r="C240" s="9" t="s">
        <v>64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156</f>
        <v>156.0</v>
      </c>
    </row>
    <row r="241">
      <c r="A241" s="8" t="s">
        <v>45</v>
      </c>
      <c r="B241" s="9" t="s">
        <v>63</v>
      </c>
      <c r="C241" s="9" t="s">
        <v>64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156</f>
        <v>156.0</v>
      </c>
    </row>
    <row r="242">
      <c r="A242" s="8" t="s">
        <v>46</v>
      </c>
      <c r="B242" s="9" t="s">
        <v>63</v>
      </c>
      <c r="C242" s="9" t="s">
        <v>64</v>
      </c>
      <c r="D242" s="10"/>
      <c r="E242" s="2"/>
      <c r="F242" s="10"/>
      <c r="G242" s="2"/>
      <c r="H242" s="10"/>
      <c r="I242" s="2"/>
      <c r="J242" s="10"/>
      <c r="K242" s="2"/>
    </row>
    <row r="243">
      <c r="A243" s="8" t="s">
        <v>47</v>
      </c>
      <c r="B243" s="9" t="s">
        <v>63</v>
      </c>
      <c r="C243" s="9" t="s">
        <v>64</v>
      </c>
      <c r="D243" s="10"/>
      <c r="E243" s="2"/>
      <c r="F243" s="10"/>
      <c r="G243" s="2"/>
      <c r="H243" s="10"/>
      <c r="I243" s="2"/>
      <c r="J243" s="10"/>
      <c r="K243" s="2"/>
    </row>
    <row r="244">
      <c r="A244" s="8" t="s">
        <v>48</v>
      </c>
      <c r="B244" s="9" t="s">
        <v>63</v>
      </c>
      <c r="C244" s="9" t="s">
        <v>64</v>
      </c>
      <c r="D244" s="10"/>
      <c r="E244" s="2"/>
      <c r="F244" s="10"/>
      <c r="G244" s="2"/>
      <c r="H244" s="10"/>
      <c r="I244" s="2"/>
      <c r="J244" s="10"/>
      <c r="K244" s="2"/>
    </row>
    <row r="245">
      <c r="A245" s="8" t="s">
        <v>49</v>
      </c>
      <c r="B245" s="9" t="s">
        <v>63</v>
      </c>
      <c r="C245" s="9" t="s">
        <v>64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156</f>
        <v>156.0</v>
      </c>
    </row>
    <row r="246">
      <c r="A246" s="8" t="s">
        <v>16</v>
      </c>
      <c r="B246" s="9" t="s">
        <v>65</v>
      </c>
      <c r="C246" s="9" t="s">
        <v>66</v>
      </c>
      <c r="D246" s="10" t="s">
        <v>27</v>
      </c>
      <c r="E246" s="2" t="str">
        <f>"－"</f>
        <v>－</v>
      </c>
      <c r="F246" s="10" t="s">
        <v>27</v>
      </c>
      <c r="G246" s="2" t="str">
        <f>"－"</f>
        <v>－</v>
      </c>
      <c r="H246" s="10" t="s">
        <v>27</v>
      </c>
      <c r="I246" s="2" t="str">
        <f>"－"</f>
        <v>－</v>
      </c>
      <c r="J246" s="10" t="s">
        <v>38</v>
      </c>
      <c r="K246" s="2" t="n">
        <f>74982</f>
        <v>74982.0</v>
      </c>
    </row>
    <row r="247">
      <c r="A247" s="8" t="s">
        <v>19</v>
      </c>
      <c r="B247" s="9" t="s">
        <v>65</v>
      </c>
      <c r="C247" s="9" t="s">
        <v>66</v>
      </c>
      <c r="D247" s="10"/>
      <c r="E247" s="2" t="n">
        <f>6299</f>
        <v>6299.0</v>
      </c>
      <c r="F247" s="10"/>
      <c r="G247" s="2" t="n">
        <f>19101858200</f>
        <v>1.91018582E10</v>
      </c>
      <c r="H247" s="10" t="s">
        <v>38</v>
      </c>
      <c r="I247" s="2" t="n">
        <f>6299</f>
        <v>6299.0</v>
      </c>
      <c r="J247" s="10"/>
      <c r="K247" s="2" t="n">
        <f>68683</f>
        <v>68683.0</v>
      </c>
    </row>
    <row r="248">
      <c r="A248" s="8" t="s">
        <v>20</v>
      </c>
      <c r="B248" s="9" t="s">
        <v>65</v>
      </c>
      <c r="C248" s="9" t="s">
        <v>66</v>
      </c>
      <c r="D248" s="10"/>
      <c r="E248" s="2" t="str">
        <f>"－"</f>
        <v>－</v>
      </c>
      <c r="F248" s="10"/>
      <c r="G248" s="2" t="str">
        <f>"－"</f>
        <v>－</v>
      </c>
      <c r="H248" s="10"/>
      <c r="I248" s="2" t="str">
        <f>"－"</f>
        <v>－</v>
      </c>
      <c r="J248" s="10"/>
      <c r="K248" s="2" t="n">
        <f>68683</f>
        <v>68683.0</v>
      </c>
    </row>
    <row r="249">
      <c r="A249" s="8" t="s">
        <v>21</v>
      </c>
      <c r="B249" s="9" t="s">
        <v>65</v>
      </c>
      <c r="C249" s="9" t="s">
        <v>66</v>
      </c>
      <c r="D249" s="10"/>
      <c r="E249" s="2" t="n">
        <f>5297</f>
        <v>5297.0</v>
      </c>
      <c r="F249" s="10"/>
      <c r="G249" s="2" t="n">
        <f>16465211500</f>
        <v>1.64652115E10</v>
      </c>
      <c r="H249" s="10"/>
      <c r="I249" s="2" t="n">
        <f>182</f>
        <v>182.0</v>
      </c>
      <c r="J249" s="10"/>
      <c r="K249" s="2" t="n">
        <f>63865</f>
        <v>63865.0</v>
      </c>
    </row>
    <row r="250">
      <c r="A250" s="8" t="s">
        <v>22</v>
      </c>
      <c r="B250" s="9" t="s">
        <v>65</v>
      </c>
      <c r="C250" s="9" t="s">
        <v>66</v>
      </c>
      <c r="D250" s="10"/>
      <c r="E250" s="2" t="n">
        <f>5510</f>
        <v>5510.0</v>
      </c>
      <c r="F250" s="10"/>
      <c r="G250" s="2" t="n">
        <f>16906520000</f>
        <v>1.690652E10</v>
      </c>
      <c r="H250" s="10"/>
      <c r="I250" s="2" t="n">
        <f>500</f>
        <v>500.0</v>
      </c>
      <c r="J250" s="10"/>
      <c r="K250" s="2" t="n">
        <f>58365</f>
        <v>58365.0</v>
      </c>
    </row>
    <row r="251">
      <c r="A251" s="8" t="s">
        <v>23</v>
      </c>
      <c r="B251" s="9" t="s">
        <v>65</v>
      </c>
      <c r="C251" s="9" t="s">
        <v>66</v>
      </c>
      <c r="D251" s="10"/>
      <c r="E251" s="2"/>
      <c r="F251" s="10"/>
      <c r="G251" s="2"/>
      <c r="H251" s="10"/>
      <c r="I251" s="2"/>
      <c r="J251" s="10"/>
      <c r="K251" s="2"/>
    </row>
    <row r="252">
      <c r="A252" s="8" t="s">
        <v>24</v>
      </c>
      <c r="B252" s="9" t="s">
        <v>65</v>
      </c>
      <c r="C252" s="9" t="s">
        <v>66</v>
      </c>
      <c r="D252" s="10"/>
      <c r="E252" s="2"/>
      <c r="F252" s="10"/>
      <c r="G252" s="2"/>
      <c r="H252" s="10"/>
      <c r="I252" s="2"/>
      <c r="J252" s="10"/>
      <c r="K252" s="2"/>
    </row>
    <row r="253">
      <c r="A253" s="8" t="s">
        <v>25</v>
      </c>
      <c r="B253" s="9" t="s">
        <v>65</v>
      </c>
      <c r="C253" s="9" t="s">
        <v>66</v>
      </c>
      <c r="D253" s="10"/>
      <c r="E253" s="2" t="str">
        <f>"－"</f>
        <v>－</v>
      </c>
      <c r="F253" s="10"/>
      <c r="G253" s="2" t="str">
        <f>"－"</f>
        <v>－</v>
      </c>
      <c r="H253" s="10"/>
      <c r="I253" s="2" t="str">
        <f>"－"</f>
        <v>－</v>
      </c>
      <c r="J253" s="10"/>
      <c r="K253" s="2" t="n">
        <f>58365</f>
        <v>58365.0</v>
      </c>
    </row>
    <row r="254">
      <c r="A254" s="8" t="s">
        <v>26</v>
      </c>
      <c r="B254" s="9" t="s">
        <v>65</v>
      </c>
      <c r="C254" s="9" t="s">
        <v>66</v>
      </c>
      <c r="D254" s="10" t="s">
        <v>38</v>
      </c>
      <c r="E254" s="2" t="n">
        <f>7000</f>
        <v>7000.0</v>
      </c>
      <c r="F254" s="10" t="s">
        <v>38</v>
      </c>
      <c r="G254" s="2" t="n">
        <f>21795250000</f>
        <v>2.179525E10</v>
      </c>
      <c r="H254" s="10"/>
      <c r="I254" s="2" t="str">
        <f>"－"</f>
        <v>－</v>
      </c>
      <c r="J254" s="10"/>
      <c r="K254" s="2" t="n">
        <f>58365</f>
        <v>58365.0</v>
      </c>
    </row>
    <row r="255">
      <c r="A255" s="8" t="s">
        <v>28</v>
      </c>
      <c r="B255" s="9" t="s">
        <v>65</v>
      </c>
      <c r="C255" s="9" t="s">
        <v>66</v>
      </c>
      <c r="D255" s="10"/>
      <c r="E255" s="2" t="str">
        <f>"－"</f>
        <v>－</v>
      </c>
      <c r="F255" s="10"/>
      <c r="G255" s="2" t="str">
        <f>"－"</f>
        <v>－</v>
      </c>
      <c r="H255" s="10"/>
      <c r="I255" s="2" t="str">
        <f>"－"</f>
        <v>－</v>
      </c>
      <c r="J255" s="10"/>
      <c r="K255" s="2" t="n">
        <f>58365</f>
        <v>58365.0</v>
      </c>
    </row>
    <row r="256">
      <c r="A256" s="8" t="s">
        <v>29</v>
      </c>
      <c r="B256" s="9" t="s">
        <v>65</v>
      </c>
      <c r="C256" s="9" t="s">
        <v>66</v>
      </c>
      <c r="D256" s="10"/>
      <c r="E256" s="2" t="n">
        <f>74</f>
        <v>74.0</v>
      </c>
      <c r="F256" s="10"/>
      <c r="G256" s="2" t="n">
        <f>232138000</f>
        <v>2.32138E8</v>
      </c>
      <c r="H256" s="10"/>
      <c r="I256" s="2" t="str">
        <f>"－"</f>
        <v>－</v>
      </c>
      <c r="J256" s="10"/>
      <c r="K256" s="2" t="n">
        <f>58365</f>
        <v>58365.0</v>
      </c>
    </row>
    <row r="257">
      <c r="A257" s="8" t="s">
        <v>30</v>
      </c>
      <c r="B257" s="9" t="s">
        <v>65</v>
      </c>
      <c r="C257" s="9" t="s">
        <v>66</v>
      </c>
      <c r="D257" s="10"/>
      <c r="E257" s="2" t="str">
        <f>"－"</f>
        <v>－</v>
      </c>
      <c r="F257" s="10"/>
      <c r="G257" s="2" t="str">
        <f>"－"</f>
        <v>－</v>
      </c>
      <c r="H257" s="10"/>
      <c r="I257" s="2" t="str">
        <f>"－"</f>
        <v>－</v>
      </c>
      <c r="J257" s="10"/>
      <c r="K257" s="2" t="n">
        <f>58365</f>
        <v>58365.0</v>
      </c>
    </row>
    <row r="258">
      <c r="A258" s="8" t="s">
        <v>31</v>
      </c>
      <c r="B258" s="9" t="s">
        <v>65</v>
      </c>
      <c r="C258" s="9" t="s">
        <v>66</v>
      </c>
      <c r="D258" s="10"/>
      <c r="E258" s="2"/>
      <c r="F258" s="10"/>
      <c r="G258" s="2"/>
      <c r="H258" s="10"/>
      <c r="I258" s="2"/>
      <c r="J258" s="10"/>
      <c r="K258" s="2"/>
    </row>
    <row r="259">
      <c r="A259" s="8" t="s">
        <v>32</v>
      </c>
      <c r="B259" s="9" t="s">
        <v>65</v>
      </c>
      <c r="C259" s="9" t="s">
        <v>66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33</v>
      </c>
      <c r="B260" s="9" t="s">
        <v>65</v>
      </c>
      <c r="C260" s="9" t="s">
        <v>66</v>
      </c>
      <c r="D260" s="10"/>
      <c r="E260" s="2" t="str">
        <f>"－"</f>
        <v>－</v>
      </c>
      <c r="F260" s="10"/>
      <c r="G260" s="2" t="str">
        <f>"－"</f>
        <v>－</v>
      </c>
      <c r="H260" s="10"/>
      <c r="I260" s="2" t="str">
        <f>"－"</f>
        <v>－</v>
      </c>
      <c r="J260" s="10"/>
      <c r="K260" s="2" t="n">
        <f>58365</f>
        <v>58365.0</v>
      </c>
    </row>
    <row r="261">
      <c r="A261" s="8" t="s">
        <v>34</v>
      </c>
      <c r="B261" s="9" t="s">
        <v>65</v>
      </c>
      <c r="C261" s="9" t="s">
        <v>66</v>
      </c>
      <c r="D261" s="10"/>
      <c r="E261" s="2" t="str">
        <f>"－"</f>
        <v>－</v>
      </c>
      <c r="F261" s="10"/>
      <c r="G261" s="2" t="str">
        <f>"－"</f>
        <v>－</v>
      </c>
      <c r="H261" s="10"/>
      <c r="I261" s="2" t="str">
        <f>"－"</f>
        <v>－</v>
      </c>
      <c r="J261" s="10"/>
      <c r="K261" s="2" t="n">
        <f>58365</f>
        <v>58365.0</v>
      </c>
    </row>
    <row r="262">
      <c r="A262" s="8" t="s">
        <v>35</v>
      </c>
      <c r="B262" s="9" t="s">
        <v>65</v>
      </c>
      <c r="C262" s="9" t="s">
        <v>66</v>
      </c>
      <c r="D262" s="10"/>
      <c r="E262" s="2" t="str">
        <f>"－"</f>
        <v>－</v>
      </c>
      <c r="F262" s="10"/>
      <c r="G262" s="2" t="str">
        <f>"－"</f>
        <v>－</v>
      </c>
      <c r="H262" s="10"/>
      <c r="I262" s="2" t="str">
        <f>"－"</f>
        <v>－</v>
      </c>
      <c r="J262" s="10"/>
      <c r="K262" s="2" t="n">
        <f>58365</f>
        <v>58365.0</v>
      </c>
    </row>
    <row r="263">
      <c r="A263" s="8" t="s">
        <v>36</v>
      </c>
      <c r="B263" s="9" t="s">
        <v>65</v>
      </c>
      <c r="C263" s="9" t="s">
        <v>66</v>
      </c>
      <c r="D263" s="10"/>
      <c r="E263" s="2" t="str">
        <f>"－"</f>
        <v>－</v>
      </c>
      <c r="F263" s="10"/>
      <c r="G263" s="2" t="str">
        <f>"－"</f>
        <v>－</v>
      </c>
      <c r="H263" s="10"/>
      <c r="I263" s="2" t="str">
        <f>"－"</f>
        <v>－</v>
      </c>
      <c r="J263" s="10"/>
      <c r="K263" s="2" t="n">
        <f>58365</f>
        <v>58365.0</v>
      </c>
    </row>
    <row r="264">
      <c r="A264" s="8" t="s">
        <v>37</v>
      </c>
      <c r="B264" s="9" t="s">
        <v>65</v>
      </c>
      <c r="C264" s="9" t="s">
        <v>66</v>
      </c>
      <c r="D264" s="10"/>
      <c r="E264" s="2" t="n">
        <f>2</f>
        <v>2.0</v>
      </c>
      <c r="F264" s="10"/>
      <c r="G264" s="2" t="n">
        <f>6065000</f>
        <v>6065000.0</v>
      </c>
      <c r="H264" s="10"/>
      <c r="I264" s="2" t="str">
        <f>"－"</f>
        <v>－</v>
      </c>
      <c r="J264" s="10"/>
      <c r="K264" s="2" t="n">
        <f>58365</f>
        <v>58365.0</v>
      </c>
    </row>
    <row r="265">
      <c r="A265" s="8" t="s">
        <v>39</v>
      </c>
      <c r="B265" s="9" t="s">
        <v>65</v>
      </c>
      <c r="C265" s="9" t="s">
        <v>66</v>
      </c>
      <c r="D265" s="10"/>
      <c r="E265" s="2"/>
      <c r="F265" s="10"/>
      <c r="G265" s="2"/>
      <c r="H265" s="10"/>
      <c r="I265" s="2"/>
      <c r="J265" s="10"/>
      <c r="K265" s="2"/>
    </row>
    <row r="266">
      <c r="A266" s="8" t="s">
        <v>40</v>
      </c>
      <c r="B266" s="9" t="s">
        <v>65</v>
      </c>
      <c r="C266" s="9" t="s">
        <v>66</v>
      </c>
      <c r="D266" s="10"/>
      <c r="E266" s="2"/>
      <c r="F266" s="10"/>
      <c r="G266" s="2"/>
      <c r="H266" s="10"/>
      <c r="I266" s="2"/>
      <c r="J266" s="10"/>
      <c r="K266" s="2"/>
    </row>
    <row r="267">
      <c r="A267" s="8" t="s">
        <v>41</v>
      </c>
      <c r="B267" s="9" t="s">
        <v>65</v>
      </c>
      <c r="C267" s="9" t="s">
        <v>66</v>
      </c>
      <c r="D267" s="10"/>
      <c r="E267" s="2" t="n">
        <f>5055</f>
        <v>5055.0</v>
      </c>
      <c r="F267" s="10"/>
      <c r="G267" s="2" t="n">
        <f>15667314512</f>
        <v>1.5667314512E10</v>
      </c>
      <c r="H267" s="10"/>
      <c r="I267" s="2" t="n">
        <f>5026</f>
        <v>5026.0</v>
      </c>
      <c r="J267" s="10"/>
      <c r="K267" s="2" t="n">
        <f>58365</f>
        <v>58365.0</v>
      </c>
    </row>
    <row r="268">
      <c r="A268" s="8" t="s">
        <v>42</v>
      </c>
      <c r="B268" s="9" t="s">
        <v>65</v>
      </c>
      <c r="C268" s="9" t="s">
        <v>66</v>
      </c>
      <c r="D268" s="10"/>
      <c r="E268" s="2" t="n">
        <f>10</f>
        <v>10.0</v>
      </c>
      <c r="F268" s="10"/>
      <c r="G268" s="2" t="n">
        <f>31290000</f>
        <v>3.129E7</v>
      </c>
      <c r="H268" s="10"/>
      <c r="I268" s="2" t="str">
        <f>"－"</f>
        <v>－</v>
      </c>
      <c r="J268" s="10" t="s">
        <v>27</v>
      </c>
      <c r="K268" s="2" t="n">
        <f>53329</f>
        <v>53329.0</v>
      </c>
    </row>
    <row r="269">
      <c r="A269" s="8" t="s">
        <v>43</v>
      </c>
      <c r="B269" s="9" t="s">
        <v>65</v>
      </c>
      <c r="C269" s="9" t="s">
        <v>66</v>
      </c>
      <c r="D269" s="10"/>
      <c r="E269" s="2" t="str">
        <f>"－"</f>
        <v>－</v>
      </c>
      <c r="F269" s="10"/>
      <c r="G269" s="2" t="str">
        <f>"－"</f>
        <v>－</v>
      </c>
      <c r="H269" s="10"/>
      <c r="I269" s="2" t="str">
        <f>"－"</f>
        <v>－</v>
      </c>
      <c r="J269" s="10"/>
      <c r="K269" s="2" t="n">
        <f>53329</f>
        <v>53329.0</v>
      </c>
    </row>
    <row r="270">
      <c r="A270" s="8" t="s">
        <v>44</v>
      </c>
      <c r="B270" s="9" t="s">
        <v>65</v>
      </c>
      <c r="C270" s="9" t="s">
        <v>66</v>
      </c>
      <c r="D270" s="10"/>
      <c r="E270" s="2" t="str">
        <f>"－"</f>
        <v>－</v>
      </c>
      <c r="F270" s="10"/>
      <c r="G270" s="2" t="str">
        <f>"－"</f>
        <v>－</v>
      </c>
      <c r="H270" s="10"/>
      <c r="I270" s="2" t="str">
        <f>"－"</f>
        <v>－</v>
      </c>
      <c r="J270" s="10"/>
      <c r="K270" s="2" t="n">
        <f>53329</f>
        <v>53329.0</v>
      </c>
    </row>
    <row r="271">
      <c r="A271" s="8" t="s">
        <v>45</v>
      </c>
      <c r="B271" s="9" t="s">
        <v>65</v>
      </c>
      <c r="C271" s="9" t="s">
        <v>66</v>
      </c>
      <c r="D271" s="10"/>
      <c r="E271" s="2" t="n">
        <f>200</f>
        <v>200.0</v>
      </c>
      <c r="F271" s="10"/>
      <c r="G271" s="2" t="n">
        <f>632040000</f>
        <v>6.3204E8</v>
      </c>
      <c r="H271" s="10"/>
      <c r="I271" s="2" t="n">
        <f>200</f>
        <v>200.0</v>
      </c>
      <c r="J271" s="10"/>
      <c r="K271" s="2" t="n">
        <f>53529</f>
        <v>53529.0</v>
      </c>
    </row>
    <row r="272">
      <c r="A272" s="8" t="s">
        <v>46</v>
      </c>
      <c r="B272" s="9" t="s">
        <v>65</v>
      </c>
      <c r="C272" s="9" t="s">
        <v>66</v>
      </c>
      <c r="D272" s="10"/>
      <c r="E272" s="2"/>
      <c r="F272" s="10"/>
      <c r="G272" s="2"/>
      <c r="H272" s="10"/>
      <c r="I272" s="2"/>
      <c r="J272" s="10"/>
      <c r="K272" s="2"/>
    </row>
    <row r="273">
      <c r="A273" s="8" t="s">
        <v>47</v>
      </c>
      <c r="B273" s="9" t="s">
        <v>65</v>
      </c>
      <c r="C273" s="9" t="s">
        <v>66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48</v>
      </c>
      <c r="B274" s="9" t="s">
        <v>65</v>
      </c>
      <c r="C274" s="9" t="s">
        <v>66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49</v>
      </c>
      <c r="B275" s="9" t="s">
        <v>65</v>
      </c>
      <c r="C275" s="9" t="s">
        <v>66</v>
      </c>
      <c r="D275" s="10"/>
      <c r="E275" s="2" t="n">
        <f>1305</f>
        <v>1305.0</v>
      </c>
      <c r="F275" s="10"/>
      <c r="G275" s="2" t="n">
        <f>4159426500</f>
        <v>4.1594265E9</v>
      </c>
      <c r="H275" s="10"/>
      <c r="I275" s="2" t="str">
        <f>"－"</f>
        <v>－</v>
      </c>
      <c r="J275" s="10"/>
      <c r="K275" s="2" t="n">
        <f>54834</f>
        <v>54834.0</v>
      </c>
    </row>
    <row r="276">
      <c r="A276" s="8" t="s">
        <v>16</v>
      </c>
      <c r="B276" s="9" t="s">
        <v>67</v>
      </c>
      <c r="C276" s="9" t="s">
        <v>68</v>
      </c>
      <c r="D276" s="10"/>
      <c r="E276" s="2" t="n">
        <f>917</f>
        <v>917.0</v>
      </c>
      <c r="F276" s="10"/>
      <c r="G276" s="2" t="n">
        <f>1633876970</f>
        <v>1.63387697E9</v>
      </c>
      <c r="H276" s="10"/>
      <c r="I276" s="2" t="n">
        <f>103</f>
        <v>103.0</v>
      </c>
      <c r="J276" s="10" t="s">
        <v>38</v>
      </c>
      <c r="K276" s="2" t="n">
        <f>71300</f>
        <v>71300.0</v>
      </c>
    </row>
    <row r="277">
      <c r="A277" s="8" t="s">
        <v>19</v>
      </c>
      <c r="B277" s="9" t="s">
        <v>67</v>
      </c>
      <c r="C277" s="9" t="s">
        <v>68</v>
      </c>
      <c r="D277" s="10"/>
      <c r="E277" s="2" t="n">
        <f>1115</f>
        <v>1115.0</v>
      </c>
      <c r="F277" s="10"/>
      <c r="G277" s="2" t="n">
        <f>1970697680</f>
        <v>1.97069768E9</v>
      </c>
      <c r="H277" s="10"/>
      <c r="I277" s="2" t="n">
        <f>32</f>
        <v>32.0</v>
      </c>
      <c r="J277" s="10"/>
      <c r="K277" s="2" t="n">
        <f>70875</f>
        <v>70875.0</v>
      </c>
    </row>
    <row r="278">
      <c r="A278" s="8" t="s">
        <v>20</v>
      </c>
      <c r="B278" s="9" t="s">
        <v>67</v>
      </c>
      <c r="C278" s="9" t="s">
        <v>68</v>
      </c>
      <c r="D278" s="10"/>
      <c r="E278" s="2" t="n">
        <f>302</f>
        <v>302.0</v>
      </c>
      <c r="F278" s="10"/>
      <c r="G278" s="2" t="n">
        <f>529425800</f>
        <v>5.294258E8</v>
      </c>
      <c r="H278" s="10"/>
      <c r="I278" s="2" t="n">
        <f>5</f>
        <v>5.0</v>
      </c>
      <c r="J278" s="10"/>
      <c r="K278" s="2" t="n">
        <f>70933</f>
        <v>70933.0</v>
      </c>
    </row>
    <row r="279">
      <c r="A279" s="8" t="s">
        <v>21</v>
      </c>
      <c r="B279" s="9" t="s">
        <v>67</v>
      </c>
      <c r="C279" s="9" t="s">
        <v>68</v>
      </c>
      <c r="D279" s="10"/>
      <c r="E279" s="2" t="n">
        <f>420</f>
        <v>420.0</v>
      </c>
      <c r="F279" s="10"/>
      <c r="G279" s="2" t="n">
        <f>736757470</f>
        <v>7.3675747E8</v>
      </c>
      <c r="H279" s="10" t="s">
        <v>27</v>
      </c>
      <c r="I279" s="2" t="str">
        <f>"－"</f>
        <v>－</v>
      </c>
      <c r="J279" s="10"/>
      <c r="K279" s="2" t="n">
        <f>70607</f>
        <v>70607.0</v>
      </c>
    </row>
    <row r="280">
      <c r="A280" s="8" t="s">
        <v>22</v>
      </c>
      <c r="B280" s="9" t="s">
        <v>67</v>
      </c>
      <c r="C280" s="9" t="s">
        <v>68</v>
      </c>
      <c r="D280" s="10"/>
      <c r="E280" s="2" t="n">
        <f>1386</f>
        <v>1386.0</v>
      </c>
      <c r="F280" s="10"/>
      <c r="G280" s="2" t="n">
        <f>2419439460</f>
        <v>2.41943946E9</v>
      </c>
      <c r="H280" s="10"/>
      <c r="I280" s="2" t="str">
        <f>"－"</f>
        <v>－</v>
      </c>
      <c r="J280" s="10"/>
      <c r="K280" s="2" t="n">
        <f>69456</f>
        <v>69456.0</v>
      </c>
    </row>
    <row r="281">
      <c r="A281" s="8" t="s">
        <v>23</v>
      </c>
      <c r="B281" s="9" t="s">
        <v>67</v>
      </c>
      <c r="C281" s="9" t="s">
        <v>68</v>
      </c>
      <c r="D281" s="10"/>
      <c r="E281" s="2"/>
      <c r="F281" s="10"/>
      <c r="G281" s="2"/>
      <c r="H281" s="10"/>
      <c r="I281" s="2"/>
      <c r="J281" s="10"/>
      <c r="K281" s="2"/>
    </row>
    <row r="282">
      <c r="A282" s="8" t="s">
        <v>24</v>
      </c>
      <c r="B282" s="9" t="s">
        <v>67</v>
      </c>
      <c r="C282" s="9" t="s">
        <v>68</v>
      </c>
      <c r="D282" s="10"/>
      <c r="E282" s="2"/>
      <c r="F282" s="10"/>
      <c r="G282" s="2"/>
      <c r="H282" s="10"/>
      <c r="I282" s="2"/>
      <c r="J282" s="10"/>
      <c r="K282" s="2"/>
    </row>
    <row r="283">
      <c r="A283" s="8" t="s">
        <v>25</v>
      </c>
      <c r="B283" s="9" t="s">
        <v>67</v>
      </c>
      <c r="C283" s="9" t="s">
        <v>68</v>
      </c>
      <c r="D283" s="10"/>
      <c r="E283" s="2" t="n">
        <f>1804</f>
        <v>1804.0</v>
      </c>
      <c r="F283" s="10"/>
      <c r="G283" s="2" t="n">
        <f>3180613980</f>
        <v>3.18061398E9</v>
      </c>
      <c r="H283" s="10"/>
      <c r="I283" s="2" t="n">
        <f>481</f>
        <v>481.0</v>
      </c>
      <c r="J283" s="10"/>
      <c r="K283" s="2" t="n">
        <f>69034</f>
        <v>69034.0</v>
      </c>
    </row>
    <row r="284">
      <c r="A284" s="8" t="s">
        <v>26</v>
      </c>
      <c r="B284" s="9" t="s">
        <v>67</v>
      </c>
      <c r="C284" s="9" t="s">
        <v>68</v>
      </c>
      <c r="D284" s="10"/>
      <c r="E284" s="2" t="n">
        <f>515</f>
        <v>515.0</v>
      </c>
      <c r="F284" s="10"/>
      <c r="G284" s="2" t="n">
        <f>920508530</f>
        <v>9.2050853E8</v>
      </c>
      <c r="H284" s="10"/>
      <c r="I284" s="2" t="n">
        <f>8</f>
        <v>8.0</v>
      </c>
      <c r="J284" s="10"/>
      <c r="K284" s="2" t="n">
        <f>69128</f>
        <v>69128.0</v>
      </c>
    </row>
    <row r="285">
      <c r="A285" s="8" t="s">
        <v>28</v>
      </c>
      <c r="B285" s="9" t="s">
        <v>67</v>
      </c>
      <c r="C285" s="9" t="s">
        <v>68</v>
      </c>
      <c r="D285" s="10"/>
      <c r="E285" s="2" t="n">
        <f>1598</f>
        <v>1598.0</v>
      </c>
      <c r="F285" s="10"/>
      <c r="G285" s="2" t="n">
        <f>2848169120</f>
        <v>2.84816912E9</v>
      </c>
      <c r="H285" s="10"/>
      <c r="I285" s="2" t="n">
        <f>100</f>
        <v>100.0</v>
      </c>
      <c r="J285" s="10"/>
      <c r="K285" s="2" t="n">
        <f>68029</f>
        <v>68029.0</v>
      </c>
    </row>
    <row r="286">
      <c r="A286" s="8" t="s">
        <v>29</v>
      </c>
      <c r="B286" s="9" t="s">
        <v>67</v>
      </c>
      <c r="C286" s="9" t="s">
        <v>68</v>
      </c>
      <c r="D286" s="10"/>
      <c r="E286" s="2" t="n">
        <f>1212</f>
        <v>1212.0</v>
      </c>
      <c r="F286" s="10"/>
      <c r="G286" s="2" t="n">
        <f>2162232380</f>
        <v>2.16223238E9</v>
      </c>
      <c r="H286" s="10"/>
      <c r="I286" s="2" t="n">
        <f>24</f>
        <v>24.0</v>
      </c>
      <c r="J286" s="10"/>
      <c r="K286" s="2" t="n">
        <f>67967</f>
        <v>67967.0</v>
      </c>
    </row>
    <row r="287">
      <c r="A287" s="8" t="s">
        <v>30</v>
      </c>
      <c r="B287" s="9" t="s">
        <v>67</v>
      </c>
      <c r="C287" s="9" t="s">
        <v>68</v>
      </c>
      <c r="D287" s="10"/>
      <c r="E287" s="2" t="n">
        <f>916</f>
        <v>916.0</v>
      </c>
      <c r="F287" s="10"/>
      <c r="G287" s="2" t="n">
        <f>1618680690</f>
        <v>1.61868069E9</v>
      </c>
      <c r="H287" s="10"/>
      <c r="I287" s="2" t="n">
        <f>52</f>
        <v>52.0</v>
      </c>
      <c r="J287" s="10"/>
      <c r="K287" s="2" t="n">
        <f>67726</f>
        <v>67726.0</v>
      </c>
    </row>
    <row r="288">
      <c r="A288" s="8" t="s">
        <v>31</v>
      </c>
      <c r="B288" s="9" t="s">
        <v>67</v>
      </c>
      <c r="C288" s="9" t="s">
        <v>68</v>
      </c>
      <c r="D288" s="10"/>
      <c r="E288" s="2"/>
      <c r="F288" s="10"/>
      <c r="G288" s="2"/>
      <c r="H288" s="10"/>
      <c r="I288" s="2"/>
      <c r="J288" s="10"/>
      <c r="K288" s="2"/>
    </row>
    <row r="289">
      <c r="A289" s="8" t="s">
        <v>32</v>
      </c>
      <c r="B289" s="9" t="s">
        <v>67</v>
      </c>
      <c r="C289" s="9" t="s">
        <v>68</v>
      </c>
      <c r="D289" s="10"/>
      <c r="E289" s="2"/>
      <c r="F289" s="10"/>
      <c r="G289" s="2"/>
      <c r="H289" s="10"/>
      <c r="I289" s="2"/>
      <c r="J289" s="10"/>
      <c r="K289" s="2"/>
    </row>
    <row r="290">
      <c r="A290" s="8" t="s">
        <v>33</v>
      </c>
      <c r="B290" s="9" t="s">
        <v>67</v>
      </c>
      <c r="C290" s="9" t="s">
        <v>68</v>
      </c>
      <c r="D290" s="10"/>
      <c r="E290" s="2" t="n">
        <f>2444</f>
        <v>2444.0</v>
      </c>
      <c r="F290" s="10"/>
      <c r="G290" s="2" t="n">
        <f>4308945420</f>
        <v>4.30894542E9</v>
      </c>
      <c r="H290" s="10"/>
      <c r="I290" s="2" t="str">
        <f>"－"</f>
        <v>－</v>
      </c>
      <c r="J290" s="10"/>
      <c r="K290" s="2" t="n">
        <f>66924</f>
        <v>66924.0</v>
      </c>
    </row>
    <row r="291">
      <c r="A291" s="8" t="s">
        <v>34</v>
      </c>
      <c r="B291" s="9" t="s">
        <v>67</v>
      </c>
      <c r="C291" s="9" t="s">
        <v>68</v>
      </c>
      <c r="D291" s="10"/>
      <c r="E291" s="2" t="n">
        <f>2749</f>
        <v>2749.0</v>
      </c>
      <c r="F291" s="10"/>
      <c r="G291" s="2" t="n">
        <f>4872729200</f>
        <v>4.8727292E9</v>
      </c>
      <c r="H291" s="10" t="s">
        <v>38</v>
      </c>
      <c r="I291" s="2" t="n">
        <f>1396</f>
        <v>1396.0</v>
      </c>
      <c r="J291" s="10"/>
      <c r="K291" s="2" t="n">
        <f>66878</f>
        <v>66878.0</v>
      </c>
    </row>
    <row r="292">
      <c r="A292" s="8" t="s">
        <v>35</v>
      </c>
      <c r="B292" s="9" t="s">
        <v>67</v>
      </c>
      <c r="C292" s="9" t="s">
        <v>68</v>
      </c>
      <c r="D292" s="10"/>
      <c r="E292" s="2" t="n">
        <f>2230</f>
        <v>2230.0</v>
      </c>
      <c r="F292" s="10"/>
      <c r="G292" s="2" t="n">
        <f>3977722090</f>
        <v>3.97772209E9</v>
      </c>
      <c r="H292" s="10"/>
      <c r="I292" s="2" t="n">
        <f>788</f>
        <v>788.0</v>
      </c>
      <c r="J292" s="10"/>
      <c r="K292" s="2" t="n">
        <f>66445</f>
        <v>66445.0</v>
      </c>
    </row>
    <row r="293">
      <c r="A293" s="8" t="s">
        <v>36</v>
      </c>
      <c r="B293" s="9" t="s">
        <v>67</v>
      </c>
      <c r="C293" s="9" t="s">
        <v>68</v>
      </c>
      <c r="D293" s="10" t="s">
        <v>27</v>
      </c>
      <c r="E293" s="2" t="n">
        <f>256</f>
        <v>256.0</v>
      </c>
      <c r="F293" s="10" t="s">
        <v>27</v>
      </c>
      <c r="G293" s="2" t="n">
        <f>456628940</f>
        <v>4.5662894E8</v>
      </c>
      <c r="H293" s="10"/>
      <c r="I293" s="2" t="n">
        <f>18</f>
        <v>18.0</v>
      </c>
      <c r="J293" s="10"/>
      <c r="K293" s="2" t="n">
        <f>66443</f>
        <v>66443.0</v>
      </c>
    </row>
    <row r="294">
      <c r="A294" s="8" t="s">
        <v>37</v>
      </c>
      <c r="B294" s="9" t="s">
        <v>67</v>
      </c>
      <c r="C294" s="9" t="s">
        <v>68</v>
      </c>
      <c r="D294" s="10"/>
      <c r="E294" s="2" t="n">
        <f>741</f>
        <v>741.0</v>
      </c>
      <c r="F294" s="10"/>
      <c r="G294" s="2" t="n">
        <f>1311849260</f>
        <v>1.31184926E9</v>
      </c>
      <c r="H294" s="10"/>
      <c r="I294" s="2" t="n">
        <f>24</f>
        <v>24.0</v>
      </c>
      <c r="J294" s="10"/>
      <c r="K294" s="2" t="n">
        <f>66368</f>
        <v>66368.0</v>
      </c>
    </row>
    <row r="295">
      <c r="A295" s="8" t="s">
        <v>39</v>
      </c>
      <c r="B295" s="9" t="s">
        <v>67</v>
      </c>
      <c r="C295" s="9" t="s">
        <v>68</v>
      </c>
      <c r="D295" s="10"/>
      <c r="E295" s="2"/>
      <c r="F295" s="10"/>
      <c r="G295" s="2"/>
      <c r="H295" s="10"/>
      <c r="I295" s="2"/>
      <c r="J295" s="10"/>
      <c r="K295" s="2"/>
    </row>
    <row r="296">
      <c r="A296" s="8" t="s">
        <v>40</v>
      </c>
      <c r="B296" s="9" t="s">
        <v>67</v>
      </c>
      <c r="C296" s="9" t="s">
        <v>68</v>
      </c>
      <c r="D296" s="10"/>
      <c r="E296" s="2"/>
      <c r="F296" s="10"/>
      <c r="G296" s="2"/>
      <c r="H296" s="10"/>
      <c r="I296" s="2"/>
      <c r="J296" s="10"/>
      <c r="K296" s="2"/>
    </row>
    <row r="297">
      <c r="A297" s="8" t="s">
        <v>41</v>
      </c>
      <c r="B297" s="9" t="s">
        <v>67</v>
      </c>
      <c r="C297" s="9" t="s">
        <v>68</v>
      </c>
      <c r="D297" s="10"/>
      <c r="E297" s="2" t="n">
        <f>928</f>
        <v>928.0</v>
      </c>
      <c r="F297" s="10"/>
      <c r="G297" s="2" t="n">
        <f>1663852540</f>
        <v>1.66385254E9</v>
      </c>
      <c r="H297" s="10"/>
      <c r="I297" s="2" t="n">
        <f>10</f>
        <v>10.0</v>
      </c>
      <c r="J297" s="10"/>
      <c r="K297" s="2" t="n">
        <f>65859</f>
        <v>65859.0</v>
      </c>
    </row>
    <row r="298">
      <c r="A298" s="8" t="s">
        <v>42</v>
      </c>
      <c r="B298" s="9" t="s">
        <v>67</v>
      </c>
      <c r="C298" s="9" t="s">
        <v>68</v>
      </c>
      <c r="D298" s="10"/>
      <c r="E298" s="2" t="n">
        <f>1568</f>
        <v>1568.0</v>
      </c>
      <c r="F298" s="10"/>
      <c r="G298" s="2" t="n">
        <f>2814327810</f>
        <v>2.81432781E9</v>
      </c>
      <c r="H298" s="10"/>
      <c r="I298" s="2" t="n">
        <f>4</f>
        <v>4.0</v>
      </c>
      <c r="J298" s="10"/>
      <c r="K298" s="2" t="n">
        <f>66770</f>
        <v>66770.0</v>
      </c>
    </row>
    <row r="299">
      <c r="A299" s="8" t="s">
        <v>43</v>
      </c>
      <c r="B299" s="9" t="s">
        <v>67</v>
      </c>
      <c r="C299" s="9" t="s">
        <v>68</v>
      </c>
      <c r="D299" s="10"/>
      <c r="E299" s="2" t="n">
        <f>2019</f>
        <v>2019.0</v>
      </c>
      <c r="F299" s="10"/>
      <c r="G299" s="2" t="n">
        <f>3616365760</f>
        <v>3.61636576E9</v>
      </c>
      <c r="H299" s="10"/>
      <c r="I299" s="2" t="n">
        <f>5</f>
        <v>5.0</v>
      </c>
      <c r="J299" s="10"/>
      <c r="K299" s="2" t="n">
        <f>66414</f>
        <v>66414.0</v>
      </c>
    </row>
    <row r="300">
      <c r="A300" s="8" t="s">
        <v>44</v>
      </c>
      <c r="B300" s="9" t="s">
        <v>67</v>
      </c>
      <c r="C300" s="9" t="s">
        <v>68</v>
      </c>
      <c r="D300" s="10"/>
      <c r="E300" s="2" t="n">
        <f>1669</f>
        <v>1669.0</v>
      </c>
      <c r="F300" s="10"/>
      <c r="G300" s="2" t="n">
        <f>2989039750</f>
        <v>2.98903975E9</v>
      </c>
      <c r="H300" s="10"/>
      <c r="I300" s="2" t="n">
        <f>261</f>
        <v>261.0</v>
      </c>
      <c r="J300" s="10" t="s">
        <v>27</v>
      </c>
      <c r="K300" s="2" t="n">
        <f>65495</f>
        <v>65495.0</v>
      </c>
    </row>
    <row r="301">
      <c r="A301" s="8" t="s">
        <v>45</v>
      </c>
      <c r="B301" s="9" t="s">
        <v>67</v>
      </c>
      <c r="C301" s="9" t="s">
        <v>68</v>
      </c>
      <c r="D301" s="10" t="s">
        <v>38</v>
      </c>
      <c r="E301" s="2" t="n">
        <f>5985</f>
        <v>5985.0</v>
      </c>
      <c r="F301" s="10" t="s">
        <v>38</v>
      </c>
      <c r="G301" s="2" t="n">
        <f>10718285490</f>
        <v>1.071828549E10</v>
      </c>
      <c r="H301" s="10"/>
      <c r="I301" s="2" t="n">
        <f>57</f>
        <v>57.0</v>
      </c>
      <c r="J301" s="10"/>
      <c r="K301" s="2" t="n">
        <f>67130</f>
        <v>67130.0</v>
      </c>
    </row>
    <row r="302">
      <c r="A302" s="8" t="s">
        <v>46</v>
      </c>
      <c r="B302" s="9" t="s">
        <v>67</v>
      </c>
      <c r="C302" s="9" t="s">
        <v>68</v>
      </c>
      <c r="D302" s="10"/>
      <c r="E302" s="2"/>
      <c r="F302" s="10"/>
      <c r="G302" s="2"/>
      <c r="H302" s="10"/>
      <c r="I302" s="2"/>
      <c r="J302" s="10"/>
      <c r="K302" s="2"/>
    </row>
    <row r="303">
      <c r="A303" s="8" t="s">
        <v>47</v>
      </c>
      <c r="B303" s="9" t="s">
        <v>67</v>
      </c>
      <c r="C303" s="9" t="s">
        <v>68</v>
      </c>
      <c r="D303" s="10"/>
      <c r="E303" s="2"/>
      <c r="F303" s="10"/>
      <c r="G303" s="2"/>
      <c r="H303" s="10"/>
      <c r="I303" s="2"/>
      <c r="J303" s="10"/>
      <c r="K303" s="2"/>
    </row>
    <row r="304">
      <c r="A304" s="8" t="s">
        <v>48</v>
      </c>
      <c r="B304" s="9" t="s">
        <v>67</v>
      </c>
      <c r="C304" s="9" t="s">
        <v>68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49</v>
      </c>
      <c r="B305" s="9" t="s">
        <v>67</v>
      </c>
      <c r="C305" s="9" t="s">
        <v>68</v>
      </c>
      <c r="D305" s="10"/>
      <c r="E305" s="2" t="n">
        <f>387</f>
        <v>387.0</v>
      </c>
      <c r="F305" s="10"/>
      <c r="G305" s="2" t="n">
        <f>697261960</f>
        <v>6.9726196E8</v>
      </c>
      <c r="H305" s="10"/>
      <c r="I305" s="2" t="n">
        <f>63</f>
        <v>63.0</v>
      </c>
      <c r="J305" s="10"/>
      <c r="K305" s="2" t="n">
        <f>67117</f>
        <v>67117.0</v>
      </c>
    </row>
    <row r="306">
      <c r="A306" s="8" t="s">
        <v>16</v>
      </c>
      <c r="B306" s="9" t="s">
        <v>69</v>
      </c>
      <c r="C306" s="9" t="s">
        <v>70</v>
      </c>
      <c r="D306" s="10" t="s">
        <v>54</v>
      </c>
      <c r="E306" s="2" t="str">
        <f>"－"</f>
        <v>－</v>
      </c>
      <c r="F306" s="10" t="s">
        <v>54</v>
      </c>
      <c r="G306" s="2" t="str">
        <f>"－"</f>
        <v>－</v>
      </c>
      <c r="H306" s="10" t="s">
        <v>54</v>
      </c>
      <c r="I306" s="2" t="str">
        <f>"－"</f>
        <v>－</v>
      </c>
      <c r="J306" s="10" t="s">
        <v>54</v>
      </c>
      <c r="K306" s="2" t="str">
        <f>"－"</f>
        <v>－</v>
      </c>
    </row>
    <row r="307">
      <c r="A307" s="8" t="s">
        <v>19</v>
      </c>
      <c r="B307" s="9" t="s">
        <v>69</v>
      </c>
      <c r="C307" s="9" t="s">
        <v>70</v>
      </c>
      <c r="D307" s="10"/>
      <c r="E307" s="2" t="str">
        <f>"－"</f>
        <v>－</v>
      </c>
      <c r="F307" s="10"/>
      <c r="G307" s="2" t="str">
        <f>"－"</f>
        <v>－</v>
      </c>
      <c r="H307" s="10"/>
      <c r="I307" s="2" t="str">
        <f>"－"</f>
        <v>－</v>
      </c>
      <c r="J307" s="10"/>
      <c r="K307" s="2" t="str">
        <f>"－"</f>
        <v>－</v>
      </c>
    </row>
    <row r="308">
      <c r="A308" s="8" t="s">
        <v>20</v>
      </c>
      <c r="B308" s="9" t="s">
        <v>69</v>
      </c>
      <c r="C308" s="9" t="s">
        <v>70</v>
      </c>
      <c r="D308" s="10"/>
      <c r="E308" s="2" t="str">
        <f>"－"</f>
        <v>－</v>
      </c>
      <c r="F308" s="10"/>
      <c r="G308" s="2" t="str">
        <f>"－"</f>
        <v>－</v>
      </c>
      <c r="H308" s="10"/>
      <c r="I308" s="2" t="str">
        <f>"－"</f>
        <v>－</v>
      </c>
      <c r="J308" s="10"/>
      <c r="K308" s="2" t="str">
        <f>"－"</f>
        <v>－</v>
      </c>
    </row>
    <row r="309">
      <c r="A309" s="8" t="s">
        <v>21</v>
      </c>
      <c r="B309" s="9" t="s">
        <v>69</v>
      </c>
      <c r="C309" s="9" t="s">
        <v>70</v>
      </c>
      <c r="D309" s="10"/>
      <c r="E309" s="2" t="str">
        <f>"－"</f>
        <v>－</v>
      </c>
      <c r="F309" s="10"/>
      <c r="G309" s="2" t="str">
        <f>"－"</f>
        <v>－</v>
      </c>
      <c r="H309" s="10"/>
      <c r="I309" s="2" t="str">
        <f>"－"</f>
        <v>－</v>
      </c>
      <c r="J309" s="10"/>
      <c r="K309" s="2" t="str">
        <f>"－"</f>
        <v>－</v>
      </c>
    </row>
    <row r="310">
      <c r="A310" s="8" t="s">
        <v>22</v>
      </c>
      <c r="B310" s="9" t="s">
        <v>69</v>
      </c>
      <c r="C310" s="9" t="s">
        <v>70</v>
      </c>
      <c r="D310" s="10"/>
      <c r="E310" s="2" t="str">
        <f>"－"</f>
        <v>－</v>
      </c>
      <c r="F310" s="10"/>
      <c r="G310" s="2" t="str">
        <f>"－"</f>
        <v>－</v>
      </c>
      <c r="H310" s="10"/>
      <c r="I310" s="2" t="str">
        <f>"－"</f>
        <v>－</v>
      </c>
      <c r="J310" s="10"/>
      <c r="K310" s="2" t="str">
        <f>"－"</f>
        <v>－</v>
      </c>
    </row>
    <row r="311">
      <c r="A311" s="8" t="s">
        <v>23</v>
      </c>
      <c r="B311" s="9" t="s">
        <v>69</v>
      </c>
      <c r="C311" s="9" t="s">
        <v>70</v>
      </c>
      <c r="D311" s="10"/>
      <c r="E311" s="2"/>
      <c r="F311" s="10"/>
      <c r="G311" s="2"/>
      <c r="H311" s="10"/>
      <c r="I311" s="2"/>
      <c r="J311" s="10"/>
      <c r="K311" s="2"/>
    </row>
    <row r="312">
      <c r="A312" s="8" t="s">
        <v>24</v>
      </c>
      <c r="B312" s="9" t="s">
        <v>69</v>
      </c>
      <c r="C312" s="9" t="s">
        <v>70</v>
      </c>
      <c r="D312" s="10"/>
      <c r="E312" s="2"/>
      <c r="F312" s="10"/>
      <c r="G312" s="2"/>
      <c r="H312" s="10"/>
      <c r="I312" s="2"/>
      <c r="J312" s="10"/>
      <c r="K312" s="2"/>
    </row>
    <row r="313">
      <c r="A313" s="8" t="s">
        <v>25</v>
      </c>
      <c r="B313" s="9" t="s">
        <v>69</v>
      </c>
      <c r="C313" s="9" t="s">
        <v>70</v>
      </c>
      <c r="D313" s="10"/>
      <c r="E313" s="2" t="str">
        <f>"－"</f>
        <v>－</v>
      </c>
      <c r="F313" s="10"/>
      <c r="G313" s="2" t="str">
        <f>"－"</f>
        <v>－</v>
      </c>
      <c r="H313" s="10"/>
      <c r="I313" s="2" t="str">
        <f>"－"</f>
        <v>－</v>
      </c>
      <c r="J313" s="10"/>
      <c r="K313" s="2" t="str">
        <f>"－"</f>
        <v>－</v>
      </c>
    </row>
    <row r="314">
      <c r="A314" s="8" t="s">
        <v>26</v>
      </c>
      <c r="B314" s="9" t="s">
        <v>69</v>
      </c>
      <c r="C314" s="9" t="s">
        <v>70</v>
      </c>
      <c r="D314" s="10"/>
      <c r="E314" s="2" t="str">
        <f>"－"</f>
        <v>－</v>
      </c>
      <c r="F314" s="10"/>
      <c r="G314" s="2" t="str">
        <f>"－"</f>
        <v>－</v>
      </c>
      <c r="H314" s="10"/>
      <c r="I314" s="2" t="str">
        <f>"－"</f>
        <v>－</v>
      </c>
      <c r="J314" s="10"/>
      <c r="K314" s="2" t="str">
        <f>"－"</f>
        <v>－</v>
      </c>
    </row>
    <row r="315">
      <c r="A315" s="8" t="s">
        <v>28</v>
      </c>
      <c r="B315" s="9" t="s">
        <v>69</v>
      </c>
      <c r="C315" s="9" t="s">
        <v>70</v>
      </c>
      <c r="D315" s="10"/>
      <c r="E315" s="2" t="str">
        <f>"－"</f>
        <v>－</v>
      </c>
      <c r="F315" s="10"/>
      <c r="G315" s="2" t="str">
        <f>"－"</f>
        <v>－</v>
      </c>
      <c r="H315" s="10"/>
      <c r="I315" s="2" t="str">
        <f>"－"</f>
        <v>－</v>
      </c>
      <c r="J315" s="10"/>
      <c r="K315" s="2" t="str">
        <f>"－"</f>
        <v>－</v>
      </c>
    </row>
    <row r="316">
      <c r="A316" s="8" t="s">
        <v>29</v>
      </c>
      <c r="B316" s="9" t="s">
        <v>69</v>
      </c>
      <c r="C316" s="9" t="s">
        <v>70</v>
      </c>
      <c r="D316" s="10"/>
      <c r="E316" s="2" t="str">
        <f>"－"</f>
        <v>－</v>
      </c>
      <c r="F316" s="10"/>
      <c r="G316" s="2" t="str">
        <f>"－"</f>
        <v>－</v>
      </c>
      <c r="H316" s="10"/>
      <c r="I316" s="2" t="str">
        <f>"－"</f>
        <v>－</v>
      </c>
      <c r="J316" s="10"/>
      <c r="K316" s="2" t="str">
        <f>"－"</f>
        <v>－</v>
      </c>
    </row>
    <row r="317">
      <c r="A317" s="8" t="s">
        <v>30</v>
      </c>
      <c r="B317" s="9" t="s">
        <v>69</v>
      </c>
      <c r="C317" s="9" t="s">
        <v>70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31</v>
      </c>
      <c r="B318" s="9" t="s">
        <v>69</v>
      </c>
      <c r="C318" s="9" t="s">
        <v>70</v>
      </c>
      <c r="D318" s="10"/>
      <c r="E318" s="2"/>
      <c r="F318" s="10"/>
      <c r="G318" s="2"/>
      <c r="H318" s="10"/>
      <c r="I318" s="2"/>
      <c r="J318" s="10"/>
      <c r="K318" s="2"/>
    </row>
    <row r="319">
      <c r="A319" s="8" t="s">
        <v>32</v>
      </c>
      <c r="B319" s="9" t="s">
        <v>69</v>
      </c>
      <c r="C319" s="9" t="s">
        <v>70</v>
      </c>
      <c r="D319" s="10"/>
      <c r="E319" s="2"/>
      <c r="F319" s="10"/>
      <c r="G319" s="2"/>
      <c r="H319" s="10"/>
      <c r="I319" s="2"/>
      <c r="J319" s="10"/>
      <c r="K319" s="2"/>
    </row>
    <row r="320">
      <c r="A320" s="8" t="s">
        <v>33</v>
      </c>
      <c r="B320" s="9" t="s">
        <v>69</v>
      </c>
      <c r="C320" s="9" t="s">
        <v>70</v>
      </c>
      <c r="D320" s="10"/>
      <c r="E320" s="2" t="str">
        <f>"－"</f>
        <v>－</v>
      </c>
      <c r="F320" s="10"/>
      <c r="G320" s="2" t="str">
        <f>"－"</f>
        <v>－</v>
      </c>
      <c r="H320" s="10"/>
      <c r="I320" s="2" t="str">
        <f>"－"</f>
        <v>－</v>
      </c>
      <c r="J320" s="10"/>
      <c r="K320" s="2" t="str">
        <f>"－"</f>
        <v>－</v>
      </c>
    </row>
    <row r="321">
      <c r="A321" s="8" t="s">
        <v>34</v>
      </c>
      <c r="B321" s="9" t="s">
        <v>69</v>
      </c>
      <c r="C321" s="9" t="s">
        <v>70</v>
      </c>
      <c r="D321" s="10"/>
      <c r="E321" s="2" t="str">
        <f>"－"</f>
        <v>－</v>
      </c>
      <c r="F321" s="10"/>
      <c r="G321" s="2" t="str">
        <f>"－"</f>
        <v>－</v>
      </c>
      <c r="H321" s="10"/>
      <c r="I321" s="2" t="str">
        <f>"－"</f>
        <v>－</v>
      </c>
      <c r="J321" s="10"/>
      <c r="K321" s="2" t="str">
        <f>"－"</f>
        <v>－</v>
      </c>
    </row>
    <row r="322">
      <c r="A322" s="8" t="s">
        <v>35</v>
      </c>
      <c r="B322" s="9" t="s">
        <v>69</v>
      </c>
      <c r="C322" s="9" t="s">
        <v>70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36</v>
      </c>
      <c r="B323" s="9" t="s">
        <v>69</v>
      </c>
      <c r="C323" s="9" t="s">
        <v>70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37</v>
      </c>
      <c r="B324" s="9" t="s">
        <v>69</v>
      </c>
      <c r="C324" s="9" t="s">
        <v>70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39</v>
      </c>
      <c r="B325" s="9" t="s">
        <v>69</v>
      </c>
      <c r="C325" s="9" t="s">
        <v>70</v>
      </c>
      <c r="D325" s="10"/>
      <c r="E325" s="2"/>
      <c r="F325" s="10"/>
      <c r="G325" s="2"/>
      <c r="H325" s="10"/>
      <c r="I325" s="2"/>
      <c r="J325" s="10"/>
      <c r="K325" s="2"/>
    </row>
    <row r="326">
      <c r="A326" s="8" t="s">
        <v>40</v>
      </c>
      <c r="B326" s="9" t="s">
        <v>69</v>
      </c>
      <c r="C326" s="9" t="s">
        <v>70</v>
      </c>
      <c r="D326" s="10"/>
      <c r="E326" s="2"/>
      <c r="F326" s="10"/>
      <c r="G326" s="2"/>
      <c r="H326" s="10"/>
      <c r="I326" s="2"/>
      <c r="J326" s="10"/>
      <c r="K326" s="2"/>
    </row>
    <row r="327">
      <c r="A327" s="8" t="s">
        <v>41</v>
      </c>
      <c r="B327" s="9" t="s">
        <v>69</v>
      </c>
      <c r="C327" s="9" t="s">
        <v>70</v>
      </c>
      <c r="D327" s="10"/>
      <c r="E327" s="2" t="str">
        <f>"－"</f>
        <v>－</v>
      </c>
      <c r="F327" s="10"/>
      <c r="G327" s="2" t="str">
        <f>"－"</f>
        <v>－</v>
      </c>
      <c r="H327" s="10"/>
      <c r="I327" s="2" t="str">
        <f>"－"</f>
        <v>－</v>
      </c>
      <c r="J327" s="10"/>
      <c r="K327" s="2" t="str">
        <f>"－"</f>
        <v>－</v>
      </c>
    </row>
    <row r="328">
      <c r="A328" s="8" t="s">
        <v>42</v>
      </c>
      <c r="B328" s="9" t="s">
        <v>69</v>
      </c>
      <c r="C328" s="9" t="s">
        <v>70</v>
      </c>
      <c r="D328" s="10"/>
      <c r="E328" s="2" t="str">
        <f>"－"</f>
        <v>－</v>
      </c>
      <c r="F328" s="10"/>
      <c r="G328" s="2" t="str">
        <f>"－"</f>
        <v>－</v>
      </c>
      <c r="H328" s="10"/>
      <c r="I328" s="2" t="str">
        <f>"－"</f>
        <v>－</v>
      </c>
      <c r="J328" s="10"/>
      <c r="K328" s="2" t="str">
        <f>"－"</f>
        <v>－</v>
      </c>
    </row>
    <row r="329">
      <c r="A329" s="8" t="s">
        <v>43</v>
      </c>
      <c r="B329" s="9" t="s">
        <v>69</v>
      </c>
      <c r="C329" s="9" t="s">
        <v>70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44</v>
      </c>
      <c r="B330" s="9" t="s">
        <v>69</v>
      </c>
      <c r="C330" s="9" t="s">
        <v>70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45</v>
      </c>
      <c r="B331" s="9" t="s">
        <v>69</v>
      </c>
      <c r="C331" s="9" t="s">
        <v>70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46</v>
      </c>
      <c r="B332" s="9" t="s">
        <v>69</v>
      </c>
      <c r="C332" s="9" t="s">
        <v>70</v>
      </c>
      <c r="D332" s="10"/>
      <c r="E332" s="2"/>
      <c r="F332" s="10"/>
      <c r="G332" s="2"/>
      <c r="H332" s="10"/>
      <c r="I332" s="2"/>
      <c r="J332" s="10"/>
      <c r="K332" s="2"/>
    </row>
    <row r="333">
      <c r="A333" s="8" t="s">
        <v>47</v>
      </c>
      <c r="B333" s="9" t="s">
        <v>69</v>
      </c>
      <c r="C333" s="9" t="s">
        <v>70</v>
      </c>
      <c r="D333" s="10"/>
      <c r="E333" s="2"/>
      <c r="F333" s="10"/>
      <c r="G333" s="2"/>
      <c r="H333" s="10"/>
      <c r="I333" s="2"/>
      <c r="J333" s="10"/>
      <c r="K333" s="2"/>
    </row>
    <row r="334">
      <c r="A334" s="8" t="s">
        <v>48</v>
      </c>
      <c r="B334" s="9" t="s">
        <v>69</v>
      </c>
      <c r="C334" s="9" t="s">
        <v>70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49</v>
      </c>
      <c r="B335" s="9" t="s">
        <v>69</v>
      </c>
      <c r="C335" s="9" t="s">
        <v>70</v>
      </c>
      <c r="D335" s="10"/>
      <c r="E335" s="2" t="str">
        <f>"－"</f>
        <v>－</v>
      </c>
      <c r="F335" s="10"/>
      <c r="G335" s="2" t="str">
        <f>"－"</f>
        <v>－</v>
      </c>
      <c r="H335" s="10"/>
      <c r="I335" s="2" t="str">
        <f>"－"</f>
        <v>－</v>
      </c>
      <c r="J335" s="10"/>
      <c r="K335" s="2" t="str">
        <f>"－"</f>
        <v>－</v>
      </c>
    </row>
    <row r="336">
      <c r="A336" s="8" t="s">
        <v>16</v>
      </c>
      <c r="B336" s="9" t="s">
        <v>71</v>
      </c>
      <c r="C336" s="9" t="s">
        <v>72</v>
      </c>
      <c r="D336" s="10"/>
      <c r="E336" s="2" t="n">
        <f>6665</f>
        <v>6665.0</v>
      </c>
      <c r="F336" s="10"/>
      <c r="G336" s="2" t="n">
        <f>4875143800</f>
        <v>4.8751438E9</v>
      </c>
      <c r="H336" s="10"/>
      <c r="I336" s="2" t="n">
        <f>410</f>
        <v>410.0</v>
      </c>
      <c r="J336" s="10" t="s">
        <v>27</v>
      </c>
      <c r="K336" s="2" t="n">
        <f>43866</f>
        <v>43866.0</v>
      </c>
    </row>
    <row r="337">
      <c r="A337" s="8" t="s">
        <v>19</v>
      </c>
      <c r="B337" s="9" t="s">
        <v>71</v>
      </c>
      <c r="C337" s="9" t="s">
        <v>72</v>
      </c>
      <c r="D337" s="10"/>
      <c r="E337" s="2" t="n">
        <f>9449</f>
        <v>9449.0</v>
      </c>
      <c r="F337" s="10"/>
      <c r="G337" s="2" t="n">
        <f>6800684010</f>
        <v>6.80068401E9</v>
      </c>
      <c r="H337" s="10"/>
      <c r="I337" s="2" t="n">
        <f>1684</f>
        <v>1684.0</v>
      </c>
      <c r="J337" s="10"/>
      <c r="K337" s="2" t="n">
        <f>44655</f>
        <v>44655.0</v>
      </c>
    </row>
    <row r="338">
      <c r="A338" s="8" t="s">
        <v>20</v>
      </c>
      <c r="B338" s="9" t="s">
        <v>71</v>
      </c>
      <c r="C338" s="9" t="s">
        <v>72</v>
      </c>
      <c r="D338" s="10"/>
      <c r="E338" s="2" t="n">
        <f>8687</f>
        <v>8687.0</v>
      </c>
      <c r="F338" s="10"/>
      <c r="G338" s="2" t="n">
        <f>6106321750</f>
        <v>6.10632175E9</v>
      </c>
      <c r="H338" s="10"/>
      <c r="I338" s="2" t="n">
        <f>814</f>
        <v>814.0</v>
      </c>
      <c r="J338" s="10"/>
      <c r="K338" s="2" t="n">
        <f>45294</f>
        <v>45294.0</v>
      </c>
    </row>
    <row r="339">
      <c r="A339" s="8" t="s">
        <v>21</v>
      </c>
      <c r="B339" s="9" t="s">
        <v>71</v>
      </c>
      <c r="C339" s="9" t="s">
        <v>72</v>
      </c>
      <c r="D339" s="10"/>
      <c r="E339" s="2" t="n">
        <f>11646</f>
        <v>11646.0</v>
      </c>
      <c r="F339" s="10" t="s">
        <v>38</v>
      </c>
      <c r="G339" s="2" t="n">
        <f>8116426320</f>
        <v>8.11642632E9</v>
      </c>
      <c r="H339" s="10"/>
      <c r="I339" s="2" t="n">
        <f>766</f>
        <v>766.0</v>
      </c>
      <c r="J339" s="10"/>
      <c r="K339" s="2" t="n">
        <f>46337</f>
        <v>46337.0</v>
      </c>
    </row>
    <row r="340">
      <c r="A340" s="8" t="s">
        <v>22</v>
      </c>
      <c r="B340" s="9" t="s">
        <v>71</v>
      </c>
      <c r="C340" s="9" t="s">
        <v>72</v>
      </c>
      <c r="D340" s="10"/>
      <c r="E340" s="2" t="n">
        <f>7384</f>
        <v>7384.0</v>
      </c>
      <c r="F340" s="10"/>
      <c r="G340" s="2" t="n">
        <f>5050497170</f>
        <v>5.05049717E9</v>
      </c>
      <c r="H340" s="10"/>
      <c r="I340" s="2" t="n">
        <f>426</f>
        <v>426.0</v>
      </c>
      <c r="J340" s="10"/>
      <c r="K340" s="2" t="n">
        <f>46227</f>
        <v>46227.0</v>
      </c>
    </row>
    <row r="341">
      <c r="A341" s="8" t="s">
        <v>23</v>
      </c>
      <c r="B341" s="9" t="s">
        <v>71</v>
      </c>
      <c r="C341" s="9" t="s">
        <v>72</v>
      </c>
      <c r="D341" s="10"/>
      <c r="E341" s="2"/>
      <c r="F341" s="10"/>
      <c r="G341" s="2"/>
      <c r="H341" s="10"/>
      <c r="I341" s="2"/>
      <c r="J341" s="10"/>
      <c r="K341" s="2"/>
    </row>
    <row r="342">
      <c r="A342" s="8" t="s">
        <v>24</v>
      </c>
      <c r="B342" s="9" t="s">
        <v>71</v>
      </c>
      <c r="C342" s="9" t="s">
        <v>72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25</v>
      </c>
      <c r="B343" s="9" t="s">
        <v>71</v>
      </c>
      <c r="C343" s="9" t="s">
        <v>72</v>
      </c>
      <c r="D343" s="10"/>
      <c r="E343" s="2" t="n">
        <f>7894</f>
        <v>7894.0</v>
      </c>
      <c r="F343" s="10"/>
      <c r="G343" s="2" t="n">
        <f>5430594900</f>
        <v>5.4305949E9</v>
      </c>
      <c r="H343" s="10" t="s">
        <v>38</v>
      </c>
      <c r="I343" s="2" t="n">
        <f>3267</f>
        <v>3267.0</v>
      </c>
      <c r="J343" s="10"/>
      <c r="K343" s="2" t="n">
        <f>46911</f>
        <v>46911.0</v>
      </c>
    </row>
    <row r="344">
      <c r="A344" s="8" t="s">
        <v>26</v>
      </c>
      <c r="B344" s="9" t="s">
        <v>71</v>
      </c>
      <c r="C344" s="9" t="s">
        <v>72</v>
      </c>
      <c r="D344" s="10" t="s">
        <v>27</v>
      </c>
      <c r="E344" s="2" t="n">
        <f>4680</f>
        <v>4680.0</v>
      </c>
      <c r="F344" s="10" t="s">
        <v>27</v>
      </c>
      <c r="G344" s="2" t="n">
        <f>3252893270</f>
        <v>3.25289327E9</v>
      </c>
      <c r="H344" s="10" t="s">
        <v>27</v>
      </c>
      <c r="I344" s="2" t="n">
        <f>237</f>
        <v>237.0</v>
      </c>
      <c r="J344" s="10"/>
      <c r="K344" s="2" t="n">
        <f>47299</f>
        <v>47299.0</v>
      </c>
    </row>
    <row r="345">
      <c r="A345" s="8" t="s">
        <v>28</v>
      </c>
      <c r="B345" s="9" t="s">
        <v>71</v>
      </c>
      <c r="C345" s="9" t="s">
        <v>72</v>
      </c>
      <c r="D345" s="10"/>
      <c r="E345" s="2" t="n">
        <f>6761</f>
        <v>6761.0</v>
      </c>
      <c r="F345" s="10"/>
      <c r="G345" s="2" t="n">
        <f>4722700000</f>
        <v>4.7227E9</v>
      </c>
      <c r="H345" s="10"/>
      <c r="I345" s="2" t="n">
        <f>449</f>
        <v>449.0</v>
      </c>
      <c r="J345" s="10"/>
      <c r="K345" s="2" t="n">
        <f>47626</f>
        <v>47626.0</v>
      </c>
    </row>
    <row r="346">
      <c r="A346" s="8" t="s">
        <v>29</v>
      </c>
      <c r="B346" s="9" t="s">
        <v>71</v>
      </c>
      <c r="C346" s="9" t="s">
        <v>72</v>
      </c>
      <c r="D346" s="10"/>
      <c r="E346" s="2" t="n">
        <f>6999</f>
        <v>6999.0</v>
      </c>
      <c r="F346" s="10"/>
      <c r="G346" s="2" t="n">
        <f>4812944880</f>
        <v>4.81294488E9</v>
      </c>
      <c r="H346" s="10"/>
      <c r="I346" s="2" t="n">
        <f>646</f>
        <v>646.0</v>
      </c>
      <c r="J346" s="10"/>
      <c r="K346" s="2" t="n">
        <f>48145</f>
        <v>48145.0</v>
      </c>
    </row>
    <row r="347">
      <c r="A347" s="8" t="s">
        <v>30</v>
      </c>
      <c r="B347" s="9" t="s">
        <v>71</v>
      </c>
      <c r="C347" s="9" t="s">
        <v>72</v>
      </c>
      <c r="D347" s="10"/>
      <c r="E347" s="2" t="n">
        <f>8892</f>
        <v>8892.0</v>
      </c>
      <c r="F347" s="10"/>
      <c r="G347" s="2" t="n">
        <f>6074603920</f>
        <v>6.07460392E9</v>
      </c>
      <c r="H347" s="10"/>
      <c r="I347" s="2" t="n">
        <f>746</f>
        <v>746.0</v>
      </c>
      <c r="J347" s="10"/>
      <c r="K347" s="2" t="n">
        <f>48237</f>
        <v>48237.0</v>
      </c>
    </row>
    <row r="348">
      <c r="A348" s="8" t="s">
        <v>31</v>
      </c>
      <c r="B348" s="9" t="s">
        <v>71</v>
      </c>
      <c r="C348" s="9" t="s">
        <v>72</v>
      </c>
      <c r="D348" s="10"/>
      <c r="E348" s="2"/>
      <c r="F348" s="10"/>
      <c r="G348" s="2"/>
      <c r="H348" s="10"/>
      <c r="I348" s="2"/>
      <c r="J348" s="10"/>
      <c r="K348" s="2"/>
    </row>
    <row r="349">
      <c r="A349" s="8" t="s">
        <v>32</v>
      </c>
      <c r="B349" s="9" t="s">
        <v>71</v>
      </c>
      <c r="C349" s="9" t="s">
        <v>72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33</v>
      </c>
      <c r="B350" s="9" t="s">
        <v>71</v>
      </c>
      <c r="C350" s="9" t="s">
        <v>72</v>
      </c>
      <c r="D350" s="10"/>
      <c r="E350" s="2" t="n">
        <f>9070</f>
        <v>9070.0</v>
      </c>
      <c r="F350" s="10"/>
      <c r="G350" s="2" t="n">
        <f>6120837180</f>
        <v>6.12083718E9</v>
      </c>
      <c r="H350" s="10"/>
      <c r="I350" s="2" t="n">
        <f>704</f>
        <v>704.0</v>
      </c>
      <c r="J350" s="10"/>
      <c r="K350" s="2" t="n">
        <f>48612</f>
        <v>48612.0</v>
      </c>
    </row>
    <row r="351">
      <c r="A351" s="8" t="s">
        <v>34</v>
      </c>
      <c r="B351" s="9" t="s">
        <v>71</v>
      </c>
      <c r="C351" s="9" t="s">
        <v>72</v>
      </c>
      <c r="D351" s="10"/>
      <c r="E351" s="2" t="n">
        <f>8449</f>
        <v>8449.0</v>
      </c>
      <c r="F351" s="10"/>
      <c r="G351" s="2" t="n">
        <f>5571064550</f>
        <v>5.57106455E9</v>
      </c>
      <c r="H351" s="10"/>
      <c r="I351" s="2" t="n">
        <f>564</f>
        <v>564.0</v>
      </c>
      <c r="J351" s="10"/>
      <c r="K351" s="2" t="n">
        <f>48895</f>
        <v>48895.0</v>
      </c>
    </row>
    <row r="352">
      <c r="A352" s="8" t="s">
        <v>35</v>
      </c>
      <c r="B352" s="9" t="s">
        <v>71</v>
      </c>
      <c r="C352" s="9" t="s">
        <v>72</v>
      </c>
      <c r="D352" s="10"/>
      <c r="E352" s="2" t="n">
        <f>8341</f>
        <v>8341.0</v>
      </c>
      <c r="F352" s="10"/>
      <c r="G352" s="2" t="n">
        <f>5401378200</f>
        <v>5.4013782E9</v>
      </c>
      <c r="H352" s="10"/>
      <c r="I352" s="2" t="n">
        <f>619</f>
        <v>619.0</v>
      </c>
      <c r="J352" s="10"/>
      <c r="K352" s="2" t="n">
        <f>49160</f>
        <v>49160.0</v>
      </c>
    </row>
    <row r="353">
      <c r="A353" s="8" t="s">
        <v>36</v>
      </c>
      <c r="B353" s="9" t="s">
        <v>71</v>
      </c>
      <c r="C353" s="9" t="s">
        <v>72</v>
      </c>
      <c r="D353" s="10"/>
      <c r="E353" s="2" t="n">
        <f>8498</f>
        <v>8498.0</v>
      </c>
      <c r="F353" s="10"/>
      <c r="G353" s="2" t="n">
        <f>5517070140</f>
        <v>5.51707014E9</v>
      </c>
      <c r="H353" s="10"/>
      <c r="I353" s="2" t="n">
        <f>655</f>
        <v>655.0</v>
      </c>
      <c r="J353" s="10"/>
      <c r="K353" s="2" t="n">
        <f>49736</f>
        <v>49736.0</v>
      </c>
    </row>
    <row r="354">
      <c r="A354" s="8" t="s">
        <v>37</v>
      </c>
      <c r="B354" s="9" t="s">
        <v>71</v>
      </c>
      <c r="C354" s="9" t="s">
        <v>72</v>
      </c>
      <c r="D354" s="10" t="s">
        <v>38</v>
      </c>
      <c r="E354" s="2" t="n">
        <f>12383</f>
        <v>12383.0</v>
      </c>
      <c r="F354" s="10"/>
      <c r="G354" s="2" t="n">
        <f>7847777200</f>
        <v>7.8477772E9</v>
      </c>
      <c r="H354" s="10"/>
      <c r="I354" s="2" t="n">
        <f>959</f>
        <v>959.0</v>
      </c>
      <c r="J354" s="10"/>
      <c r="K354" s="2" t="n">
        <f>51004</f>
        <v>51004.0</v>
      </c>
    </row>
    <row r="355">
      <c r="A355" s="8" t="s">
        <v>39</v>
      </c>
      <c r="B355" s="9" t="s">
        <v>71</v>
      </c>
      <c r="C355" s="9" t="s">
        <v>72</v>
      </c>
      <c r="D355" s="10"/>
      <c r="E355" s="2"/>
      <c r="F355" s="10"/>
      <c r="G355" s="2"/>
      <c r="H355" s="10"/>
      <c r="I355" s="2"/>
      <c r="J355" s="10"/>
      <c r="K355" s="2"/>
    </row>
    <row r="356">
      <c r="A356" s="8" t="s">
        <v>40</v>
      </c>
      <c r="B356" s="9" t="s">
        <v>71</v>
      </c>
      <c r="C356" s="9" t="s">
        <v>72</v>
      </c>
      <c r="D356" s="10"/>
      <c r="E356" s="2"/>
      <c r="F356" s="10"/>
      <c r="G356" s="2"/>
      <c r="H356" s="10"/>
      <c r="I356" s="2"/>
      <c r="J356" s="10"/>
      <c r="K356" s="2"/>
    </row>
    <row r="357">
      <c r="A357" s="8" t="s">
        <v>41</v>
      </c>
      <c r="B357" s="9" t="s">
        <v>71</v>
      </c>
      <c r="C357" s="9" t="s">
        <v>72</v>
      </c>
      <c r="D357" s="10"/>
      <c r="E357" s="2" t="n">
        <f>9950</f>
        <v>9950.0</v>
      </c>
      <c r="F357" s="10"/>
      <c r="G357" s="2" t="n">
        <f>6357590540</f>
        <v>6.35759054E9</v>
      </c>
      <c r="H357" s="10"/>
      <c r="I357" s="2" t="n">
        <f>609</f>
        <v>609.0</v>
      </c>
      <c r="J357" s="10"/>
      <c r="K357" s="2" t="n">
        <f>51303</f>
        <v>51303.0</v>
      </c>
    </row>
    <row r="358">
      <c r="A358" s="8" t="s">
        <v>42</v>
      </c>
      <c r="B358" s="9" t="s">
        <v>71</v>
      </c>
      <c r="C358" s="9" t="s">
        <v>72</v>
      </c>
      <c r="D358" s="10"/>
      <c r="E358" s="2" t="n">
        <f>6731</f>
        <v>6731.0</v>
      </c>
      <c r="F358" s="10"/>
      <c r="G358" s="2" t="n">
        <f>4346869560</f>
        <v>4.34686956E9</v>
      </c>
      <c r="H358" s="10"/>
      <c r="I358" s="2" t="n">
        <f>242</f>
        <v>242.0</v>
      </c>
      <c r="J358" s="10"/>
      <c r="K358" s="2" t="n">
        <f>51461</f>
        <v>51461.0</v>
      </c>
    </row>
    <row r="359">
      <c r="A359" s="8" t="s">
        <v>43</v>
      </c>
      <c r="B359" s="9" t="s">
        <v>71</v>
      </c>
      <c r="C359" s="9" t="s">
        <v>72</v>
      </c>
      <c r="D359" s="10"/>
      <c r="E359" s="2" t="n">
        <f>7801</f>
        <v>7801.0</v>
      </c>
      <c r="F359" s="10"/>
      <c r="G359" s="2" t="n">
        <f>5094926900</f>
        <v>5.0949269E9</v>
      </c>
      <c r="H359" s="10"/>
      <c r="I359" s="2" t="n">
        <f>1221</f>
        <v>1221.0</v>
      </c>
      <c r="J359" s="10"/>
      <c r="K359" s="2" t="n">
        <f>51139</f>
        <v>51139.0</v>
      </c>
    </row>
    <row r="360">
      <c r="A360" s="8" t="s">
        <v>44</v>
      </c>
      <c r="B360" s="9" t="s">
        <v>71</v>
      </c>
      <c r="C360" s="9" t="s">
        <v>72</v>
      </c>
      <c r="D360" s="10"/>
      <c r="E360" s="2" t="n">
        <f>8864</f>
        <v>8864.0</v>
      </c>
      <c r="F360" s="10"/>
      <c r="G360" s="2" t="n">
        <f>5678075390</f>
        <v>5.67807539E9</v>
      </c>
      <c r="H360" s="10"/>
      <c r="I360" s="2" t="n">
        <f>826</f>
        <v>826.0</v>
      </c>
      <c r="J360" s="10"/>
      <c r="K360" s="2" t="n">
        <f>51614</f>
        <v>51614.0</v>
      </c>
    </row>
    <row r="361">
      <c r="A361" s="8" t="s">
        <v>45</v>
      </c>
      <c r="B361" s="9" t="s">
        <v>71</v>
      </c>
      <c r="C361" s="9" t="s">
        <v>72</v>
      </c>
      <c r="D361" s="10"/>
      <c r="E361" s="2" t="n">
        <f>9779</f>
        <v>9779.0</v>
      </c>
      <c r="F361" s="10"/>
      <c r="G361" s="2" t="n">
        <f>6220888680</f>
        <v>6.22088868E9</v>
      </c>
      <c r="H361" s="10"/>
      <c r="I361" s="2" t="n">
        <f>1187</f>
        <v>1187.0</v>
      </c>
      <c r="J361" s="10"/>
      <c r="K361" s="2" t="n">
        <f>51905</f>
        <v>51905.0</v>
      </c>
    </row>
    <row r="362">
      <c r="A362" s="8" t="s">
        <v>46</v>
      </c>
      <c r="B362" s="9" t="s">
        <v>71</v>
      </c>
      <c r="C362" s="9" t="s">
        <v>72</v>
      </c>
      <c r="D362" s="10"/>
      <c r="E362" s="2"/>
      <c r="F362" s="10"/>
      <c r="G362" s="2"/>
      <c r="H362" s="10"/>
      <c r="I362" s="2"/>
      <c r="J362" s="10"/>
      <c r="K362" s="2"/>
    </row>
    <row r="363">
      <c r="A363" s="8" t="s">
        <v>47</v>
      </c>
      <c r="B363" s="9" t="s">
        <v>71</v>
      </c>
      <c r="C363" s="9" t="s">
        <v>72</v>
      </c>
      <c r="D363" s="10"/>
      <c r="E363" s="2"/>
      <c r="F363" s="10"/>
      <c r="G363" s="2"/>
      <c r="H363" s="10"/>
      <c r="I363" s="2"/>
      <c r="J363" s="10"/>
      <c r="K363" s="2"/>
    </row>
    <row r="364">
      <c r="A364" s="8" t="s">
        <v>48</v>
      </c>
      <c r="B364" s="9" t="s">
        <v>71</v>
      </c>
      <c r="C364" s="9" t="s">
        <v>72</v>
      </c>
      <c r="D364" s="10"/>
      <c r="E364" s="2"/>
      <c r="F364" s="10"/>
      <c r="G364" s="2"/>
      <c r="H364" s="10"/>
      <c r="I364" s="2"/>
      <c r="J364" s="10"/>
      <c r="K364" s="2"/>
    </row>
    <row r="365">
      <c r="A365" s="8" t="s">
        <v>49</v>
      </c>
      <c r="B365" s="9" t="s">
        <v>71</v>
      </c>
      <c r="C365" s="9" t="s">
        <v>72</v>
      </c>
      <c r="D365" s="10"/>
      <c r="E365" s="2" t="n">
        <f>8701</f>
        <v>8701.0</v>
      </c>
      <c r="F365" s="10"/>
      <c r="G365" s="2" t="n">
        <f>5608927250</f>
        <v>5.60892725E9</v>
      </c>
      <c r="H365" s="10"/>
      <c r="I365" s="2" t="n">
        <f>457</f>
        <v>457.0</v>
      </c>
      <c r="J365" s="10" t="s">
        <v>38</v>
      </c>
      <c r="K365" s="2" t="n">
        <f>52079</f>
        <v>52079.0</v>
      </c>
    </row>
    <row r="366">
      <c r="A366" s="8" t="s">
        <v>16</v>
      </c>
      <c r="B366" s="9" t="s">
        <v>73</v>
      </c>
      <c r="C366" s="9" t="s">
        <v>74</v>
      </c>
      <c r="D366" s="10" t="s">
        <v>27</v>
      </c>
      <c r="E366" s="2" t="n">
        <f>183</f>
        <v>183.0</v>
      </c>
      <c r="F366" s="10" t="s">
        <v>27</v>
      </c>
      <c r="G366" s="2" t="n">
        <f>737359800</f>
        <v>7.373598E8</v>
      </c>
      <c r="H366" s="10"/>
      <c r="I366" s="2" t="n">
        <f>9</f>
        <v>9.0</v>
      </c>
      <c r="J366" s="10"/>
      <c r="K366" s="2" t="n">
        <f>3544</f>
        <v>3544.0</v>
      </c>
    </row>
    <row r="367">
      <c r="A367" s="8" t="s">
        <v>19</v>
      </c>
      <c r="B367" s="9" t="s">
        <v>73</v>
      </c>
      <c r="C367" s="9" t="s">
        <v>74</v>
      </c>
      <c r="D367" s="10"/>
      <c r="E367" s="2" t="n">
        <f>635</f>
        <v>635.0</v>
      </c>
      <c r="F367" s="10"/>
      <c r="G367" s="2" t="n">
        <f>2538712500</f>
        <v>2.5387125E9</v>
      </c>
      <c r="H367" s="10"/>
      <c r="I367" s="2" t="n">
        <f>6</f>
        <v>6.0</v>
      </c>
      <c r="J367" s="10"/>
      <c r="K367" s="2" t="n">
        <f>3452</f>
        <v>3452.0</v>
      </c>
    </row>
    <row r="368">
      <c r="A368" s="8" t="s">
        <v>20</v>
      </c>
      <c r="B368" s="9" t="s">
        <v>73</v>
      </c>
      <c r="C368" s="9" t="s">
        <v>74</v>
      </c>
      <c r="D368" s="10"/>
      <c r="E368" s="2" t="n">
        <f>739</f>
        <v>739.0</v>
      </c>
      <c r="F368" s="10"/>
      <c r="G368" s="2" t="n">
        <f>2921347200</f>
        <v>2.9213472E9</v>
      </c>
      <c r="H368" s="10"/>
      <c r="I368" s="2" t="n">
        <f>2</f>
        <v>2.0</v>
      </c>
      <c r="J368" s="10"/>
      <c r="K368" s="2" t="n">
        <f>3290</f>
        <v>3290.0</v>
      </c>
    </row>
    <row r="369">
      <c r="A369" s="8" t="s">
        <v>21</v>
      </c>
      <c r="B369" s="9" t="s">
        <v>73</v>
      </c>
      <c r="C369" s="9" t="s">
        <v>74</v>
      </c>
      <c r="D369" s="10"/>
      <c r="E369" s="2" t="n">
        <f>486</f>
        <v>486.0</v>
      </c>
      <c r="F369" s="10"/>
      <c r="G369" s="2" t="n">
        <f>1920310600</f>
        <v>1.9203106E9</v>
      </c>
      <c r="H369" s="10" t="s">
        <v>27</v>
      </c>
      <c r="I369" s="2" t="str">
        <f>"－"</f>
        <v>－</v>
      </c>
      <c r="J369" s="10" t="s">
        <v>27</v>
      </c>
      <c r="K369" s="2" t="n">
        <f>3182</f>
        <v>3182.0</v>
      </c>
    </row>
    <row r="370">
      <c r="A370" s="8" t="s">
        <v>22</v>
      </c>
      <c r="B370" s="9" t="s">
        <v>73</v>
      </c>
      <c r="C370" s="9" t="s">
        <v>74</v>
      </c>
      <c r="D370" s="10"/>
      <c r="E370" s="2" t="n">
        <f>758</f>
        <v>758.0</v>
      </c>
      <c r="F370" s="10"/>
      <c r="G370" s="2" t="n">
        <f>2967267320</f>
        <v>2.96726732E9</v>
      </c>
      <c r="H370" s="10"/>
      <c r="I370" s="2" t="n">
        <f>7</f>
        <v>7.0</v>
      </c>
      <c r="J370" s="10"/>
      <c r="K370" s="2" t="n">
        <f>3226</f>
        <v>3226.0</v>
      </c>
    </row>
    <row r="371">
      <c r="A371" s="8" t="s">
        <v>23</v>
      </c>
      <c r="B371" s="9" t="s">
        <v>73</v>
      </c>
      <c r="C371" s="9" t="s">
        <v>74</v>
      </c>
      <c r="D371" s="10"/>
      <c r="E371" s="2"/>
      <c r="F371" s="10"/>
      <c r="G371" s="2"/>
      <c r="H371" s="10"/>
      <c r="I371" s="2"/>
      <c r="J371" s="10"/>
      <c r="K371" s="2"/>
    </row>
    <row r="372">
      <c r="A372" s="8" t="s">
        <v>24</v>
      </c>
      <c r="B372" s="9" t="s">
        <v>73</v>
      </c>
      <c r="C372" s="9" t="s">
        <v>74</v>
      </c>
      <c r="D372" s="10"/>
      <c r="E372" s="2"/>
      <c r="F372" s="10"/>
      <c r="G372" s="2"/>
      <c r="H372" s="10"/>
      <c r="I372" s="2"/>
      <c r="J372" s="10"/>
      <c r="K372" s="2"/>
    </row>
    <row r="373">
      <c r="A373" s="8" t="s">
        <v>25</v>
      </c>
      <c r="B373" s="9" t="s">
        <v>73</v>
      </c>
      <c r="C373" s="9" t="s">
        <v>74</v>
      </c>
      <c r="D373" s="10"/>
      <c r="E373" s="2" t="n">
        <f>1377</f>
        <v>1377.0</v>
      </c>
      <c r="F373" s="10"/>
      <c r="G373" s="2" t="n">
        <f>5376731440</f>
        <v>5.37673144E9</v>
      </c>
      <c r="H373" s="10"/>
      <c r="I373" s="2" t="n">
        <f>11</f>
        <v>11.0</v>
      </c>
      <c r="J373" s="10"/>
      <c r="K373" s="2" t="n">
        <f>3540</f>
        <v>3540.0</v>
      </c>
    </row>
    <row r="374">
      <c r="A374" s="8" t="s">
        <v>26</v>
      </c>
      <c r="B374" s="9" t="s">
        <v>73</v>
      </c>
      <c r="C374" s="9" t="s">
        <v>74</v>
      </c>
      <c r="D374" s="10"/>
      <c r="E374" s="2" t="n">
        <f>286</f>
        <v>286.0</v>
      </c>
      <c r="F374" s="10"/>
      <c r="G374" s="2" t="n">
        <f>1121795200</f>
        <v>1.1217952E9</v>
      </c>
      <c r="H374" s="10"/>
      <c r="I374" s="2" t="str">
        <f>"－"</f>
        <v>－</v>
      </c>
      <c r="J374" s="10"/>
      <c r="K374" s="2" t="n">
        <f>3585</f>
        <v>3585.0</v>
      </c>
    </row>
    <row r="375">
      <c r="A375" s="8" t="s">
        <v>28</v>
      </c>
      <c r="B375" s="9" t="s">
        <v>73</v>
      </c>
      <c r="C375" s="9" t="s">
        <v>74</v>
      </c>
      <c r="D375" s="10"/>
      <c r="E375" s="2" t="n">
        <f>512</f>
        <v>512.0</v>
      </c>
      <c r="F375" s="10"/>
      <c r="G375" s="2" t="n">
        <f>2001754300</f>
        <v>2.0017543E9</v>
      </c>
      <c r="H375" s="10"/>
      <c r="I375" s="2" t="str">
        <f>"－"</f>
        <v>－</v>
      </c>
      <c r="J375" s="10"/>
      <c r="K375" s="2" t="n">
        <f>3586</f>
        <v>3586.0</v>
      </c>
    </row>
    <row r="376">
      <c r="A376" s="8" t="s">
        <v>29</v>
      </c>
      <c r="B376" s="9" t="s">
        <v>73</v>
      </c>
      <c r="C376" s="9" t="s">
        <v>74</v>
      </c>
      <c r="D376" s="10" t="s">
        <v>38</v>
      </c>
      <c r="E376" s="2" t="n">
        <f>3214</f>
        <v>3214.0</v>
      </c>
      <c r="F376" s="10" t="s">
        <v>38</v>
      </c>
      <c r="G376" s="2" t="n">
        <f>12456247270</f>
        <v>1.245624727E10</v>
      </c>
      <c r="H376" s="10"/>
      <c r="I376" s="2" t="n">
        <f>96</f>
        <v>96.0</v>
      </c>
      <c r="J376" s="10"/>
      <c r="K376" s="2" t="n">
        <f>5594</f>
        <v>5594.0</v>
      </c>
    </row>
    <row r="377">
      <c r="A377" s="8" t="s">
        <v>30</v>
      </c>
      <c r="B377" s="9" t="s">
        <v>73</v>
      </c>
      <c r="C377" s="9" t="s">
        <v>74</v>
      </c>
      <c r="D377" s="10"/>
      <c r="E377" s="2" t="n">
        <f>1800</f>
        <v>1800.0</v>
      </c>
      <c r="F377" s="10"/>
      <c r="G377" s="2" t="n">
        <f>6959996180</f>
        <v>6.95999618E9</v>
      </c>
      <c r="H377" s="10"/>
      <c r="I377" s="2" t="n">
        <f>275</f>
        <v>275.0</v>
      </c>
      <c r="J377" s="10"/>
      <c r="K377" s="2" t="n">
        <f>6307</f>
        <v>6307.0</v>
      </c>
    </row>
    <row r="378">
      <c r="A378" s="8" t="s">
        <v>31</v>
      </c>
      <c r="B378" s="9" t="s">
        <v>73</v>
      </c>
      <c r="C378" s="9" t="s">
        <v>74</v>
      </c>
      <c r="D378" s="10"/>
      <c r="E378" s="2"/>
      <c r="F378" s="10"/>
      <c r="G378" s="2"/>
      <c r="H378" s="10"/>
      <c r="I378" s="2"/>
      <c r="J378" s="10"/>
      <c r="K378" s="2"/>
    </row>
    <row r="379">
      <c r="A379" s="8" t="s">
        <v>32</v>
      </c>
      <c r="B379" s="9" t="s">
        <v>73</v>
      </c>
      <c r="C379" s="9" t="s">
        <v>74</v>
      </c>
      <c r="D379" s="10"/>
      <c r="E379" s="2"/>
      <c r="F379" s="10"/>
      <c r="G379" s="2"/>
      <c r="H379" s="10"/>
      <c r="I379" s="2"/>
      <c r="J379" s="10"/>
      <c r="K379" s="2"/>
    </row>
    <row r="380">
      <c r="A380" s="8" t="s">
        <v>33</v>
      </c>
      <c r="B380" s="9" t="s">
        <v>73</v>
      </c>
      <c r="C380" s="9" t="s">
        <v>74</v>
      </c>
      <c r="D380" s="10"/>
      <c r="E380" s="2" t="n">
        <f>1738</f>
        <v>1738.0</v>
      </c>
      <c r="F380" s="10"/>
      <c r="G380" s="2" t="n">
        <f>6666396800</f>
        <v>6.6663968E9</v>
      </c>
      <c r="H380" s="10"/>
      <c r="I380" s="2" t="n">
        <f>253</f>
        <v>253.0</v>
      </c>
      <c r="J380" s="10"/>
      <c r="K380" s="2" t="n">
        <f>6637</f>
        <v>6637.0</v>
      </c>
    </row>
    <row r="381">
      <c r="A381" s="8" t="s">
        <v>34</v>
      </c>
      <c r="B381" s="9" t="s">
        <v>73</v>
      </c>
      <c r="C381" s="9" t="s">
        <v>74</v>
      </c>
      <c r="D381" s="10"/>
      <c r="E381" s="2" t="n">
        <f>1877</f>
        <v>1877.0</v>
      </c>
      <c r="F381" s="10"/>
      <c r="G381" s="2" t="n">
        <f>7158874120</f>
        <v>7.15887412E9</v>
      </c>
      <c r="H381" s="10"/>
      <c r="I381" s="2" t="n">
        <f>37</f>
        <v>37.0</v>
      </c>
      <c r="J381" s="10"/>
      <c r="K381" s="2" t="n">
        <f>7581</f>
        <v>7581.0</v>
      </c>
    </row>
    <row r="382">
      <c r="A382" s="8" t="s">
        <v>35</v>
      </c>
      <c r="B382" s="9" t="s">
        <v>73</v>
      </c>
      <c r="C382" s="9" t="s">
        <v>74</v>
      </c>
      <c r="D382" s="10"/>
      <c r="E382" s="2" t="n">
        <f>1904</f>
        <v>1904.0</v>
      </c>
      <c r="F382" s="10"/>
      <c r="G382" s="2" t="n">
        <f>7253601300</f>
        <v>7.2536013E9</v>
      </c>
      <c r="H382" s="10"/>
      <c r="I382" s="2" t="n">
        <f>94</f>
        <v>94.0</v>
      </c>
      <c r="J382" s="10"/>
      <c r="K382" s="2" t="n">
        <f>8358</f>
        <v>8358.0</v>
      </c>
    </row>
    <row r="383">
      <c r="A383" s="8" t="s">
        <v>36</v>
      </c>
      <c r="B383" s="9" t="s">
        <v>73</v>
      </c>
      <c r="C383" s="9" t="s">
        <v>74</v>
      </c>
      <c r="D383" s="10"/>
      <c r="E383" s="2" t="n">
        <f>753</f>
        <v>753.0</v>
      </c>
      <c r="F383" s="10"/>
      <c r="G383" s="2" t="n">
        <f>2865290800</f>
        <v>2.8652908E9</v>
      </c>
      <c r="H383" s="10"/>
      <c r="I383" s="2" t="n">
        <f>74</f>
        <v>74.0</v>
      </c>
      <c r="J383" s="10"/>
      <c r="K383" s="2" t="n">
        <f>8379</f>
        <v>8379.0</v>
      </c>
    </row>
    <row r="384">
      <c r="A384" s="8" t="s">
        <v>37</v>
      </c>
      <c r="B384" s="9" t="s">
        <v>73</v>
      </c>
      <c r="C384" s="9" t="s">
        <v>74</v>
      </c>
      <c r="D384" s="10"/>
      <c r="E384" s="2" t="n">
        <f>1454</f>
        <v>1454.0</v>
      </c>
      <c r="F384" s="10"/>
      <c r="G384" s="2" t="n">
        <f>5502556500</f>
        <v>5.5025565E9</v>
      </c>
      <c r="H384" s="10"/>
      <c r="I384" s="2" t="n">
        <f>4</f>
        <v>4.0</v>
      </c>
      <c r="J384" s="10"/>
      <c r="K384" s="2" t="n">
        <f>8522</f>
        <v>8522.0</v>
      </c>
    </row>
    <row r="385">
      <c r="A385" s="8" t="s">
        <v>39</v>
      </c>
      <c r="B385" s="9" t="s">
        <v>73</v>
      </c>
      <c r="C385" s="9" t="s">
        <v>74</v>
      </c>
      <c r="D385" s="10"/>
      <c r="E385" s="2"/>
      <c r="F385" s="10"/>
      <c r="G385" s="2"/>
      <c r="H385" s="10"/>
      <c r="I385" s="2"/>
      <c r="J385" s="10"/>
      <c r="K385" s="2"/>
    </row>
    <row r="386">
      <c r="A386" s="8" t="s">
        <v>40</v>
      </c>
      <c r="B386" s="9" t="s">
        <v>73</v>
      </c>
      <c r="C386" s="9" t="s">
        <v>74</v>
      </c>
      <c r="D386" s="10"/>
      <c r="E386" s="2"/>
      <c r="F386" s="10"/>
      <c r="G386" s="2"/>
      <c r="H386" s="10"/>
      <c r="I386" s="2"/>
      <c r="J386" s="10"/>
      <c r="K386" s="2"/>
    </row>
    <row r="387">
      <c r="A387" s="8" t="s">
        <v>41</v>
      </c>
      <c r="B387" s="9" t="s">
        <v>73</v>
      </c>
      <c r="C387" s="9" t="s">
        <v>74</v>
      </c>
      <c r="D387" s="10"/>
      <c r="E387" s="2" t="n">
        <f>1894</f>
        <v>1894.0</v>
      </c>
      <c r="F387" s="10"/>
      <c r="G387" s="2" t="n">
        <f>7204681110</f>
        <v>7.20468111E9</v>
      </c>
      <c r="H387" s="10" t="s">
        <v>38</v>
      </c>
      <c r="I387" s="2" t="n">
        <f>373</f>
        <v>373.0</v>
      </c>
      <c r="J387" s="10"/>
      <c r="K387" s="2" t="n">
        <f>8541</f>
        <v>8541.0</v>
      </c>
    </row>
    <row r="388">
      <c r="A388" s="8" t="s">
        <v>42</v>
      </c>
      <c r="B388" s="9" t="s">
        <v>73</v>
      </c>
      <c r="C388" s="9" t="s">
        <v>74</v>
      </c>
      <c r="D388" s="10"/>
      <c r="E388" s="2" t="n">
        <f>654</f>
        <v>654.0</v>
      </c>
      <c r="F388" s="10"/>
      <c r="G388" s="2" t="n">
        <f>2512493440</f>
        <v>2.51249344E9</v>
      </c>
      <c r="H388" s="10"/>
      <c r="I388" s="2" t="n">
        <f>4</f>
        <v>4.0</v>
      </c>
      <c r="J388" s="10"/>
      <c r="K388" s="2" t="n">
        <f>8540</f>
        <v>8540.0</v>
      </c>
    </row>
    <row r="389">
      <c r="A389" s="8" t="s">
        <v>43</v>
      </c>
      <c r="B389" s="9" t="s">
        <v>73</v>
      </c>
      <c r="C389" s="9" t="s">
        <v>74</v>
      </c>
      <c r="D389" s="10"/>
      <c r="E389" s="2" t="n">
        <f>763</f>
        <v>763.0</v>
      </c>
      <c r="F389" s="10"/>
      <c r="G389" s="2" t="n">
        <f>2948298400</f>
        <v>2.9482984E9</v>
      </c>
      <c r="H389" s="10"/>
      <c r="I389" s="2" t="str">
        <f>"－"</f>
        <v>－</v>
      </c>
      <c r="J389" s="10"/>
      <c r="K389" s="2" t="n">
        <f>8563</f>
        <v>8563.0</v>
      </c>
    </row>
    <row r="390">
      <c r="A390" s="8" t="s">
        <v>44</v>
      </c>
      <c r="B390" s="9" t="s">
        <v>73</v>
      </c>
      <c r="C390" s="9" t="s">
        <v>74</v>
      </c>
      <c r="D390" s="10"/>
      <c r="E390" s="2" t="n">
        <f>404</f>
        <v>404.0</v>
      </c>
      <c r="F390" s="10"/>
      <c r="G390" s="2" t="n">
        <f>1560267220</f>
        <v>1.56026722E9</v>
      </c>
      <c r="H390" s="10"/>
      <c r="I390" s="2" t="n">
        <f>2</f>
        <v>2.0</v>
      </c>
      <c r="J390" s="10"/>
      <c r="K390" s="2" t="n">
        <f>8546</f>
        <v>8546.0</v>
      </c>
    </row>
    <row r="391">
      <c r="A391" s="8" t="s">
        <v>45</v>
      </c>
      <c r="B391" s="9" t="s">
        <v>73</v>
      </c>
      <c r="C391" s="9" t="s">
        <v>74</v>
      </c>
      <c r="D391" s="10"/>
      <c r="E391" s="2" t="n">
        <f>1443</f>
        <v>1443.0</v>
      </c>
      <c r="F391" s="10"/>
      <c r="G391" s="2" t="n">
        <f>5513062760</f>
        <v>5.51306276E9</v>
      </c>
      <c r="H391" s="10"/>
      <c r="I391" s="2" t="n">
        <f>8</f>
        <v>8.0</v>
      </c>
      <c r="J391" s="10"/>
      <c r="K391" s="2" t="n">
        <f>8806</f>
        <v>8806.0</v>
      </c>
    </row>
    <row r="392">
      <c r="A392" s="8" t="s">
        <v>46</v>
      </c>
      <c r="B392" s="9" t="s">
        <v>73</v>
      </c>
      <c r="C392" s="9" t="s">
        <v>74</v>
      </c>
      <c r="D392" s="10"/>
      <c r="E392" s="2"/>
      <c r="F392" s="10"/>
      <c r="G392" s="2"/>
      <c r="H392" s="10"/>
      <c r="I392" s="2"/>
      <c r="J392" s="10"/>
      <c r="K392" s="2"/>
    </row>
    <row r="393">
      <c r="A393" s="8" t="s">
        <v>47</v>
      </c>
      <c r="B393" s="9" t="s">
        <v>73</v>
      </c>
      <c r="C393" s="9" t="s">
        <v>74</v>
      </c>
      <c r="D393" s="10"/>
      <c r="E393" s="2"/>
      <c r="F393" s="10"/>
      <c r="G393" s="2"/>
      <c r="H393" s="10"/>
      <c r="I393" s="2"/>
      <c r="J393" s="10"/>
      <c r="K393" s="2"/>
    </row>
    <row r="394">
      <c r="A394" s="8" t="s">
        <v>48</v>
      </c>
      <c r="B394" s="9" t="s">
        <v>73</v>
      </c>
      <c r="C394" s="9" t="s">
        <v>74</v>
      </c>
      <c r="D394" s="10"/>
      <c r="E394" s="2"/>
      <c r="F394" s="10"/>
      <c r="G394" s="2"/>
      <c r="H394" s="10"/>
      <c r="I394" s="2"/>
      <c r="J394" s="10"/>
      <c r="K394" s="2"/>
    </row>
    <row r="395">
      <c r="A395" s="8" t="s">
        <v>49</v>
      </c>
      <c r="B395" s="9" t="s">
        <v>73</v>
      </c>
      <c r="C395" s="9" t="s">
        <v>74</v>
      </c>
      <c r="D395" s="10"/>
      <c r="E395" s="2" t="n">
        <f>1174</f>
        <v>1174.0</v>
      </c>
      <c r="F395" s="10"/>
      <c r="G395" s="2" t="n">
        <f>4512843530</f>
        <v>4.51284353E9</v>
      </c>
      <c r="H395" s="10"/>
      <c r="I395" s="2" t="n">
        <f>14</f>
        <v>14.0</v>
      </c>
      <c r="J395" s="10" t="s">
        <v>38</v>
      </c>
      <c r="K395" s="2" t="n">
        <f>8875</f>
        <v>8875.0</v>
      </c>
    </row>
    <row r="396">
      <c r="A396" s="8" t="s">
        <v>16</v>
      </c>
      <c r="B396" s="9" t="s">
        <v>75</v>
      </c>
      <c r="C396" s="9" t="s">
        <v>76</v>
      </c>
      <c r="D396" s="10" t="s">
        <v>54</v>
      </c>
      <c r="E396" s="2" t="str">
        <f>"－"</f>
        <v>－</v>
      </c>
      <c r="F396" s="10" t="s">
        <v>54</v>
      </c>
      <c r="G396" s="2" t="str">
        <f>"－"</f>
        <v>－</v>
      </c>
      <c r="H396" s="10" t="s">
        <v>54</v>
      </c>
      <c r="I396" s="2" t="str">
        <f>"－"</f>
        <v>－</v>
      </c>
      <c r="J396" s="10" t="s">
        <v>54</v>
      </c>
      <c r="K396" s="2" t="str">
        <f>"－"</f>
        <v>－</v>
      </c>
    </row>
    <row r="397">
      <c r="A397" s="8" t="s">
        <v>19</v>
      </c>
      <c r="B397" s="9" t="s">
        <v>75</v>
      </c>
      <c r="C397" s="9" t="s">
        <v>76</v>
      </c>
      <c r="D397" s="10"/>
      <c r="E397" s="2" t="str">
        <f>"－"</f>
        <v>－</v>
      </c>
      <c r="F397" s="10"/>
      <c r="G397" s="2" t="str">
        <f>"－"</f>
        <v>－</v>
      </c>
      <c r="H397" s="10"/>
      <c r="I397" s="2" t="str">
        <f>"－"</f>
        <v>－</v>
      </c>
      <c r="J397" s="10"/>
      <c r="K397" s="2" t="str">
        <f>"－"</f>
        <v>－</v>
      </c>
    </row>
    <row r="398">
      <c r="A398" s="8" t="s">
        <v>20</v>
      </c>
      <c r="B398" s="9" t="s">
        <v>75</v>
      </c>
      <c r="C398" s="9" t="s">
        <v>76</v>
      </c>
      <c r="D398" s="10"/>
      <c r="E398" s="2" t="str">
        <f>"－"</f>
        <v>－</v>
      </c>
      <c r="F398" s="10"/>
      <c r="G398" s="2" t="str">
        <f>"－"</f>
        <v>－</v>
      </c>
      <c r="H398" s="10"/>
      <c r="I398" s="2" t="str">
        <f>"－"</f>
        <v>－</v>
      </c>
      <c r="J398" s="10"/>
      <c r="K398" s="2" t="str">
        <f>"－"</f>
        <v>－</v>
      </c>
    </row>
    <row r="399">
      <c r="A399" s="8" t="s">
        <v>21</v>
      </c>
      <c r="B399" s="9" t="s">
        <v>75</v>
      </c>
      <c r="C399" s="9" t="s">
        <v>76</v>
      </c>
      <c r="D399" s="10"/>
      <c r="E399" s="2" t="str">
        <f>"－"</f>
        <v>－</v>
      </c>
      <c r="F399" s="10"/>
      <c r="G399" s="2" t="str">
        <f>"－"</f>
        <v>－</v>
      </c>
      <c r="H399" s="10"/>
      <c r="I399" s="2" t="str">
        <f>"－"</f>
        <v>－</v>
      </c>
      <c r="J399" s="10"/>
      <c r="K399" s="2" t="str">
        <f>"－"</f>
        <v>－</v>
      </c>
    </row>
    <row r="400">
      <c r="A400" s="8" t="s">
        <v>22</v>
      </c>
      <c r="B400" s="9" t="s">
        <v>75</v>
      </c>
      <c r="C400" s="9" t="s">
        <v>76</v>
      </c>
      <c r="D400" s="10"/>
      <c r="E400" s="2" t="str">
        <f>"－"</f>
        <v>－</v>
      </c>
      <c r="F400" s="10"/>
      <c r="G400" s="2" t="str">
        <f>"－"</f>
        <v>－</v>
      </c>
      <c r="H400" s="10"/>
      <c r="I400" s="2" t="str">
        <f>"－"</f>
        <v>－</v>
      </c>
      <c r="J400" s="10"/>
      <c r="K400" s="2" t="str">
        <f>"－"</f>
        <v>－</v>
      </c>
    </row>
    <row r="401">
      <c r="A401" s="8" t="s">
        <v>23</v>
      </c>
      <c r="B401" s="9" t="s">
        <v>75</v>
      </c>
      <c r="C401" s="9" t="s">
        <v>76</v>
      </c>
      <c r="D401" s="10"/>
      <c r="E401" s="2"/>
      <c r="F401" s="10"/>
      <c r="G401" s="2"/>
      <c r="H401" s="10"/>
      <c r="I401" s="2"/>
      <c r="J401" s="10"/>
      <c r="K401" s="2"/>
    </row>
    <row r="402">
      <c r="A402" s="8" t="s">
        <v>24</v>
      </c>
      <c r="B402" s="9" t="s">
        <v>75</v>
      </c>
      <c r="C402" s="9" t="s">
        <v>76</v>
      </c>
      <c r="D402" s="10"/>
      <c r="E402" s="2"/>
      <c r="F402" s="10"/>
      <c r="G402" s="2"/>
      <c r="H402" s="10"/>
      <c r="I402" s="2"/>
      <c r="J402" s="10"/>
      <c r="K402" s="2"/>
    </row>
    <row r="403">
      <c r="A403" s="8" t="s">
        <v>25</v>
      </c>
      <c r="B403" s="9" t="s">
        <v>75</v>
      </c>
      <c r="C403" s="9" t="s">
        <v>76</v>
      </c>
      <c r="D403" s="10"/>
      <c r="E403" s="2" t="str">
        <f>"－"</f>
        <v>－</v>
      </c>
      <c r="F403" s="10"/>
      <c r="G403" s="2" t="str">
        <f>"－"</f>
        <v>－</v>
      </c>
      <c r="H403" s="10"/>
      <c r="I403" s="2" t="str">
        <f>"－"</f>
        <v>－</v>
      </c>
      <c r="J403" s="10"/>
      <c r="K403" s="2" t="str">
        <f>"－"</f>
        <v>－</v>
      </c>
    </row>
    <row r="404">
      <c r="A404" s="8" t="s">
        <v>26</v>
      </c>
      <c r="B404" s="9" t="s">
        <v>75</v>
      </c>
      <c r="C404" s="9" t="s">
        <v>76</v>
      </c>
      <c r="D404" s="10"/>
      <c r="E404" s="2" t="str">
        <f>"－"</f>
        <v>－</v>
      </c>
      <c r="F404" s="10"/>
      <c r="G404" s="2" t="str">
        <f>"－"</f>
        <v>－</v>
      </c>
      <c r="H404" s="10"/>
      <c r="I404" s="2" t="str">
        <f>"－"</f>
        <v>－</v>
      </c>
      <c r="J404" s="10"/>
      <c r="K404" s="2" t="str">
        <f>"－"</f>
        <v>－</v>
      </c>
    </row>
    <row r="405">
      <c r="A405" s="8" t="s">
        <v>28</v>
      </c>
      <c r="B405" s="9" t="s">
        <v>75</v>
      </c>
      <c r="C405" s="9" t="s">
        <v>76</v>
      </c>
      <c r="D405" s="10"/>
      <c r="E405" s="2" t="str">
        <f>"－"</f>
        <v>－</v>
      </c>
      <c r="F405" s="10"/>
      <c r="G405" s="2" t="str">
        <f>"－"</f>
        <v>－</v>
      </c>
      <c r="H405" s="10"/>
      <c r="I405" s="2" t="str">
        <f>"－"</f>
        <v>－</v>
      </c>
      <c r="J405" s="10"/>
      <c r="K405" s="2" t="str">
        <f>"－"</f>
        <v>－</v>
      </c>
    </row>
    <row r="406">
      <c r="A406" s="8" t="s">
        <v>29</v>
      </c>
      <c r="B406" s="9" t="s">
        <v>75</v>
      </c>
      <c r="C406" s="9" t="s">
        <v>76</v>
      </c>
      <c r="D406" s="10"/>
      <c r="E406" s="2" t="str">
        <f>"－"</f>
        <v>－</v>
      </c>
      <c r="F406" s="10"/>
      <c r="G406" s="2" t="str">
        <f>"－"</f>
        <v>－</v>
      </c>
      <c r="H406" s="10"/>
      <c r="I406" s="2" t="str">
        <f>"－"</f>
        <v>－</v>
      </c>
      <c r="J406" s="10"/>
      <c r="K406" s="2" t="str">
        <f>"－"</f>
        <v>－</v>
      </c>
    </row>
    <row r="407">
      <c r="A407" s="8" t="s">
        <v>30</v>
      </c>
      <c r="B407" s="9" t="s">
        <v>75</v>
      </c>
      <c r="C407" s="9" t="s">
        <v>76</v>
      </c>
      <c r="D407" s="10"/>
      <c r="E407" s="2" t="str">
        <f>"－"</f>
        <v>－</v>
      </c>
      <c r="F407" s="10"/>
      <c r="G407" s="2" t="str">
        <f>"－"</f>
        <v>－</v>
      </c>
      <c r="H407" s="10"/>
      <c r="I407" s="2" t="str">
        <f>"－"</f>
        <v>－</v>
      </c>
      <c r="J407" s="10"/>
      <c r="K407" s="2" t="str">
        <f>"－"</f>
        <v>－</v>
      </c>
    </row>
    <row r="408">
      <c r="A408" s="8" t="s">
        <v>31</v>
      </c>
      <c r="B408" s="9" t="s">
        <v>75</v>
      </c>
      <c r="C408" s="9" t="s">
        <v>76</v>
      </c>
      <c r="D408" s="10"/>
      <c r="E408" s="2"/>
      <c r="F408" s="10"/>
      <c r="G408" s="2"/>
      <c r="H408" s="10"/>
      <c r="I408" s="2"/>
      <c r="J408" s="10"/>
      <c r="K408" s="2"/>
    </row>
    <row r="409">
      <c r="A409" s="8" t="s">
        <v>32</v>
      </c>
      <c r="B409" s="9" t="s">
        <v>75</v>
      </c>
      <c r="C409" s="9" t="s">
        <v>76</v>
      </c>
      <c r="D409" s="10"/>
      <c r="E409" s="2"/>
      <c r="F409" s="10"/>
      <c r="G409" s="2"/>
      <c r="H409" s="10"/>
      <c r="I409" s="2"/>
      <c r="J409" s="10"/>
      <c r="K409" s="2"/>
    </row>
    <row r="410">
      <c r="A410" s="8" t="s">
        <v>33</v>
      </c>
      <c r="B410" s="9" t="s">
        <v>75</v>
      </c>
      <c r="C410" s="9" t="s">
        <v>76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34</v>
      </c>
      <c r="B411" s="9" t="s">
        <v>75</v>
      </c>
      <c r="C411" s="9" t="s">
        <v>76</v>
      </c>
      <c r="D411" s="10"/>
      <c r="E411" s="2" t="str">
        <f>"－"</f>
        <v>－</v>
      </c>
      <c r="F411" s="10"/>
      <c r="G411" s="2" t="str">
        <f>"－"</f>
        <v>－</v>
      </c>
      <c r="H411" s="10"/>
      <c r="I411" s="2" t="str">
        <f>"－"</f>
        <v>－</v>
      </c>
      <c r="J411" s="10"/>
      <c r="K411" s="2" t="str">
        <f>"－"</f>
        <v>－</v>
      </c>
    </row>
    <row r="412">
      <c r="A412" s="8" t="s">
        <v>35</v>
      </c>
      <c r="B412" s="9" t="s">
        <v>75</v>
      </c>
      <c r="C412" s="9" t="s">
        <v>76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36</v>
      </c>
      <c r="B413" s="9" t="s">
        <v>75</v>
      </c>
      <c r="C413" s="9" t="s">
        <v>76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37</v>
      </c>
      <c r="B414" s="9" t="s">
        <v>75</v>
      </c>
      <c r="C414" s="9" t="s">
        <v>76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2"/>
      <c r="F415" s="10"/>
      <c r="G415" s="2"/>
      <c r="H415" s="10"/>
      <c r="I415" s="2"/>
      <c r="J415" s="10"/>
      <c r="K415" s="2"/>
    </row>
    <row r="416">
      <c r="A416" s="8" t="s">
        <v>40</v>
      </c>
      <c r="B416" s="9" t="s">
        <v>75</v>
      </c>
      <c r="C416" s="9" t="s">
        <v>76</v>
      </c>
      <c r="D416" s="10"/>
      <c r="E416" s="2"/>
      <c r="F416" s="10"/>
      <c r="G416" s="2"/>
      <c r="H416" s="10"/>
      <c r="I416" s="2"/>
      <c r="J416" s="10"/>
      <c r="K416" s="2"/>
    </row>
    <row r="417">
      <c r="A417" s="8" t="s">
        <v>41</v>
      </c>
      <c r="B417" s="9" t="s">
        <v>75</v>
      </c>
      <c r="C417" s="9" t="s">
        <v>76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42</v>
      </c>
      <c r="B418" s="9" t="s">
        <v>75</v>
      </c>
      <c r="C418" s="9" t="s">
        <v>76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43</v>
      </c>
      <c r="B419" s="9" t="s">
        <v>75</v>
      </c>
      <c r="C419" s="9" t="s">
        <v>76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44</v>
      </c>
      <c r="B420" s="9" t="s">
        <v>75</v>
      </c>
      <c r="C420" s="9" t="s">
        <v>76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2"/>
      <c r="F422" s="10"/>
      <c r="G422" s="2"/>
      <c r="H422" s="10"/>
      <c r="I422" s="2"/>
      <c r="J422" s="10"/>
      <c r="K422" s="2"/>
    </row>
    <row r="423">
      <c r="A423" s="8" t="s">
        <v>47</v>
      </c>
      <c r="B423" s="9" t="s">
        <v>75</v>
      </c>
      <c r="C423" s="9" t="s">
        <v>76</v>
      </c>
      <c r="D423" s="10"/>
      <c r="E423" s="2"/>
      <c r="F423" s="10"/>
      <c r="G423" s="2"/>
      <c r="H423" s="10"/>
      <c r="I423" s="2"/>
      <c r="J423" s="10"/>
      <c r="K423" s="2"/>
    </row>
    <row r="424">
      <c r="A424" s="8" t="s">
        <v>48</v>
      </c>
      <c r="B424" s="9" t="s">
        <v>75</v>
      </c>
      <c r="C424" s="9" t="s">
        <v>76</v>
      </c>
      <c r="D424" s="10"/>
      <c r="E424" s="2"/>
      <c r="F424" s="10"/>
      <c r="G424" s="2"/>
      <c r="H424" s="10"/>
      <c r="I424" s="2"/>
      <c r="J424" s="10"/>
      <c r="K424" s="2"/>
    </row>
    <row r="425">
      <c r="A425" s="8" t="s">
        <v>49</v>
      </c>
      <c r="B425" s="9" t="s">
        <v>75</v>
      </c>
      <c r="C425" s="9" t="s">
        <v>76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16</v>
      </c>
      <c r="B426" s="9" t="s">
        <v>77</v>
      </c>
      <c r="C426" s="9" t="s">
        <v>78</v>
      </c>
      <c r="D426" s="10" t="s">
        <v>54</v>
      </c>
      <c r="E426" s="2" t="str">
        <f>"－"</f>
        <v>－</v>
      </c>
      <c r="F426" s="10" t="s">
        <v>54</v>
      </c>
      <c r="G426" s="2" t="str">
        <f>"－"</f>
        <v>－</v>
      </c>
      <c r="H426" s="10" t="s">
        <v>54</v>
      </c>
      <c r="I426" s="2" t="str">
        <f>"－"</f>
        <v>－</v>
      </c>
      <c r="J426" s="10" t="s">
        <v>54</v>
      </c>
      <c r="K426" s="2" t="str">
        <f>"－"</f>
        <v>－</v>
      </c>
    </row>
    <row r="427">
      <c r="A427" s="8" t="s">
        <v>19</v>
      </c>
      <c r="B427" s="9" t="s">
        <v>77</v>
      </c>
      <c r="C427" s="9" t="s">
        <v>78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str">
        <f>"－"</f>
        <v>－</v>
      </c>
    </row>
    <row r="428">
      <c r="A428" s="8" t="s">
        <v>20</v>
      </c>
      <c r="B428" s="9" t="s">
        <v>77</v>
      </c>
      <c r="C428" s="9" t="s">
        <v>78</v>
      </c>
      <c r="D428" s="10"/>
      <c r="E428" s="2" t="str">
        <f>"－"</f>
        <v>－</v>
      </c>
      <c r="F428" s="10"/>
      <c r="G428" s="2" t="str">
        <f>"－"</f>
        <v>－</v>
      </c>
      <c r="H428" s="10"/>
      <c r="I428" s="2" t="str">
        <f>"－"</f>
        <v>－</v>
      </c>
      <c r="J428" s="10"/>
      <c r="K428" s="2" t="str">
        <f>"－"</f>
        <v>－</v>
      </c>
    </row>
    <row r="429">
      <c r="A429" s="8" t="s">
        <v>21</v>
      </c>
      <c r="B429" s="9" t="s">
        <v>77</v>
      </c>
      <c r="C429" s="9" t="s">
        <v>78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22</v>
      </c>
      <c r="B430" s="9" t="s">
        <v>77</v>
      </c>
      <c r="C430" s="9" t="s">
        <v>78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23</v>
      </c>
      <c r="B431" s="9" t="s">
        <v>77</v>
      </c>
      <c r="C431" s="9" t="s">
        <v>78</v>
      </c>
      <c r="D431" s="10"/>
      <c r="E431" s="2"/>
      <c r="F431" s="10"/>
      <c r="G431" s="2"/>
      <c r="H431" s="10"/>
      <c r="I431" s="2"/>
      <c r="J431" s="10"/>
      <c r="K431" s="2"/>
    </row>
    <row r="432">
      <c r="A432" s="8" t="s">
        <v>24</v>
      </c>
      <c r="B432" s="9" t="s">
        <v>77</v>
      </c>
      <c r="C432" s="9" t="s">
        <v>78</v>
      </c>
      <c r="D432" s="10"/>
      <c r="E432" s="2"/>
      <c r="F432" s="10"/>
      <c r="G432" s="2"/>
      <c r="H432" s="10"/>
      <c r="I432" s="2"/>
      <c r="J432" s="10"/>
      <c r="K432" s="2"/>
    </row>
    <row r="433">
      <c r="A433" s="8" t="s">
        <v>25</v>
      </c>
      <c r="B433" s="9" t="s">
        <v>77</v>
      </c>
      <c r="C433" s="9" t="s">
        <v>78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26</v>
      </c>
      <c r="B434" s="9" t="s">
        <v>77</v>
      </c>
      <c r="C434" s="9" t="s">
        <v>78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28</v>
      </c>
      <c r="B435" s="9" t="s">
        <v>77</v>
      </c>
      <c r="C435" s="9" t="s">
        <v>78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29</v>
      </c>
      <c r="B436" s="9" t="s">
        <v>77</v>
      </c>
      <c r="C436" s="9" t="s">
        <v>78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30</v>
      </c>
      <c r="B437" s="9" t="s">
        <v>77</v>
      </c>
      <c r="C437" s="9" t="s">
        <v>78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31</v>
      </c>
      <c r="B438" s="9" t="s">
        <v>77</v>
      </c>
      <c r="C438" s="9" t="s">
        <v>78</v>
      </c>
      <c r="D438" s="10"/>
      <c r="E438" s="2"/>
      <c r="F438" s="10"/>
      <c r="G438" s="2"/>
      <c r="H438" s="10"/>
      <c r="I438" s="2"/>
      <c r="J438" s="10"/>
      <c r="K438" s="2"/>
    </row>
    <row r="439">
      <c r="A439" s="8" t="s">
        <v>32</v>
      </c>
      <c r="B439" s="9" t="s">
        <v>77</v>
      </c>
      <c r="C439" s="9" t="s">
        <v>78</v>
      </c>
      <c r="D439" s="10"/>
      <c r="E439" s="2"/>
      <c r="F439" s="10"/>
      <c r="G439" s="2"/>
      <c r="H439" s="10"/>
      <c r="I439" s="2"/>
      <c r="J439" s="10"/>
      <c r="K439" s="2"/>
    </row>
    <row r="440">
      <c r="A440" s="8" t="s">
        <v>33</v>
      </c>
      <c r="B440" s="9" t="s">
        <v>77</v>
      </c>
      <c r="C440" s="9" t="s">
        <v>78</v>
      </c>
      <c r="D440" s="10"/>
      <c r="E440" s="2" t="str">
        <f>"－"</f>
        <v>－</v>
      </c>
      <c r="F440" s="10"/>
      <c r="G440" s="2" t="str">
        <f>"－"</f>
        <v>－</v>
      </c>
      <c r="H440" s="10"/>
      <c r="I440" s="2" t="str">
        <f>"－"</f>
        <v>－</v>
      </c>
      <c r="J440" s="10"/>
      <c r="K440" s="2" t="str">
        <f>"－"</f>
        <v>－</v>
      </c>
    </row>
    <row r="441">
      <c r="A441" s="8" t="s">
        <v>34</v>
      </c>
      <c r="B441" s="9" t="s">
        <v>77</v>
      </c>
      <c r="C441" s="9" t="s">
        <v>78</v>
      </c>
      <c r="D441" s="10"/>
      <c r="E441" s="2" t="str">
        <f>"－"</f>
        <v>－</v>
      </c>
      <c r="F441" s="10"/>
      <c r="G441" s="2" t="str">
        <f>"－"</f>
        <v>－</v>
      </c>
      <c r="H441" s="10"/>
      <c r="I441" s="2" t="str">
        <f>"－"</f>
        <v>－</v>
      </c>
      <c r="J441" s="10"/>
      <c r="K441" s="2" t="str">
        <f>"－"</f>
        <v>－</v>
      </c>
    </row>
    <row r="442">
      <c r="A442" s="8" t="s">
        <v>35</v>
      </c>
      <c r="B442" s="9" t="s">
        <v>77</v>
      </c>
      <c r="C442" s="9" t="s">
        <v>78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36</v>
      </c>
      <c r="B443" s="9" t="s">
        <v>77</v>
      </c>
      <c r="C443" s="9" t="s">
        <v>78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37</v>
      </c>
      <c r="B444" s="9" t="s">
        <v>77</v>
      </c>
      <c r="C444" s="9" t="s">
        <v>78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2"/>
      <c r="F445" s="10"/>
      <c r="G445" s="2"/>
      <c r="H445" s="10"/>
      <c r="I445" s="2"/>
      <c r="J445" s="10"/>
      <c r="K445" s="2"/>
    </row>
    <row r="446">
      <c r="A446" s="8" t="s">
        <v>40</v>
      </c>
      <c r="B446" s="9" t="s">
        <v>77</v>
      </c>
      <c r="C446" s="9" t="s">
        <v>78</v>
      </c>
      <c r="D446" s="10"/>
      <c r="E446" s="2"/>
      <c r="F446" s="10"/>
      <c r="G446" s="2"/>
      <c r="H446" s="10"/>
      <c r="I446" s="2"/>
      <c r="J446" s="10"/>
      <c r="K446" s="2"/>
    </row>
    <row r="447">
      <c r="A447" s="8" t="s">
        <v>41</v>
      </c>
      <c r="B447" s="9" t="s">
        <v>77</v>
      </c>
      <c r="C447" s="9" t="s">
        <v>78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42</v>
      </c>
      <c r="B448" s="9" t="s">
        <v>77</v>
      </c>
      <c r="C448" s="9" t="s">
        <v>78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43</v>
      </c>
      <c r="B449" s="9" t="s">
        <v>77</v>
      </c>
      <c r="C449" s="9" t="s">
        <v>78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44</v>
      </c>
      <c r="B450" s="9" t="s">
        <v>77</v>
      </c>
      <c r="C450" s="9" t="s">
        <v>78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2"/>
      <c r="F452" s="10"/>
      <c r="G452" s="2"/>
      <c r="H452" s="10"/>
      <c r="I452" s="2"/>
      <c r="J452" s="10"/>
      <c r="K452" s="2"/>
    </row>
    <row r="453">
      <c r="A453" s="8" t="s">
        <v>47</v>
      </c>
      <c r="B453" s="9" t="s">
        <v>77</v>
      </c>
      <c r="C453" s="9" t="s">
        <v>78</v>
      </c>
      <c r="D453" s="10"/>
      <c r="E453" s="2"/>
      <c r="F453" s="10"/>
      <c r="G453" s="2"/>
      <c r="H453" s="10"/>
      <c r="I453" s="2"/>
      <c r="J453" s="10"/>
      <c r="K453" s="2"/>
    </row>
    <row r="454">
      <c r="A454" s="8" t="s">
        <v>48</v>
      </c>
      <c r="B454" s="9" t="s">
        <v>77</v>
      </c>
      <c r="C454" s="9" t="s">
        <v>78</v>
      </c>
      <c r="D454" s="10"/>
      <c r="E454" s="2"/>
      <c r="F454" s="10"/>
      <c r="G454" s="2"/>
      <c r="H454" s="10"/>
      <c r="I454" s="2"/>
      <c r="J454" s="10"/>
      <c r="K454" s="2"/>
    </row>
    <row r="455">
      <c r="A455" s="8" t="s">
        <v>49</v>
      </c>
      <c r="B455" s="9" t="s">
        <v>77</v>
      </c>
      <c r="C455" s="9" t="s">
        <v>78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16</v>
      </c>
      <c r="B456" s="9" t="s">
        <v>79</v>
      </c>
      <c r="C456" s="9" t="s">
        <v>80</v>
      </c>
      <c r="D456" s="10" t="s">
        <v>38</v>
      </c>
      <c r="E456" s="2" t="n">
        <f>540</f>
        <v>540.0</v>
      </c>
      <c r="F456" s="10" t="s">
        <v>38</v>
      </c>
      <c r="G456" s="2" t="n">
        <f>388756000</f>
        <v>3.88756E8</v>
      </c>
      <c r="H456" s="10" t="s">
        <v>54</v>
      </c>
      <c r="I456" s="2" t="str">
        <f>"－"</f>
        <v>－</v>
      </c>
      <c r="J456" s="10" t="s">
        <v>54</v>
      </c>
      <c r="K456" s="2" t="n">
        <f>7953</f>
        <v>7953.0</v>
      </c>
    </row>
    <row r="457">
      <c r="A457" s="8" t="s">
        <v>19</v>
      </c>
      <c r="B457" s="9" t="s">
        <v>79</v>
      </c>
      <c r="C457" s="9" t="s">
        <v>80</v>
      </c>
      <c r="D457" s="10" t="s">
        <v>27</v>
      </c>
      <c r="E457" s="2" t="str">
        <f>"－"</f>
        <v>－</v>
      </c>
      <c r="F457" s="10" t="s">
        <v>27</v>
      </c>
      <c r="G457" s="2" t="str">
        <f>"－"</f>
        <v>－</v>
      </c>
      <c r="H457" s="10"/>
      <c r="I457" s="2" t="str">
        <f>"－"</f>
        <v>－</v>
      </c>
      <c r="J457" s="10"/>
      <c r="K457" s="2" t="n">
        <f>7953</f>
        <v>7953.0</v>
      </c>
    </row>
    <row r="458">
      <c r="A458" s="8" t="s">
        <v>20</v>
      </c>
      <c r="B458" s="9" t="s">
        <v>79</v>
      </c>
      <c r="C458" s="9" t="s">
        <v>80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n">
        <f>7953</f>
        <v>7953.0</v>
      </c>
    </row>
    <row r="459">
      <c r="A459" s="8" t="s">
        <v>21</v>
      </c>
      <c r="B459" s="9" t="s">
        <v>79</v>
      </c>
      <c r="C459" s="9" t="s">
        <v>80</v>
      </c>
      <c r="D459" s="10"/>
      <c r="E459" s="2" t="str">
        <f>"－"</f>
        <v>－</v>
      </c>
      <c r="F459" s="10"/>
      <c r="G459" s="2" t="str">
        <f>"－"</f>
        <v>－</v>
      </c>
      <c r="H459" s="10"/>
      <c r="I459" s="2" t="str">
        <f>"－"</f>
        <v>－</v>
      </c>
      <c r="J459" s="10"/>
      <c r="K459" s="2" t="n">
        <f>7953</f>
        <v>7953.0</v>
      </c>
    </row>
    <row r="460">
      <c r="A460" s="8" t="s">
        <v>22</v>
      </c>
      <c r="B460" s="9" t="s">
        <v>79</v>
      </c>
      <c r="C460" s="9" t="s">
        <v>80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n">
        <f>7953</f>
        <v>7953.0</v>
      </c>
    </row>
    <row r="461">
      <c r="A461" s="8" t="s">
        <v>23</v>
      </c>
      <c r="B461" s="9" t="s">
        <v>79</v>
      </c>
      <c r="C461" s="9" t="s">
        <v>80</v>
      </c>
      <c r="D461" s="10"/>
      <c r="E461" s="2"/>
      <c r="F461" s="10"/>
      <c r="G461" s="2"/>
      <c r="H461" s="10"/>
      <c r="I461" s="2"/>
      <c r="J461" s="10"/>
      <c r="K461" s="2"/>
    </row>
    <row r="462">
      <c r="A462" s="8" t="s">
        <v>24</v>
      </c>
      <c r="B462" s="9" t="s">
        <v>79</v>
      </c>
      <c r="C462" s="9" t="s">
        <v>80</v>
      </c>
      <c r="D462" s="10"/>
      <c r="E462" s="2"/>
      <c r="F462" s="10"/>
      <c r="G462" s="2"/>
      <c r="H462" s="10"/>
      <c r="I462" s="2"/>
      <c r="J462" s="10"/>
      <c r="K462" s="2"/>
    </row>
    <row r="463">
      <c r="A463" s="8" t="s">
        <v>25</v>
      </c>
      <c r="B463" s="9" t="s">
        <v>79</v>
      </c>
      <c r="C463" s="9" t="s">
        <v>80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n">
        <f>7953</f>
        <v>7953.0</v>
      </c>
    </row>
    <row r="464">
      <c r="A464" s="8" t="s">
        <v>26</v>
      </c>
      <c r="B464" s="9" t="s">
        <v>79</v>
      </c>
      <c r="C464" s="9" t="s">
        <v>80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n">
        <f>7953</f>
        <v>7953.0</v>
      </c>
    </row>
    <row r="465">
      <c r="A465" s="8" t="s">
        <v>28</v>
      </c>
      <c r="B465" s="9" t="s">
        <v>79</v>
      </c>
      <c r="C465" s="9" t="s">
        <v>80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n">
        <f>7953</f>
        <v>7953.0</v>
      </c>
    </row>
    <row r="466">
      <c r="A466" s="8" t="s">
        <v>29</v>
      </c>
      <c r="B466" s="9" t="s">
        <v>79</v>
      </c>
      <c r="C466" s="9" t="s">
        <v>80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n">
        <f>7953</f>
        <v>7953.0</v>
      </c>
    </row>
    <row r="467">
      <c r="A467" s="8" t="s">
        <v>30</v>
      </c>
      <c r="B467" s="9" t="s">
        <v>79</v>
      </c>
      <c r="C467" s="9" t="s">
        <v>80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n">
        <f>7953</f>
        <v>7953.0</v>
      </c>
    </row>
    <row r="468">
      <c r="A468" s="8" t="s">
        <v>31</v>
      </c>
      <c r="B468" s="9" t="s">
        <v>79</v>
      </c>
      <c r="C468" s="9" t="s">
        <v>80</v>
      </c>
      <c r="D468" s="10"/>
      <c r="E468" s="2"/>
      <c r="F468" s="10"/>
      <c r="G468" s="2"/>
      <c r="H468" s="10"/>
      <c r="I468" s="2"/>
      <c r="J468" s="10"/>
      <c r="K468" s="2"/>
    </row>
    <row r="469">
      <c r="A469" s="8" t="s">
        <v>32</v>
      </c>
      <c r="B469" s="9" t="s">
        <v>79</v>
      </c>
      <c r="C469" s="9" t="s">
        <v>80</v>
      </c>
      <c r="D469" s="10"/>
      <c r="E469" s="2"/>
      <c r="F469" s="10"/>
      <c r="G469" s="2"/>
      <c r="H469" s="10"/>
      <c r="I469" s="2"/>
      <c r="J469" s="10"/>
      <c r="K469" s="2"/>
    </row>
    <row r="470">
      <c r="A470" s="8" t="s">
        <v>33</v>
      </c>
      <c r="B470" s="9" t="s">
        <v>79</v>
      </c>
      <c r="C470" s="9" t="s">
        <v>80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n">
        <f>7953</f>
        <v>7953.0</v>
      </c>
    </row>
    <row r="471">
      <c r="A471" s="8" t="s">
        <v>34</v>
      </c>
      <c r="B471" s="9" t="s">
        <v>79</v>
      </c>
      <c r="C471" s="9" t="s">
        <v>80</v>
      </c>
      <c r="D471" s="10"/>
      <c r="E471" s="2" t="str">
        <f>"－"</f>
        <v>－</v>
      </c>
      <c r="F471" s="10"/>
      <c r="G471" s="2" t="str">
        <f>"－"</f>
        <v>－</v>
      </c>
      <c r="H471" s="10"/>
      <c r="I471" s="2" t="str">
        <f>"－"</f>
        <v>－</v>
      </c>
      <c r="J471" s="10"/>
      <c r="K471" s="2" t="n">
        <f>7953</f>
        <v>7953.0</v>
      </c>
    </row>
    <row r="472">
      <c r="A472" s="8" t="s">
        <v>35</v>
      </c>
      <c r="B472" s="9" t="s">
        <v>79</v>
      </c>
      <c r="C472" s="9" t="s">
        <v>80</v>
      </c>
      <c r="D472" s="10"/>
      <c r="E472" s="2" t="str">
        <f>"－"</f>
        <v>－</v>
      </c>
      <c r="F472" s="10"/>
      <c r="G472" s="2" t="str">
        <f>"－"</f>
        <v>－</v>
      </c>
      <c r="H472" s="10"/>
      <c r="I472" s="2" t="str">
        <f>"－"</f>
        <v>－</v>
      </c>
      <c r="J472" s="10"/>
      <c r="K472" s="2" t="n">
        <f>7953</f>
        <v>7953.0</v>
      </c>
    </row>
    <row r="473">
      <c r="A473" s="8" t="s">
        <v>36</v>
      </c>
      <c r="B473" s="9" t="s">
        <v>79</v>
      </c>
      <c r="C473" s="9" t="s">
        <v>80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7953</f>
        <v>7953.0</v>
      </c>
    </row>
    <row r="474">
      <c r="A474" s="8" t="s">
        <v>37</v>
      </c>
      <c r="B474" s="9" t="s">
        <v>79</v>
      </c>
      <c r="C474" s="9" t="s">
        <v>80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7953</f>
        <v>7953.0</v>
      </c>
    </row>
    <row r="475">
      <c r="A475" s="8" t="s">
        <v>39</v>
      </c>
      <c r="B475" s="9" t="s">
        <v>79</v>
      </c>
      <c r="C475" s="9" t="s">
        <v>80</v>
      </c>
      <c r="D475" s="10"/>
      <c r="E475" s="2"/>
      <c r="F475" s="10"/>
      <c r="G475" s="2"/>
      <c r="H475" s="10"/>
      <c r="I475" s="2"/>
      <c r="J475" s="10"/>
      <c r="K475" s="2"/>
    </row>
    <row r="476">
      <c r="A476" s="8" t="s">
        <v>40</v>
      </c>
      <c r="B476" s="9" t="s">
        <v>79</v>
      </c>
      <c r="C476" s="9" t="s">
        <v>80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41</v>
      </c>
      <c r="B477" s="9" t="s">
        <v>79</v>
      </c>
      <c r="C477" s="9" t="s">
        <v>80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7953</f>
        <v>7953.0</v>
      </c>
    </row>
    <row r="478">
      <c r="A478" s="8" t="s">
        <v>42</v>
      </c>
      <c r="B478" s="9" t="s">
        <v>79</v>
      </c>
      <c r="C478" s="9" t="s">
        <v>80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7953</f>
        <v>7953.0</v>
      </c>
    </row>
    <row r="479">
      <c r="A479" s="8" t="s">
        <v>43</v>
      </c>
      <c r="B479" s="9" t="s">
        <v>79</v>
      </c>
      <c r="C479" s="9" t="s">
        <v>80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7953</f>
        <v>7953.0</v>
      </c>
    </row>
    <row r="480">
      <c r="A480" s="8" t="s">
        <v>44</v>
      </c>
      <c r="B480" s="9" t="s">
        <v>79</v>
      </c>
      <c r="C480" s="9" t="s">
        <v>80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7953</f>
        <v>7953.0</v>
      </c>
    </row>
    <row r="481">
      <c r="A481" s="8" t="s">
        <v>45</v>
      </c>
      <c r="B481" s="9" t="s">
        <v>79</v>
      </c>
      <c r="C481" s="9" t="s">
        <v>80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7953</f>
        <v>7953.0</v>
      </c>
    </row>
    <row r="482">
      <c r="A482" s="8" t="s">
        <v>46</v>
      </c>
      <c r="B482" s="9" t="s">
        <v>79</v>
      </c>
      <c r="C482" s="9" t="s">
        <v>80</v>
      </c>
      <c r="D482" s="10"/>
      <c r="E482" s="2"/>
      <c r="F482" s="10"/>
      <c r="G482" s="2"/>
      <c r="H482" s="10"/>
      <c r="I482" s="2"/>
      <c r="J482" s="10"/>
      <c r="K482" s="2"/>
    </row>
    <row r="483">
      <c r="A483" s="8" t="s">
        <v>47</v>
      </c>
      <c r="B483" s="9" t="s">
        <v>79</v>
      </c>
      <c r="C483" s="9" t="s">
        <v>80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48</v>
      </c>
      <c r="B484" s="9" t="s">
        <v>79</v>
      </c>
      <c r="C484" s="9" t="s">
        <v>80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49</v>
      </c>
      <c r="B485" s="9" t="s">
        <v>79</v>
      </c>
      <c r="C485" s="9" t="s">
        <v>80</v>
      </c>
      <c r="D485" s="10"/>
      <c r="E485" s="2" t="str">
        <f>"－"</f>
        <v>－</v>
      </c>
      <c r="F485" s="10"/>
      <c r="G485" s="2" t="str">
        <f>"－"</f>
        <v>－</v>
      </c>
      <c r="H485" s="10"/>
      <c r="I485" s="2" t="str">
        <f>"－"</f>
        <v>－</v>
      </c>
      <c r="J485" s="10"/>
      <c r="K485" s="2" t="n">
        <f>7953</f>
        <v>7953.0</v>
      </c>
    </row>
    <row r="486">
      <c r="A486" s="8" t="s">
        <v>16</v>
      </c>
      <c r="B486" s="9" t="s">
        <v>81</v>
      </c>
      <c r="C486" s="9" t="s">
        <v>82</v>
      </c>
      <c r="D486" s="10" t="s">
        <v>27</v>
      </c>
      <c r="E486" s="2" t="n">
        <f>2</f>
        <v>2.0</v>
      </c>
      <c r="F486" s="10"/>
      <c r="G486" s="2" t="n">
        <f>418000</f>
        <v>418000.0</v>
      </c>
      <c r="H486" s="10" t="s">
        <v>54</v>
      </c>
      <c r="I486" s="2" t="str">
        <f>"－"</f>
        <v>－</v>
      </c>
      <c r="J486" s="10"/>
      <c r="K486" s="2" t="n">
        <f>85</f>
        <v>85.0</v>
      </c>
    </row>
    <row r="487">
      <c r="A487" s="8" t="s">
        <v>19</v>
      </c>
      <c r="B487" s="9" t="s">
        <v>81</v>
      </c>
      <c r="C487" s="9" t="s">
        <v>82</v>
      </c>
      <c r="D487" s="10"/>
      <c r="E487" s="2" t="n">
        <f>2</f>
        <v>2.0</v>
      </c>
      <c r="F487" s="10" t="s">
        <v>27</v>
      </c>
      <c r="G487" s="2" t="n">
        <f>408000</f>
        <v>408000.0</v>
      </c>
      <c r="H487" s="10"/>
      <c r="I487" s="2" t="str">
        <f>"－"</f>
        <v>－</v>
      </c>
      <c r="J487" s="10"/>
      <c r="K487" s="2" t="n">
        <f>84</f>
        <v>84.0</v>
      </c>
    </row>
    <row r="488">
      <c r="A488" s="8" t="s">
        <v>20</v>
      </c>
      <c r="B488" s="9" t="s">
        <v>81</v>
      </c>
      <c r="C488" s="9" t="s">
        <v>82</v>
      </c>
      <c r="D488" s="10"/>
      <c r="E488" s="2" t="n">
        <f>4</f>
        <v>4.0</v>
      </c>
      <c r="F488" s="10"/>
      <c r="G488" s="2" t="n">
        <f>834500</f>
        <v>834500.0</v>
      </c>
      <c r="H488" s="10"/>
      <c r="I488" s="2" t="str">
        <f>"－"</f>
        <v>－</v>
      </c>
      <c r="J488" s="10"/>
      <c r="K488" s="2" t="n">
        <f>85</f>
        <v>85.0</v>
      </c>
    </row>
    <row r="489">
      <c r="A489" s="8" t="s">
        <v>21</v>
      </c>
      <c r="B489" s="9" t="s">
        <v>81</v>
      </c>
      <c r="C489" s="9" t="s">
        <v>82</v>
      </c>
      <c r="D489" s="10"/>
      <c r="E489" s="2" t="n">
        <f>6</f>
        <v>6.0</v>
      </c>
      <c r="F489" s="10"/>
      <c r="G489" s="2" t="n">
        <f>1216500</f>
        <v>1216500.0</v>
      </c>
      <c r="H489" s="10"/>
      <c r="I489" s="2" t="str">
        <f>"－"</f>
        <v>－</v>
      </c>
      <c r="J489" s="10"/>
      <c r="K489" s="2" t="n">
        <f>84</f>
        <v>84.0</v>
      </c>
    </row>
    <row r="490">
      <c r="A490" s="8" t="s">
        <v>22</v>
      </c>
      <c r="B490" s="9" t="s">
        <v>81</v>
      </c>
      <c r="C490" s="9" t="s">
        <v>82</v>
      </c>
      <c r="D490" s="10" t="s">
        <v>38</v>
      </c>
      <c r="E490" s="2" t="n">
        <f>64</f>
        <v>64.0</v>
      </c>
      <c r="F490" s="10" t="s">
        <v>38</v>
      </c>
      <c r="G490" s="2" t="n">
        <f>13870000</f>
        <v>1.387E7</v>
      </c>
      <c r="H490" s="10"/>
      <c r="I490" s="2" t="str">
        <f>"－"</f>
        <v>－</v>
      </c>
      <c r="J490" s="10" t="s">
        <v>38</v>
      </c>
      <c r="K490" s="2" t="n">
        <f>129</f>
        <v>129.0</v>
      </c>
    </row>
    <row r="491">
      <c r="A491" s="8" t="s">
        <v>23</v>
      </c>
      <c r="B491" s="9" t="s">
        <v>81</v>
      </c>
      <c r="C491" s="9" t="s">
        <v>82</v>
      </c>
      <c r="D491" s="10"/>
      <c r="E491" s="2"/>
      <c r="F491" s="10"/>
      <c r="G491" s="2"/>
      <c r="H491" s="10"/>
      <c r="I491" s="2"/>
      <c r="J491" s="10"/>
      <c r="K491" s="2"/>
    </row>
    <row r="492">
      <c r="A492" s="8" t="s">
        <v>24</v>
      </c>
      <c r="B492" s="9" t="s">
        <v>81</v>
      </c>
      <c r="C492" s="9" t="s">
        <v>82</v>
      </c>
      <c r="D492" s="10"/>
      <c r="E492" s="2"/>
      <c r="F492" s="10"/>
      <c r="G492" s="2"/>
      <c r="H492" s="10"/>
      <c r="I492" s="2"/>
      <c r="J492" s="10"/>
      <c r="K492" s="2"/>
    </row>
    <row r="493">
      <c r="A493" s="8" t="s">
        <v>25</v>
      </c>
      <c r="B493" s="9" t="s">
        <v>81</v>
      </c>
      <c r="C493" s="9" t="s">
        <v>82</v>
      </c>
      <c r="D493" s="10"/>
      <c r="E493" s="2" t="n">
        <f>7</f>
        <v>7.0</v>
      </c>
      <c r="F493" s="10"/>
      <c r="G493" s="2" t="n">
        <f>1465000</f>
        <v>1465000.0</v>
      </c>
      <c r="H493" s="10"/>
      <c r="I493" s="2" t="str">
        <f>"－"</f>
        <v>－</v>
      </c>
      <c r="J493" s="10"/>
      <c r="K493" s="2" t="n">
        <f>129</f>
        <v>129.0</v>
      </c>
    </row>
    <row r="494">
      <c r="A494" s="8" t="s">
        <v>26</v>
      </c>
      <c r="B494" s="9" t="s">
        <v>81</v>
      </c>
      <c r="C494" s="9" t="s">
        <v>82</v>
      </c>
      <c r="D494" s="10"/>
      <c r="E494" s="2" t="n">
        <f>15</f>
        <v>15.0</v>
      </c>
      <c r="F494" s="10"/>
      <c r="G494" s="2" t="n">
        <f>3113500</f>
        <v>3113500.0</v>
      </c>
      <c r="H494" s="10"/>
      <c r="I494" s="2" t="str">
        <f>"－"</f>
        <v>－</v>
      </c>
      <c r="J494" s="10"/>
      <c r="K494" s="2" t="n">
        <f>123</f>
        <v>123.0</v>
      </c>
    </row>
    <row r="495">
      <c r="A495" s="8" t="s">
        <v>28</v>
      </c>
      <c r="B495" s="9" t="s">
        <v>81</v>
      </c>
      <c r="C495" s="9" t="s">
        <v>82</v>
      </c>
      <c r="D495" s="10"/>
      <c r="E495" s="2" t="n">
        <f>2</f>
        <v>2.0</v>
      </c>
      <c r="F495" s="10"/>
      <c r="G495" s="2" t="n">
        <f>422000</f>
        <v>422000.0</v>
      </c>
      <c r="H495" s="10"/>
      <c r="I495" s="2" t="str">
        <f>"－"</f>
        <v>－</v>
      </c>
      <c r="J495" s="10"/>
      <c r="K495" s="2" t="n">
        <f>123</f>
        <v>123.0</v>
      </c>
    </row>
    <row r="496">
      <c r="A496" s="8" t="s">
        <v>29</v>
      </c>
      <c r="B496" s="9" t="s">
        <v>81</v>
      </c>
      <c r="C496" s="9" t="s">
        <v>82</v>
      </c>
      <c r="D496" s="10"/>
      <c r="E496" s="2" t="n">
        <f>5</f>
        <v>5.0</v>
      </c>
      <c r="F496" s="10"/>
      <c r="G496" s="2" t="n">
        <f>1082000</f>
        <v>1082000.0</v>
      </c>
      <c r="H496" s="10"/>
      <c r="I496" s="2" t="str">
        <f>"－"</f>
        <v>－</v>
      </c>
      <c r="J496" s="10" t="s">
        <v>27</v>
      </c>
      <c r="K496" s="2" t="n">
        <f>80</f>
        <v>80.0</v>
      </c>
    </row>
    <row r="497">
      <c r="A497" s="8" t="s">
        <v>30</v>
      </c>
      <c r="B497" s="9" t="s">
        <v>81</v>
      </c>
      <c r="C497" s="9" t="s">
        <v>82</v>
      </c>
      <c r="D497" s="10"/>
      <c r="E497" s="2" t="n">
        <f>8</f>
        <v>8.0</v>
      </c>
      <c r="F497" s="10"/>
      <c r="G497" s="2" t="n">
        <f>1708500</f>
        <v>1708500.0</v>
      </c>
      <c r="H497" s="10"/>
      <c r="I497" s="2" t="str">
        <f>"－"</f>
        <v>－</v>
      </c>
      <c r="J497" s="10"/>
      <c r="K497" s="2" t="n">
        <f>88</f>
        <v>88.0</v>
      </c>
    </row>
    <row r="498">
      <c r="A498" s="8" t="s">
        <v>31</v>
      </c>
      <c r="B498" s="9" t="s">
        <v>81</v>
      </c>
      <c r="C498" s="9" t="s">
        <v>82</v>
      </c>
      <c r="D498" s="10"/>
      <c r="E498" s="2"/>
      <c r="F498" s="10"/>
      <c r="G498" s="2"/>
      <c r="H498" s="10"/>
      <c r="I498" s="2"/>
      <c r="J498" s="10"/>
      <c r="K498" s="2"/>
    </row>
    <row r="499">
      <c r="A499" s="8" t="s">
        <v>32</v>
      </c>
      <c r="B499" s="9" t="s">
        <v>81</v>
      </c>
      <c r="C499" s="9" t="s">
        <v>82</v>
      </c>
      <c r="D499" s="10"/>
      <c r="E499" s="2"/>
      <c r="F499" s="10"/>
      <c r="G499" s="2"/>
      <c r="H499" s="10"/>
      <c r="I499" s="2"/>
      <c r="J499" s="10"/>
      <c r="K499" s="2"/>
    </row>
    <row r="500">
      <c r="A500" s="8" t="s">
        <v>33</v>
      </c>
      <c r="B500" s="9" t="s">
        <v>81</v>
      </c>
      <c r="C500" s="9" t="s">
        <v>82</v>
      </c>
      <c r="D500" s="10"/>
      <c r="E500" s="2" t="n">
        <f>5</f>
        <v>5.0</v>
      </c>
      <c r="F500" s="10"/>
      <c r="G500" s="2" t="n">
        <f>1078000</f>
        <v>1078000.0</v>
      </c>
      <c r="H500" s="10"/>
      <c r="I500" s="2" t="str">
        <f>"－"</f>
        <v>－</v>
      </c>
      <c r="J500" s="10"/>
      <c r="K500" s="2" t="n">
        <f>87</f>
        <v>87.0</v>
      </c>
    </row>
    <row r="501">
      <c r="A501" s="8" t="s">
        <v>34</v>
      </c>
      <c r="B501" s="9" t="s">
        <v>81</v>
      </c>
      <c r="C501" s="9" t="s">
        <v>82</v>
      </c>
      <c r="D501" s="10"/>
      <c r="E501" s="2" t="n">
        <f>11</f>
        <v>11.0</v>
      </c>
      <c r="F501" s="10"/>
      <c r="G501" s="2" t="n">
        <f>2454500</f>
        <v>2454500.0</v>
      </c>
      <c r="H501" s="10"/>
      <c r="I501" s="2" t="str">
        <f>"－"</f>
        <v>－</v>
      </c>
      <c r="J501" s="10"/>
      <c r="K501" s="2" t="n">
        <f>91</f>
        <v>91.0</v>
      </c>
    </row>
    <row r="502">
      <c r="A502" s="8" t="s">
        <v>35</v>
      </c>
      <c r="B502" s="9" t="s">
        <v>81</v>
      </c>
      <c r="C502" s="9" t="s">
        <v>82</v>
      </c>
      <c r="D502" s="10"/>
      <c r="E502" s="2" t="n">
        <f>6</f>
        <v>6.0</v>
      </c>
      <c r="F502" s="10"/>
      <c r="G502" s="2" t="n">
        <f>1338500</f>
        <v>1338500.0</v>
      </c>
      <c r="H502" s="10"/>
      <c r="I502" s="2" t="str">
        <f>"－"</f>
        <v>－</v>
      </c>
      <c r="J502" s="10"/>
      <c r="K502" s="2" t="n">
        <f>94</f>
        <v>94.0</v>
      </c>
    </row>
    <row r="503">
      <c r="A503" s="8" t="s">
        <v>36</v>
      </c>
      <c r="B503" s="9" t="s">
        <v>81</v>
      </c>
      <c r="C503" s="9" t="s">
        <v>82</v>
      </c>
      <c r="D503" s="10"/>
      <c r="E503" s="2" t="n">
        <f>5</f>
        <v>5.0</v>
      </c>
      <c r="F503" s="10"/>
      <c r="G503" s="2" t="n">
        <f>1113000</f>
        <v>1113000.0</v>
      </c>
      <c r="H503" s="10"/>
      <c r="I503" s="2" t="str">
        <f>"－"</f>
        <v>－</v>
      </c>
      <c r="J503" s="10"/>
      <c r="K503" s="2" t="n">
        <f>97</f>
        <v>97.0</v>
      </c>
    </row>
    <row r="504">
      <c r="A504" s="8" t="s">
        <v>37</v>
      </c>
      <c r="B504" s="9" t="s">
        <v>81</v>
      </c>
      <c r="C504" s="9" t="s">
        <v>82</v>
      </c>
      <c r="D504" s="10"/>
      <c r="E504" s="2" t="n">
        <f>23</f>
        <v>23.0</v>
      </c>
      <c r="F504" s="10"/>
      <c r="G504" s="2" t="n">
        <f>5385000</f>
        <v>5385000.0</v>
      </c>
      <c r="H504" s="10"/>
      <c r="I504" s="2" t="str">
        <f>"－"</f>
        <v>－</v>
      </c>
      <c r="J504" s="10"/>
      <c r="K504" s="2" t="n">
        <f>111</f>
        <v>111.0</v>
      </c>
    </row>
    <row r="505">
      <c r="A505" s="8" t="s">
        <v>39</v>
      </c>
      <c r="B505" s="9" t="s">
        <v>81</v>
      </c>
      <c r="C505" s="9" t="s">
        <v>82</v>
      </c>
      <c r="D505" s="10"/>
      <c r="E505" s="2"/>
      <c r="F505" s="10"/>
      <c r="G505" s="2"/>
      <c r="H505" s="10"/>
      <c r="I505" s="2"/>
      <c r="J505" s="10"/>
      <c r="K505" s="2"/>
    </row>
    <row r="506">
      <c r="A506" s="8" t="s">
        <v>40</v>
      </c>
      <c r="B506" s="9" t="s">
        <v>81</v>
      </c>
      <c r="C506" s="9" t="s">
        <v>82</v>
      </c>
      <c r="D506" s="10"/>
      <c r="E506" s="2"/>
      <c r="F506" s="10"/>
      <c r="G506" s="2"/>
      <c r="H506" s="10"/>
      <c r="I506" s="2"/>
      <c r="J506" s="10"/>
      <c r="K506" s="2"/>
    </row>
    <row r="507">
      <c r="A507" s="8" t="s">
        <v>41</v>
      </c>
      <c r="B507" s="9" t="s">
        <v>81</v>
      </c>
      <c r="C507" s="9" t="s">
        <v>82</v>
      </c>
      <c r="D507" s="10"/>
      <c r="E507" s="2" t="n">
        <f>5</f>
        <v>5.0</v>
      </c>
      <c r="F507" s="10"/>
      <c r="G507" s="2" t="n">
        <f>1102500</f>
        <v>1102500.0</v>
      </c>
      <c r="H507" s="10"/>
      <c r="I507" s="2" t="str">
        <f>"－"</f>
        <v>－</v>
      </c>
      <c r="J507" s="10"/>
      <c r="K507" s="2" t="n">
        <f>107</f>
        <v>107.0</v>
      </c>
    </row>
    <row r="508">
      <c r="A508" s="8" t="s">
        <v>42</v>
      </c>
      <c r="B508" s="9" t="s">
        <v>81</v>
      </c>
      <c r="C508" s="9" t="s">
        <v>82</v>
      </c>
      <c r="D508" s="10"/>
      <c r="E508" s="2" t="n">
        <f>6</f>
        <v>6.0</v>
      </c>
      <c r="F508" s="10"/>
      <c r="G508" s="2" t="n">
        <f>1313000</f>
        <v>1313000.0</v>
      </c>
      <c r="H508" s="10"/>
      <c r="I508" s="2" t="str">
        <f>"－"</f>
        <v>－</v>
      </c>
      <c r="J508" s="10"/>
      <c r="K508" s="2" t="n">
        <f>108</f>
        <v>108.0</v>
      </c>
    </row>
    <row r="509">
      <c r="A509" s="8" t="s">
        <v>43</v>
      </c>
      <c r="B509" s="9" t="s">
        <v>81</v>
      </c>
      <c r="C509" s="9" t="s">
        <v>82</v>
      </c>
      <c r="D509" s="10"/>
      <c r="E509" s="2" t="n">
        <f>10</f>
        <v>10.0</v>
      </c>
      <c r="F509" s="10"/>
      <c r="G509" s="2" t="n">
        <f>2146500</f>
        <v>2146500.0</v>
      </c>
      <c r="H509" s="10"/>
      <c r="I509" s="2" t="str">
        <f>"－"</f>
        <v>－</v>
      </c>
      <c r="J509" s="10"/>
      <c r="K509" s="2" t="n">
        <f>103</f>
        <v>103.0</v>
      </c>
    </row>
    <row r="510">
      <c r="A510" s="8" t="s">
        <v>44</v>
      </c>
      <c r="B510" s="9" t="s">
        <v>81</v>
      </c>
      <c r="C510" s="9" t="s">
        <v>82</v>
      </c>
      <c r="D510" s="10"/>
      <c r="E510" s="2" t="n">
        <f>9</f>
        <v>9.0</v>
      </c>
      <c r="F510" s="10"/>
      <c r="G510" s="2" t="n">
        <f>1965000</f>
        <v>1965000.0</v>
      </c>
      <c r="H510" s="10"/>
      <c r="I510" s="2" t="str">
        <f>"－"</f>
        <v>－</v>
      </c>
      <c r="J510" s="10"/>
      <c r="K510" s="2" t="n">
        <f>110</f>
        <v>110.0</v>
      </c>
    </row>
    <row r="511">
      <c r="A511" s="8" t="s">
        <v>45</v>
      </c>
      <c r="B511" s="9" t="s">
        <v>81</v>
      </c>
      <c r="C511" s="9" t="s">
        <v>82</v>
      </c>
      <c r="D511" s="10"/>
      <c r="E511" s="2" t="n">
        <f>4</f>
        <v>4.0</v>
      </c>
      <c r="F511" s="10"/>
      <c r="G511" s="2" t="n">
        <f>842000</f>
        <v>842000.0</v>
      </c>
      <c r="H511" s="10"/>
      <c r="I511" s="2" t="str">
        <f>"－"</f>
        <v>－</v>
      </c>
      <c r="J511" s="10"/>
      <c r="K511" s="2" t="n">
        <f>106</f>
        <v>106.0</v>
      </c>
    </row>
    <row r="512">
      <c r="A512" s="8" t="s">
        <v>46</v>
      </c>
      <c r="B512" s="9" t="s">
        <v>81</v>
      </c>
      <c r="C512" s="9" t="s">
        <v>82</v>
      </c>
      <c r="D512" s="10"/>
      <c r="E512" s="2"/>
      <c r="F512" s="10"/>
      <c r="G512" s="2"/>
      <c r="H512" s="10"/>
      <c r="I512" s="2"/>
      <c r="J512" s="10"/>
      <c r="K512" s="2"/>
    </row>
    <row r="513">
      <c r="A513" s="8" t="s">
        <v>47</v>
      </c>
      <c r="B513" s="9" t="s">
        <v>81</v>
      </c>
      <c r="C513" s="9" t="s">
        <v>82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48</v>
      </c>
      <c r="B514" s="9" t="s">
        <v>81</v>
      </c>
      <c r="C514" s="9" t="s">
        <v>82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49</v>
      </c>
      <c r="B515" s="9" t="s">
        <v>81</v>
      </c>
      <c r="C515" s="9" t="s">
        <v>82</v>
      </c>
      <c r="D515" s="10"/>
      <c r="E515" s="2" t="n">
        <f>25</f>
        <v>25.0</v>
      </c>
      <c r="F515" s="10"/>
      <c r="G515" s="2" t="n">
        <f>5245500</f>
        <v>5245500.0</v>
      </c>
      <c r="H515" s="10"/>
      <c r="I515" s="2" t="str">
        <f>"－"</f>
        <v>－</v>
      </c>
      <c r="J515" s="10"/>
      <c r="K515" s="2" t="n">
        <f>89</f>
        <v>89.0</v>
      </c>
    </row>
    <row r="516">
      <c r="A516" s="8" t="s">
        <v>16</v>
      </c>
      <c r="B516" s="9" t="s">
        <v>83</v>
      </c>
      <c r="C516" s="9" t="s">
        <v>84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19</v>
      </c>
      <c r="B517" s="9" t="s">
        <v>83</v>
      </c>
      <c r="C517" s="9" t="s">
        <v>84</v>
      </c>
      <c r="D517" s="10"/>
      <c r="E517" s="2"/>
      <c r="F517" s="10"/>
      <c r="G517" s="2"/>
      <c r="H517" s="10"/>
      <c r="I517" s="2"/>
      <c r="J517" s="10"/>
      <c r="K517" s="2"/>
    </row>
    <row r="518">
      <c r="A518" s="8" t="s">
        <v>20</v>
      </c>
      <c r="B518" s="9" t="s">
        <v>83</v>
      </c>
      <c r="C518" s="9" t="s">
        <v>84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21</v>
      </c>
      <c r="B519" s="9" t="s">
        <v>83</v>
      </c>
      <c r="C519" s="9" t="s">
        <v>84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22</v>
      </c>
      <c r="B520" s="9" t="s">
        <v>83</v>
      </c>
      <c r="C520" s="9" t="s">
        <v>84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23</v>
      </c>
      <c r="B521" s="9" t="s">
        <v>83</v>
      </c>
      <c r="C521" s="9" t="s">
        <v>84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24</v>
      </c>
      <c r="B522" s="9" t="s">
        <v>83</v>
      </c>
      <c r="C522" s="9" t="s">
        <v>84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25</v>
      </c>
      <c r="B523" s="9" t="s">
        <v>83</v>
      </c>
      <c r="C523" s="9" t="s">
        <v>84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26</v>
      </c>
      <c r="B524" s="9" t="s">
        <v>83</v>
      </c>
      <c r="C524" s="9" t="s">
        <v>84</v>
      </c>
      <c r="D524" s="10"/>
      <c r="E524" s="2"/>
      <c r="F524" s="10"/>
      <c r="G524" s="2"/>
      <c r="H524" s="10"/>
      <c r="I524" s="2"/>
      <c r="J524" s="10"/>
      <c r="K524" s="2"/>
    </row>
    <row r="525">
      <c r="A525" s="8" t="s">
        <v>28</v>
      </c>
      <c r="B525" s="9" t="s">
        <v>83</v>
      </c>
      <c r="C525" s="9" t="s">
        <v>84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29</v>
      </c>
      <c r="B526" s="9" t="s">
        <v>83</v>
      </c>
      <c r="C526" s="9" t="s">
        <v>84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30</v>
      </c>
      <c r="B527" s="9" t="s">
        <v>83</v>
      </c>
      <c r="C527" s="9" t="s">
        <v>84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31</v>
      </c>
      <c r="B528" s="9" t="s">
        <v>83</v>
      </c>
      <c r="C528" s="9" t="s">
        <v>84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32</v>
      </c>
      <c r="B529" s="9" t="s">
        <v>83</v>
      </c>
      <c r="C529" s="9" t="s">
        <v>84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33</v>
      </c>
      <c r="B530" s="9" t="s">
        <v>83</v>
      </c>
      <c r="C530" s="9" t="s">
        <v>84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34</v>
      </c>
      <c r="B531" s="9" t="s">
        <v>83</v>
      </c>
      <c r="C531" s="9" t="s">
        <v>84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35</v>
      </c>
      <c r="B532" s="9" t="s">
        <v>83</v>
      </c>
      <c r="C532" s="9" t="s">
        <v>84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36</v>
      </c>
      <c r="B533" s="9" t="s">
        <v>83</v>
      </c>
      <c r="C533" s="9" t="s">
        <v>84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37</v>
      </c>
      <c r="B534" s="9" t="s">
        <v>83</v>
      </c>
      <c r="C534" s="9" t="s">
        <v>84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39</v>
      </c>
      <c r="B535" s="9" t="s">
        <v>83</v>
      </c>
      <c r="C535" s="9" t="s">
        <v>84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40</v>
      </c>
      <c r="B536" s="9" t="s">
        <v>83</v>
      </c>
      <c r="C536" s="9" t="s">
        <v>84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41</v>
      </c>
      <c r="B537" s="9" t="s">
        <v>83</v>
      </c>
      <c r="C537" s="9" t="s">
        <v>84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42</v>
      </c>
      <c r="B538" s="9" t="s">
        <v>83</v>
      </c>
      <c r="C538" s="9" t="s">
        <v>84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43</v>
      </c>
      <c r="B539" s="9" t="s">
        <v>83</v>
      </c>
      <c r="C539" s="9" t="s">
        <v>84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44</v>
      </c>
      <c r="B540" s="9" t="s">
        <v>83</v>
      </c>
      <c r="C540" s="9" t="s">
        <v>84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45</v>
      </c>
      <c r="B541" s="9" t="s">
        <v>83</v>
      </c>
      <c r="C541" s="9" t="s">
        <v>84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46</v>
      </c>
      <c r="B542" s="9" t="s">
        <v>83</v>
      </c>
      <c r="C542" s="9" t="s">
        <v>84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47</v>
      </c>
      <c r="B543" s="9" t="s">
        <v>83</v>
      </c>
      <c r="C543" s="9" t="s">
        <v>84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48</v>
      </c>
      <c r="B544" s="9" t="s">
        <v>83</v>
      </c>
      <c r="C544" s="9" t="s">
        <v>84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49</v>
      </c>
      <c r="B545" s="9" t="s">
        <v>83</v>
      </c>
      <c r="C545" s="9" t="s">
        <v>84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16</v>
      </c>
      <c r="B546" s="9" t="s">
        <v>85</v>
      </c>
      <c r="C546" s="9" t="s">
        <v>86</v>
      </c>
      <c r="D546" s="10" t="s">
        <v>54</v>
      </c>
      <c r="E546" s="2" t="str">
        <f>"－"</f>
        <v>－</v>
      </c>
      <c r="F546" s="10" t="s">
        <v>54</v>
      </c>
      <c r="G546" s="2" t="str">
        <f>"－"</f>
        <v>－</v>
      </c>
      <c r="H546" s="10" t="s">
        <v>54</v>
      </c>
      <c r="I546" s="2" t="str">
        <f>"－"</f>
        <v>－</v>
      </c>
      <c r="J546" s="10" t="s">
        <v>54</v>
      </c>
      <c r="K546" s="2" t="str">
        <f>"－"</f>
        <v>－</v>
      </c>
    </row>
    <row r="547">
      <c r="A547" s="8" t="s">
        <v>19</v>
      </c>
      <c r="B547" s="9" t="s">
        <v>85</v>
      </c>
      <c r="C547" s="9" t="s">
        <v>86</v>
      </c>
      <c r="D547" s="10"/>
      <c r="E547" s="2" t="str">
        <f>"－"</f>
        <v>－</v>
      </c>
      <c r="F547" s="10"/>
      <c r="G547" s="2" t="str">
        <f>"－"</f>
        <v>－</v>
      </c>
      <c r="H547" s="10"/>
      <c r="I547" s="2" t="str">
        <f>"－"</f>
        <v>－</v>
      </c>
      <c r="J547" s="10"/>
      <c r="K547" s="2" t="str">
        <f>"－"</f>
        <v>－</v>
      </c>
    </row>
    <row r="548">
      <c r="A548" s="8" t="s">
        <v>20</v>
      </c>
      <c r="B548" s="9" t="s">
        <v>85</v>
      </c>
      <c r="C548" s="9" t="s">
        <v>86</v>
      </c>
      <c r="D548" s="10"/>
      <c r="E548" s="2" t="str">
        <f>"－"</f>
        <v>－</v>
      </c>
      <c r="F548" s="10"/>
      <c r="G548" s="2" t="str">
        <f>"－"</f>
        <v>－</v>
      </c>
      <c r="H548" s="10"/>
      <c r="I548" s="2" t="str">
        <f>"－"</f>
        <v>－</v>
      </c>
      <c r="J548" s="10"/>
      <c r="K548" s="2" t="str">
        <f>"－"</f>
        <v>－</v>
      </c>
    </row>
    <row r="549">
      <c r="A549" s="8" t="s">
        <v>21</v>
      </c>
      <c r="B549" s="9" t="s">
        <v>85</v>
      </c>
      <c r="C549" s="9" t="s">
        <v>86</v>
      </c>
      <c r="D549" s="10"/>
      <c r="E549" s="2" t="str">
        <f>"－"</f>
        <v>－</v>
      </c>
      <c r="F549" s="10"/>
      <c r="G549" s="2" t="str">
        <f>"－"</f>
        <v>－</v>
      </c>
      <c r="H549" s="10"/>
      <c r="I549" s="2" t="str">
        <f>"－"</f>
        <v>－</v>
      </c>
      <c r="J549" s="10"/>
      <c r="K549" s="2" t="str">
        <f>"－"</f>
        <v>－</v>
      </c>
    </row>
    <row r="550">
      <c r="A550" s="8" t="s">
        <v>22</v>
      </c>
      <c r="B550" s="9" t="s">
        <v>85</v>
      </c>
      <c r="C550" s="9" t="s">
        <v>86</v>
      </c>
      <c r="D550" s="10"/>
      <c r="E550" s="2" t="str">
        <f>"－"</f>
        <v>－</v>
      </c>
      <c r="F550" s="10"/>
      <c r="G550" s="2" t="str">
        <f>"－"</f>
        <v>－</v>
      </c>
      <c r="H550" s="10"/>
      <c r="I550" s="2" t="str">
        <f>"－"</f>
        <v>－</v>
      </c>
      <c r="J550" s="10"/>
      <c r="K550" s="2" t="str">
        <f>"－"</f>
        <v>－</v>
      </c>
    </row>
    <row r="551">
      <c r="A551" s="8" t="s">
        <v>23</v>
      </c>
      <c r="B551" s="9" t="s">
        <v>85</v>
      </c>
      <c r="C551" s="9" t="s">
        <v>86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24</v>
      </c>
      <c r="B552" s="9" t="s">
        <v>85</v>
      </c>
      <c r="C552" s="9" t="s">
        <v>86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25</v>
      </c>
      <c r="B553" s="9" t="s">
        <v>85</v>
      </c>
      <c r="C553" s="9" t="s">
        <v>86</v>
      </c>
      <c r="D553" s="10"/>
      <c r="E553" s="2" t="str">
        <f>"－"</f>
        <v>－</v>
      </c>
      <c r="F553" s="10"/>
      <c r="G553" s="2" t="str">
        <f>"－"</f>
        <v>－</v>
      </c>
      <c r="H553" s="10"/>
      <c r="I553" s="2" t="str">
        <f>"－"</f>
        <v>－</v>
      </c>
      <c r="J553" s="10"/>
      <c r="K553" s="2" t="str">
        <f>"－"</f>
        <v>－</v>
      </c>
    </row>
    <row r="554">
      <c r="A554" s="8" t="s">
        <v>26</v>
      </c>
      <c r="B554" s="9" t="s">
        <v>85</v>
      </c>
      <c r="C554" s="9" t="s">
        <v>86</v>
      </c>
      <c r="D554" s="10"/>
      <c r="E554" s="2" t="str">
        <f>"－"</f>
        <v>－</v>
      </c>
      <c r="F554" s="10"/>
      <c r="G554" s="2" t="str">
        <f>"－"</f>
        <v>－</v>
      </c>
      <c r="H554" s="10"/>
      <c r="I554" s="2" t="str">
        <f>"－"</f>
        <v>－</v>
      </c>
      <c r="J554" s="10"/>
      <c r="K554" s="2" t="str">
        <f>"－"</f>
        <v>－</v>
      </c>
    </row>
    <row r="555">
      <c r="A555" s="8" t="s">
        <v>28</v>
      </c>
      <c r="B555" s="9" t="s">
        <v>85</v>
      </c>
      <c r="C555" s="9" t="s">
        <v>86</v>
      </c>
      <c r="D555" s="10"/>
      <c r="E555" s="2" t="str">
        <f>"－"</f>
        <v>－</v>
      </c>
      <c r="F555" s="10"/>
      <c r="G555" s="2" t="str">
        <f>"－"</f>
        <v>－</v>
      </c>
      <c r="H555" s="10"/>
      <c r="I555" s="2" t="str">
        <f>"－"</f>
        <v>－</v>
      </c>
      <c r="J555" s="10"/>
      <c r="K555" s="2" t="str">
        <f>"－"</f>
        <v>－</v>
      </c>
    </row>
    <row r="556">
      <c r="A556" s="8" t="s">
        <v>29</v>
      </c>
      <c r="B556" s="9" t="s">
        <v>85</v>
      </c>
      <c r="C556" s="9" t="s">
        <v>86</v>
      </c>
      <c r="D556" s="10"/>
      <c r="E556" s="2" t="str">
        <f>"－"</f>
        <v>－</v>
      </c>
      <c r="F556" s="10"/>
      <c r="G556" s="2" t="str">
        <f>"－"</f>
        <v>－</v>
      </c>
      <c r="H556" s="10"/>
      <c r="I556" s="2" t="str">
        <f>"－"</f>
        <v>－</v>
      </c>
      <c r="J556" s="10"/>
      <c r="K556" s="2" t="str">
        <f>"－"</f>
        <v>－</v>
      </c>
    </row>
    <row r="557">
      <c r="A557" s="8" t="s">
        <v>30</v>
      </c>
      <c r="B557" s="9" t="s">
        <v>85</v>
      </c>
      <c r="C557" s="9" t="s">
        <v>86</v>
      </c>
      <c r="D557" s="10"/>
      <c r="E557" s="2" t="str">
        <f>"－"</f>
        <v>－</v>
      </c>
      <c r="F557" s="10"/>
      <c r="G557" s="2" t="str">
        <f>"－"</f>
        <v>－</v>
      </c>
      <c r="H557" s="10"/>
      <c r="I557" s="2" t="str">
        <f>"－"</f>
        <v>－</v>
      </c>
      <c r="J557" s="10"/>
      <c r="K557" s="2" t="str">
        <f>"－"</f>
        <v>－</v>
      </c>
    </row>
    <row r="558">
      <c r="A558" s="8" t="s">
        <v>31</v>
      </c>
      <c r="B558" s="9" t="s">
        <v>85</v>
      </c>
      <c r="C558" s="9" t="s">
        <v>86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32</v>
      </c>
      <c r="B559" s="9" t="s">
        <v>85</v>
      </c>
      <c r="C559" s="9" t="s">
        <v>86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33</v>
      </c>
      <c r="B560" s="9" t="s">
        <v>85</v>
      </c>
      <c r="C560" s="9" t="s">
        <v>86</v>
      </c>
      <c r="D560" s="10"/>
      <c r="E560" s="2" t="str">
        <f>"－"</f>
        <v>－</v>
      </c>
      <c r="F560" s="10"/>
      <c r="G560" s="2" t="str">
        <f>"－"</f>
        <v>－</v>
      </c>
      <c r="H560" s="10"/>
      <c r="I560" s="2" t="str">
        <f>"－"</f>
        <v>－</v>
      </c>
      <c r="J560" s="10"/>
      <c r="K560" s="2" t="str">
        <f>"－"</f>
        <v>－</v>
      </c>
    </row>
    <row r="561">
      <c r="A561" s="8" t="s">
        <v>34</v>
      </c>
      <c r="B561" s="9" t="s">
        <v>85</v>
      </c>
      <c r="C561" s="9" t="s">
        <v>86</v>
      </c>
      <c r="D561" s="10"/>
      <c r="E561" s="2" t="str">
        <f>"－"</f>
        <v>－</v>
      </c>
      <c r="F561" s="10"/>
      <c r="G561" s="2" t="str">
        <f>"－"</f>
        <v>－</v>
      </c>
      <c r="H561" s="10"/>
      <c r="I561" s="2" t="str">
        <f>"－"</f>
        <v>－</v>
      </c>
      <c r="J561" s="10"/>
      <c r="K561" s="2" t="str">
        <f>"－"</f>
        <v>－</v>
      </c>
    </row>
    <row r="562">
      <c r="A562" s="8" t="s">
        <v>35</v>
      </c>
      <c r="B562" s="9" t="s">
        <v>85</v>
      </c>
      <c r="C562" s="9" t="s">
        <v>86</v>
      </c>
      <c r="D562" s="10"/>
      <c r="E562" s="2" t="str">
        <f>"－"</f>
        <v>－</v>
      </c>
      <c r="F562" s="10"/>
      <c r="G562" s="2" t="str">
        <f>"－"</f>
        <v>－</v>
      </c>
      <c r="H562" s="10"/>
      <c r="I562" s="2" t="str">
        <f>"－"</f>
        <v>－</v>
      </c>
      <c r="J562" s="10"/>
      <c r="K562" s="2" t="str">
        <f>"－"</f>
        <v>－</v>
      </c>
    </row>
    <row r="563">
      <c r="A563" s="8" t="s">
        <v>36</v>
      </c>
      <c r="B563" s="9" t="s">
        <v>85</v>
      </c>
      <c r="C563" s="9" t="s">
        <v>86</v>
      </c>
      <c r="D563" s="10"/>
      <c r="E563" s="2" t="str">
        <f>"－"</f>
        <v>－</v>
      </c>
      <c r="F563" s="10"/>
      <c r="G563" s="2" t="str">
        <f>"－"</f>
        <v>－</v>
      </c>
      <c r="H563" s="10"/>
      <c r="I563" s="2" t="str">
        <f>"－"</f>
        <v>－</v>
      </c>
      <c r="J563" s="10"/>
      <c r="K563" s="2" t="str">
        <f>"－"</f>
        <v>－</v>
      </c>
    </row>
    <row r="564">
      <c r="A564" s="8" t="s">
        <v>37</v>
      </c>
      <c r="B564" s="9" t="s">
        <v>85</v>
      </c>
      <c r="C564" s="9" t="s">
        <v>86</v>
      </c>
      <c r="D564" s="10"/>
      <c r="E564" s="2" t="str">
        <f>"－"</f>
        <v>－</v>
      </c>
      <c r="F564" s="10"/>
      <c r="G564" s="2" t="str">
        <f>"－"</f>
        <v>－</v>
      </c>
      <c r="H564" s="10"/>
      <c r="I564" s="2" t="str">
        <f>"－"</f>
        <v>－</v>
      </c>
      <c r="J564" s="10"/>
      <c r="K564" s="2" t="str">
        <f>"－"</f>
        <v>－</v>
      </c>
    </row>
    <row r="565">
      <c r="A565" s="8" t="s">
        <v>39</v>
      </c>
      <c r="B565" s="9" t="s">
        <v>85</v>
      </c>
      <c r="C565" s="9" t="s">
        <v>86</v>
      </c>
      <c r="D565" s="10"/>
      <c r="E565" s="2"/>
      <c r="F565" s="10"/>
      <c r="G565" s="2"/>
      <c r="H565" s="10"/>
      <c r="I565" s="2"/>
      <c r="J565" s="10"/>
      <c r="K565" s="2"/>
    </row>
    <row r="566">
      <c r="A566" s="8" t="s">
        <v>40</v>
      </c>
      <c r="B566" s="9" t="s">
        <v>85</v>
      </c>
      <c r="C566" s="9" t="s">
        <v>86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41</v>
      </c>
      <c r="B567" s="9" t="s">
        <v>85</v>
      </c>
      <c r="C567" s="9" t="s">
        <v>86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42</v>
      </c>
      <c r="B568" s="9" t="s">
        <v>85</v>
      </c>
      <c r="C568" s="9" t="s">
        <v>86</v>
      </c>
      <c r="D568" s="10"/>
      <c r="E568" s="2" t="str">
        <f>"－"</f>
        <v>－</v>
      </c>
      <c r="F568" s="10"/>
      <c r="G568" s="2" t="str">
        <f>"－"</f>
        <v>－</v>
      </c>
      <c r="H568" s="10"/>
      <c r="I568" s="2" t="str">
        <f>"－"</f>
        <v>－</v>
      </c>
      <c r="J568" s="10"/>
      <c r="K568" s="2" t="str">
        <f>"－"</f>
        <v>－</v>
      </c>
    </row>
    <row r="569">
      <c r="A569" s="8" t="s">
        <v>43</v>
      </c>
      <c r="B569" s="9" t="s">
        <v>85</v>
      </c>
      <c r="C569" s="9" t="s">
        <v>86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44</v>
      </c>
      <c r="B570" s="9" t="s">
        <v>85</v>
      </c>
      <c r="C570" s="9" t="s">
        <v>86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45</v>
      </c>
      <c r="B571" s="9" t="s">
        <v>85</v>
      </c>
      <c r="C571" s="9" t="s">
        <v>86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46</v>
      </c>
      <c r="B572" s="9" t="s">
        <v>85</v>
      </c>
      <c r="C572" s="9" t="s">
        <v>86</v>
      </c>
      <c r="D572" s="10"/>
      <c r="E572" s="2"/>
      <c r="F572" s="10"/>
      <c r="G572" s="2"/>
      <c r="H572" s="10"/>
      <c r="I572" s="2"/>
      <c r="J572" s="10"/>
      <c r="K572" s="2"/>
    </row>
    <row r="573">
      <c r="A573" s="8" t="s">
        <v>47</v>
      </c>
      <c r="B573" s="9" t="s">
        <v>85</v>
      </c>
      <c r="C573" s="9" t="s">
        <v>86</v>
      </c>
      <c r="D573" s="10"/>
      <c r="E573" s="2"/>
      <c r="F573" s="10"/>
      <c r="G573" s="2"/>
      <c r="H573" s="10"/>
      <c r="I573" s="2"/>
      <c r="J573" s="10"/>
      <c r="K573" s="2"/>
    </row>
    <row r="574">
      <c r="A574" s="8" t="s">
        <v>48</v>
      </c>
      <c r="B574" s="9" t="s">
        <v>85</v>
      </c>
      <c r="C574" s="9" t="s">
        <v>86</v>
      </c>
      <c r="D574" s="10"/>
      <c r="E574" s="2"/>
      <c r="F574" s="10"/>
      <c r="G574" s="2"/>
      <c r="H574" s="10"/>
      <c r="I574" s="2"/>
      <c r="J574" s="10"/>
      <c r="K574" s="2"/>
    </row>
    <row r="575">
      <c r="A575" s="8" t="s">
        <v>49</v>
      </c>
      <c r="B575" s="9" t="s">
        <v>85</v>
      </c>
      <c r="C575" s="9" t="s">
        <v>86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16</v>
      </c>
      <c r="B576" s="9" t="s">
        <v>87</v>
      </c>
      <c r="C576" s="9" t="s">
        <v>88</v>
      </c>
      <c r="D576" s="10" t="s">
        <v>54</v>
      </c>
      <c r="E576" s="2" t="str">
        <f>"－"</f>
        <v>－</v>
      </c>
      <c r="F576" s="10" t="s">
        <v>54</v>
      </c>
      <c r="G576" s="2" t="str">
        <f>"－"</f>
        <v>－</v>
      </c>
      <c r="H576" s="10" t="s">
        <v>54</v>
      </c>
      <c r="I576" s="2" t="str">
        <f>"－"</f>
        <v>－</v>
      </c>
      <c r="J576" s="10" t="s">
        <v>54</v>
      </c>
      <c r="K576" s="2" t="str">
        <f>"－"</f>
        <v>－</v>
      </c>
    </row>
    <row r="577">
      <c r="A577" s="8" t="s">
        <v>19</v>
      </c>
      <c r="B577" s="9" t="s">
        <v>87</v>
      </c>
      <c r="C577" s="9" t="s">
        <v>88</v>
      </c>
      <c r="D577" s="10"/>
      <c r="E577" s="2" t="str">
        <f>"－"</f>
        <v>－</v>
      </c>
      <c r="F577" s="10"/>
      <c r="G577" s="2" t="str">
        <f>"－"</f>
        <v>－</v>
      </c>
      <c r="H577" s="10"/>
      <c r="I577" s="2" t="str">
        <f>"－"</f>
        <v>－</v>
      </c>
      <c r="J577" s="10"/>
      <c r="K577" s="2" t="str">
        <f>"－"</f>
        <v>－</v>
      </c>
    </row>
    <row r="578">
      <c r="A578" s="8" t="s">
        <v>20</v>
      </c>
      <c r="B578" s="9" t="s">
        <v>87</v>
      </c>
      <c r="C578" s="9" t="s">
        <v>88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21</v>
      </c>
      <c r="B579" s="9" t="s">
        <v>87</v>
      </c>
      <c r="C579" s="9" t="s">
        <v>88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22</v>
      </c>
      <c r="B580" s="9" t="s">
        <v>87</v>
      </c>
      <c r="C580" s="9" t="s">
        <v>88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23</v>
      </c>
      <c r="B581" s="9" t="s">
        <v>87</v>
      </c>
      <c r="C581" s="9" t="s">
        <v>88</v>
      </c>
      <c r="D581" s="10"/>
      <c r="E581" s="2"/>
      <c r="F581" s="10"/>
      <c r="G581" s="2"/>
      <c r="H581" s="10"/>
      <c r="I581" s="2"/>
      <c r="J581" s="10"/>
      <c r="K581" s="2"/>
    </row>
    <row r="582">
      <c r="A582" s="8" t="s">
        <v>24</v>
      </c>
      <c r="B582" s="9" t="s">
        <v>87</v>
      </c>
      <c r="C582" s="9" t="s">
        <v>88</v>
      </c>
      <c r="D582" s="10"/>
      <c r="E582" s="2"/>
      <c r="F582" s="10"/>
      <c r="G582" s="2"/>
      <c r="H582" s="10"/>
      <c r="I582" s="2"/>
      <c r="J582" s="10"/>
      <c r="K582" s="2"/>
    </row>
    <row r="583">
      <c r="A583" s="8" t="s">
        <v>25</v>
      </c>
      <c r="B583" s="9" t="s">
        <v>87</v>
      </c>
      <c r="C583" s="9" t="s">
        <v>88</v>
      </c>
      <c r="D583" s="10"/>
      <c r="E583" s="2" t="str">
        <f>"－"</f>
        <v>－</v>
      </c>
      <c r="F583" s="10"/>
      <c r="G583" s="2" t="str">
        <f>"－"</f>
        <v>－</v>
      </c>
      <c r="H583" s="10"/>
      <c r="I583" s="2" t="str">
        <f>"－"</f>
        <v>－</v>
      </c>
      <c r="J583" s="10"/>
      <c r="K583" s="2" t="str">
        <f>"－"</f>
        <v>－</v>
      </c>
    </row>
    <row r="584">
      <c r="A584" s="8" t="s">
        <v>26</v>
      </c>
      <c r="B584" s="9" t="s">
        <v>87</v>
      </c>
      <c r="C584" s="9" t="s">
        <v>88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28</v>
      </c>
      <c r="B585" s="9" t="s">
        <v>87</v>
      </c>
      <c r="C585" s="9" t="s">
        <v>88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29</v>
      </c>
      <c r="B586" s="9" t="s">
        <v>87</v>
      </c>
      <c r="C586" s="9" t="s">
        <v>88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30</v>
      </c>
      <c r="B587" s="9" t="s">
        <v>87</v>
      </c>
      <c r="C587" s="9" t="s">
        <v>88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31</v>
      </c>
      <c r="B588" s="9" t="s">
        <v>87</v>
      </c>
      <c r="C588" s="9" t="s">
        <v>88</v>
      </c>
      <c r="D588" s="10"/>
      <c r="E588" s="2"/>
      <c r="F588" s="10"/>
      <c r="G588" s="2"/>
      <c r="H588" s="10"/>
      <c r="I588" s="2"/>
      <c r="J588" s="10"/>
      <c r="K588" s="2"/>
    </row>
    <row r="589">
      <c r="A589" s="8" t="s">
        <v>32</v>
      </c>
      <c r="B589" s="9" t="s">
        <v>87</v>
      </c>
      <c r="C589" s="9" t="s">
        <v>88</v>
      </c>
      <c r="D589" s="10"/>
      <c r="E589" s="2"/>
      <c r="F589" s="10"/>
      <c r="G589" s="2"/>
      <c r="H589" s="10"/>
      <c r="I589" s="2"/>
      <c r="J589" s="10"/>
      <c r="K589" s="2"/>
    </row>
    <row r="590">
      <c r="A590" s="8" t="s">
        <v>33</v>
      </c>
      <c r="B590" s="9" t="s">
        <v>87</v>
      </c>
      <c r="C590" s="9" t="s">
        <v>88</v>
      </c>
      <c r="D590" s="10"/>
      <c r="E590" s="2" t="str">
        <f>"－"</f>
        <v>－</v>
      </c>
      <c r="F590" s="10"/>
      <c r="G590" s="2" t="str">
        <f>"－"</f>
        <v>－</v>
      </c>
      <c r="H590" s="10"/>
      <c r="I590" s="2" t="str">
        <f>"－"</f>
        <v>－</v>
      </c>
      <c r="J590" s="10"/>
      <c r="K590" s="2" t="str">
        <f>"－"</f>
        <v>－</v>
      </c>
    </row>
    <row r="591">
      <c r="A591" s="8" t="s">
        <v>34</v>
      </c>
      <c r="B591" s="9" t="s">
        <v>87</v>
      </c>
      <c r="C591" s="9" t="s">
        <v>88</v>
      </c>
      <c r="D591" s="10"/>
      <c r="E591" s="2" t="str">
        <f>"－"</f>
        <v>－</v>
      </c>
      <c r="F591" s="10"/>
      <c r="G591" s="2" t="str">
        <f>"－"</f>
        <v>－</v>
      </c>
      <c r="H591" s="10"/>
      <c r="I591" s="2" t="str">
        <f>"－"</f>
        <v>－</v>
      </c>
      <c r="J591" s="10"/>
      <c r="K591" s="2" t="str">
        <f>"－"</f>
        <v>－</v>
      </c>
    </row>
    <row r="592">
      <c r="A592" s="8" t="s">
        <v>35</v>
      </c>
      <c r="B592" s="9" t="s">
        <v>87</v>
      </c>
      <c r="C592" s="9" t="s">
        <v>88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36</v>
      </c>
      <c r="B593" s="9" t="s">
        <v>87</v>
      </c>
      <c r="C593" s="9" t="s">
        <v>88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37</v>
      </c>
      <c r="B594" s="9" t="s">
        <v>87</v>
      </c>
      <c r="C594" s="9" t="s">
        <v>88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39</v>
      </c>
      <c r="B595" s="9" t="s">
        <v>87</v>
      </c>
      <c r="C595" s="9" t="s">
        <v>88</v>
      </c>
      <c r="D595" s="10"/>
      <c r="E595" s="2"/>
      <c r="F595" s="10"/>
      <c r="G595" s="2"/>
      <c r="H595" s="10"/>
      <c r="I595" s="2"/>
      <c r="J595" s="10"/>
      <c r="K595" s="2"/>
    </row>
    <row r="596">
      <c r="A596" s="8" t="s">
        <v>40</v>
      </c>
      <c r="B596" s="9" t="s">
        <v>87</v>
      </c>
      <c r="C596" s="9" t="s">
        <v>88</v>
      </c>
      <c r="D596" s="10"/>
      <c r="E596" s="2"/>
      <c r="F596" s="10"/>
      <c r="G596" s="2"/>
      <c r="H596" s="10"/>
      <c r="I596" s="2"/>
      <c r="J596" s="10"/>
      <c r="K596" s="2"/>
    </row>
    <row r="597">
      <c r="A597" s="8" t="s">
        <v>41</v>
      </c>
      <c r="B597" s="9" t="s">
        <v>87</v>
      </c>
      <c r="C597" s="9" t="s">
        <v>88</v>
      </c>
      <c r="D597" s="10"/>
      <c r="E597" s="2" t="str">
        <f>"－"</f>
        <v>－</v>
      </c>
      <c r="F597" s="10"/>
      <c r="G597" s="2" t="str">
        <f>"－"</f>
        <v>－</v>
      </c>
      <c r="H597" s="10"/>
      <c r="I597" s="2" t="str">
        <f>"－"</f>
        <v>－</v>
      </c>
      <c r="J597" s="10"/>
      <c r="K597" s="2" t="str">
        <f>"－"</f>
        <v>－</v>
      </c>
    </row>
    <row r="598">
      <c r="A598" s="8" t="s">
        <v>42</v>
      </c>
      <c r="B598" s="9" t="s">
        <v>87</v>
      </c>
      <c r="C598" s="9" t="s">
        <v>88</v>
      </c>
      <c r="D598" s="10"/>
      <c r="E598" s="2" t="str">
        <f>"－"</f>
        <v>－</v>
      </c>
      <c r="F598" s="10"/>
      <c r="G598" s="2" t="str">
        <f>"－"</f>
        <v>－</v>
      </c>
      <c r="H598" s="10"/>
      <c r="I598" s="2" t="str">
        <f>"－"</f>
        <v>－</v>
      </c>
      <c r="J598" s="10"/>
      <c r="K598" s="2" t="str">
        <f>"－"</f>
        <v>－</v>
      </c>
    </row>
    <row r="599">
      <c r="A599" s="8" t="s">
        <v>43</v>
      </c>
      <c r="B599" s="9" t="s">
        <v>87</v>
      </c>
      <c r="C599" s="9" t="s">
        <v>88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44</v>
      </c>
      <c r="B600" s="9" t="s">
        <v>87</v>
      </c>
      <c r="C600" s="9" t="s">
        <v>88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45</v>
      </c>
      <c r="B601" s="9" t="s">
        <v>87</v>
      </c>
      <c r="C601" s="9" t="s">
        <v>88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46</v>
      </c>
      <c r="B602" s="9" t="s">
        <v>87</v>
      </c>
      <c r="C602" s="9" t="s">
        <v>88</v>
      </c>
      <c r="D602" s="10"/>
      <c r="E602" s="2"/>
      <c r="F602" s="10"/>
      <c r="G602" s="2"/>
      <c r="H602" s="10"/>
      <c r="I602" s="2"/>
      <c r="J602" s="10"/>
      <c r="K602" s="2"/>
    </row>
    <row r="603">
      <c r="A603" s="8" t="s">
        <v>47</v>
      </c>
      <c r="B603" s="9" t="s">
        <v>87</v>
      </c>
      <c r="C603" s="9" t="s">
        <v>88</v>
      </c>
      <c r="D603" s="10"/>
      <c r="E603" s="2"/>
      <c r="F603" s="10"/>
      <c r="G603" s="2"/>
      <c r="H603" s="10"/>
      <c r="I603" s="2"/>
      <c r="J603" s="10"/>
      <c r="K603" s="2"/>
    </row>
    <row r="604">
      <c r="A604" s="8" t="s">
        <v>48</v>
      </c>
      <c r="B604" s="9" t="s">
        <v>87</v>
      </c>
      <c r="C604" s="9" t="s">
        <v>88</v>
      </c>
      <c r="D604" s="10"/>
      <c r="E604" s="2"/>
      <c r="F604" s="10"/>
      <c r="G604" s="2"/>
      <c r="H604" s="10"/>
      <c r="I604" s="2"/>
      <c r="J604" s="10"/>
      <c r="K604" s="2"/>
    </row>
    <row r="605">
      <c r="A605" s="8" t="s">
        <v>49</v>
      </c>
      <c r="B605" s="9" t="s">
        <v>87</v>
      </c>
      <c r="C605" s="9" t="s">
        <v>88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16</v>
      </c>
      <c r="B606" s="9" t="s">
        <v>89</v>
      </c>
      <c r="C606" s="9" t="s">
        <v>90</v>
      </c>
      <c r="D606" s="10" t="s">
        <v>54</v>
      </c>
      <c r="E606" s="2" t="str">
        <f>"－"</f>
        <v>－</v>
      </c>
      <c r="F606" s="10" t="s">
        <v>54</v>
      </c>
      <c r="G606" s="2" t="str">
        <f>"－"</f>
        <v>－</v>
      </c>
      <c r="H606" s="10" t="s">
        <v>54</v>
      </c>
      <c r="I606" s="2" t="str">
        <f>"－"</f>
        <v>－</v>
      </c>
      <c r="J606" s="10" t="s">
        <v>54</v>
      </c>
      <c r="K606" s="2" t="str">
        <f>"－"</f>
        <v>－</v>
      </c>
    </row>
    <row r="607">
      <c r="A607" s="8" t="s">
        <v>19</v>
      </c>
      <c r="B607" s="9" t="s">
        <v>89</v>
      </c>
      <c r="C607" s="9" t="s">
        <v>90</v>
      </c>
      <c r="D607" s="10"/>
      <c r="E607" s="2" t="str">
        <f>"－"</f>
        <v>－</v>
      </c>
      <c r="F607" s="10"/>
      <c r="G607" s="2" t="str">
        <f>"－"</f>
        <v>－</v>
      </c>
      <c r="H607" s="10"/>
      <c r="I607" s="2" t="str">
        <f>"－"</f>
        <v>－</v>
      </c>
      <c r="J607" s="10"/>
      <c r="K607" s="2" t="str">
        <f>"－"</f>
        <v>－</v>
      </c>
    </row>
    <row r="608">
      <c r="A608" s="8" t="s">
        <v>20</v>
      </c>
      <c r="B608" s="9" t="s">
        <v>89</v>
      </c>
      <c r="C608" s="9" t="s">
        <v>90</v>
      </c>
      <c r="D608" s="10"/>
      <c r="E608" s="2" t="str">
        <f>"－"</f>
        <v>－</v>
      </c>
      <c r="F608" s="10"/>
      <c r="G608" s="2" t="str">
        <f>"－"</f>
        <v>－</v>
      </c>
      <c r="H608" s="10"/>
      <c r="I608" s="2" t="str">
        <f>"－"</f>
        <v>－</v>
      </c>
      <c r="J608" s="10"/>
      <c r="K608" s="2" t="str">
        <f>"－"</f>
        <v>－</v>
      </c>
    </row>
    <row r="609">
      <c r="A609" s="8" t="s">
        <v>21</v>
      </c>
      <c r="B609" s="9" t="s">
        <v>89</v>
      </c>
      <c r="C609" s="9" t="s">
        <v>90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22</v>
      </c>
      <c r="B610" s="9" t="s">
        <v>89</v>
      </c>
      <c r="C610" s="9" t="s">
        <v>90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23</v>
      </c>
      <c r="B611" s="9" t="s">
        <v>89</v>
      </c>
      <c r="C611" s="9" t="s">
        <v>90</v>
      </c>
      <c r="D611" s="10"/>
      <c r="E611" s="2"/>
      <c r="F611" s="10"/>
      <c r="G611" s="2"/>
      <c r="H611" s="10"/>
      <c r="I611" s="2"/>
      <c r="J611" s="10"/>
      <c r="K611" s="2"/>
    </row>
    <row r="612">
      <c r="A612" s="8" t="s">
        <v>24</v>
      </c>
      <c r="B612" s="9" t="s">
        <v>89</v>
      </c>
      <c r="C612" s="9" t="s">
        <v>90</v>
      </c>
      <c r="D612" s="10"/>
      <c r="E612" s="2"/>
      <c r="F612" s="10"/>
      <c r="G612" s="2"/>
      <c r="H612" s="10"/>
      <c r="I612" s="2"/>
      <c r="J612" s="10"/>
      <c r="K612" s="2"/>
    </row>
    <row r="613">
      <c r="A613" s="8" t="s">
        <v>25</v>
      </c>
      <c r="B613" s="9" t="s">
        <v>89</v>
      </c>
      <c r="C613" s="9" t="s">
        <v>90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26</v>
      </c>
      <c r="B614" s="9" t="s">
        <v>89</v>
      </c>
      <c r="C614" s="9" t="s">
        <v>90</v>
      </c>
      <c r="D614" s="10"/>
      <c r="E614" s="2" t="str">
        <f>"－"</f>
        <v>－</v>
      </c>
      <c r="F614" s="10"/>
      <c r="G614" s="2" t="str">
        <f>"－"</f>
        <v>－</v>
      </c>
      <c r="H614" s="10"/>
      <c r="I614" s="2" t="str">
        <f>"－"</f>
        <v>－</v>
      </c>
      <c r="J614" s="10"/>
      <c r="K614" s="2" t="str">
        <f>"－"</f>
        <v>－</v>
      </c>
    </row>
    <row r="615">
      <c r="A615" s="8" t="s">
        <v>28</v>
      </c>
      <c r="B615" s="9" t="s">
        <v>89</v>
      </c>
      <c r="C615" s="9" t="s">
        <v>90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29</v>
      </c>
      <c r="B616" s="9" t="s">
        <v>89</v>
      </c>
      <c r="C616" s="9" t="s">
        <v>90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30</v>
      </c>
      <c r="B617" s="9" t="s">
        <v>89</v>
      </c>
      <c r="C617" s="9" t="s">
        <v>90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31</v>
      </c>
      <c r="B618" s="9" t="s">
        <v>89</v>
      </c>
      <c r="C618" s="9" t="s">
        <v>90</v>
      </c>
      <c r="D618" s="10"/>
      <c r="E618" s="2"/>
      <c r="F618" s="10"/>
      <c r="G618" s="2"/>
      <c r="H618" s="10"/>
      <c r="I618" s="2"/>
      <c r="J618" s="10"/>
      <c r="K618" s="2"/>
    </row>
    <row r="619">
      <c r="A619" s="8" t="s">
        <v>32</v>
      </c>
      <c r="B619" s="9" t="s">
        <v>89</v>
      </c>
      <c r="C619" s="9" t="s">
        <v>90</v>
      </c>
      <c r="D619" s="10"/>
      <c r="E619" s="2"/>
      <c r="F619" s="10"/>
      <c r="G619" s="2"/>
      <c r="H619" s="10"/>
      <c r="I619" s="2"/>
      <c r="J619" s="10"/>
      <c r="K619" s="2"/>
    </row>
    <row r="620">
      <c r="A620" s="8" t="s">
        <v>33</v>
      </c>
      <c r="B620" s="9" t="s">
        <v>89</v>
      </c>
      <c r="C620" s="9" t="s">
        <v>90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34</v>
      </c>
      <c r="B621" s="9" t="s">
        <v>89</v>
      </c>
      <c r="C621" s="9" t="s">
        <v>90</v>
      </c>
      <c r="D621" s="10"/>
      <c r="E621" s="2" t="str">
        <f>"－"</f>
        <v>－</v>
      </c>
      <c r="F621" s="10"/>
      <c r="G621" s="2" t="str">
        <f>"－"</f>
        <v>－</v>
      </c>
      <c r="H621" s="10"/>
      <c r="I621" s="2" t="str">
        <f>"－"</f>
        <v>－</v>
      </c>
      <c r="J621" s="10"/>
      <c r="K621" s="2" t="str">
        <f>"－"</f>
        <v>－</v>
      </c>
    </row>
    <row r="622">
      <c r="A622" s="8" t="s">
        <v>35</v>
      </c>
      <c r="B622" s="9" t="s">
        <v>89</v>
      </c>
      <c r="C622" s="9" t="s">
        <v>90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36</v>
      </c>
      <c r="B623" s="9" t="s">
        <v>89</v>
      </c>
      <c r="C623" s="9" t="s">
        <v>90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37</v>
      </c>
      <c r="B624" s="9" t="s">
        <v>89</v>
      </c>
      <c r="C624" s="9" t="s">
        <v>90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39</v>
      </c>
      <c r="B625" s="9" t="s">
        <v>89</v>
      </c>
      <c r="C625" s="9" t="s">
        <v>90</v>
      </c>
      <c r="D625" s="10"/>
      <c r="E625" s="2"/>
      <c r="F625" s="10"/>
      <c r="G625" s="2"/>
      <c r="H625" s="10"/>
      <c r="I625" s="2"/>
      <c r="J625" s="10"/>
      <c r="K625" s="2"/>
    </row>
    <row r="626">
      <c r="A626" s="8" t="s">
        <v>40</v>
      </c>
      <c r="B626" s="9" t="s">
        <v>89</v>
      </c>
      <c r="C626" s="9" t="s">
        <v>90</v>
      </c>
      <c r="D626" s="10"/>
      <c r="E626" s="2"/>
      <c r="F626" s="10"/>
      <c r="G626" s="2"/>
      <c r="H626" s="10"/>
      <c r="I626" s="2"/>
      <c r="J626" s="10"/>
      <c r="K626" s="2"/>
    </row>
    <row r="627">
      <c r="A627" s="8" t="s">
        <v>41</v>
      </c>
      <c r="B627" s="9" t="s">
        <v>89</v>
      </c>
      <c r="C627" s="9" t="s">
        <v>90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42</v>
      </c>
      <c r="B628" s="9" t="s">
        <v>89</v>
      </c>
      <c r="C628" s="9" t="s">
        <v>90</v>
      </c>
      <c r="D628" s="10"/>
      <c r="E628" s="2" t="str">
        <f>"－"</f>
        <v>－</v>
      </c>
      <c r="F628" s="10"/>
      <c r="G628" s="2" t="str">
        <f>"－"</f>
        <v>－</v>
      </c>
      <c r="H628" s="10"/>
      <c r="I628" s="2" t="str">
        <f>"－"</f>
        <v>－</v>
      </c>
      <c r="J628" s="10"/>
      <c r="K628" s="2" t="str">
        <f>"－"</f>
        <v>－</v>
      </c>
    </row>
    <row r="629">
      <c r="A629" s="8" t="s">
        <v>43</v>
      </c>
      <c r="B629" s="9" t="s">
        <v>89</v>
      </c>
      <c r="C629" s="9" t="s">
        <v>90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44</v>
      </c>
      <c r="B630" s="9" t="s">
        <v>89</v>
      </c>
      <c r="C630" s="9" t="s">
        <v>90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45</v>
      </c>
      <c r="B631" s="9" t="s">
        <v>89</v>
      </c>
      <c r="C631" s="9" t="s">
        <v>90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46</v>
      </c>
      <c r="B632" s="9" t="s">
        <v>89</v>
      </c>
      <c r="C632" s="9" t="s">
        <v>90</v>
      </c>
      <c r="D632" s="10"/>
      <c r="E632" s="2"/>
      <c r="F632" s="10"/>
      <c r="G632" s="2"/>
      <c r="H632" s="10"/>
      <c r="I632" s="2"/>
      <c r="J632" s="10"/>
      <c r="K632" s="2"/>
    </row>
    <row r="633">
      <c r="A633" s="8" t="s">
        <v>47</v>
      </c>
      <c r="B633" s="9" t="s">
        <v>89</v>
      </c>
      <c r="C633" s="9" t="s">
        <v>90</v>
      </c>
      <c r="D633" s="10"/>
      <c r="E633" s="2"/>
      <c r="F633" s="10"/>
      <c r="G633" s="2"/>
      <c r="H633" s="10"/>
      <c r="I633" s="2"/>
      <c r="J633" s="10"/>
      <c r="K633" s="2"/>
    </row>
    <row r="634">
      <c r="A634" s="8" t="s">
        <v>48</v>
      </c>
      <c r="B634" s="9" t="s">
        <v>89</v>
      </c>
      <c r="C634" s="9" t="s">
        <v>90</v>
      </c>
      <c r="D634" s="10"/>
      <c r="E634" s="2"/>
      <c r="F634" s="10"/>
      <c r="G634" s="2"/>
      <c r="H634" s="10"/>
      <c r="I634" s="2"/>
      <c r="J634" s="10"/>
      <c r="K634" s="2"/>
    </row>
    <row r="635">
      <c r="A635" s="8" t="s">
        <v>49</v>
      </c>
      <c r="B635" s="9" t="s">
        <v>89</v>
      </c>
      <c r="C635" s="9" t="s">
        <v>90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