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<sst xmlns="http://schemas.openxmlformats.org/spreadsheetml/2006/main" count="2031" uniqueCount="91">
  <si>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</si>
  <si>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</si>
  <si>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</si>
  <si>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</si>
  <si>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</si>
  <si>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</si>
  <si>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</si>
  <si>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</si>
  <si>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</si>
  <si>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</si>
  <si>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</si>
  <si>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</si>
  <si>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</si>
  <si>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</si>
  <si>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</si>
  <si>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</si>
  <si>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11.1</t>
  </si>
  <si>
    <t>日経225先物</t>
  </si>
  <si>
    <t>Nikkei 225 Futures</t>
  </si>
  <si>
    <t>◎</t>
  </si>
  <si>
    <t>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</si>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</sst>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35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 t="n">
        <f>61120</f>
        <v>61120.0</v>
      </c>
      <c r="F6" s="10"/>
      <c r="G6" s="2" t="n">
        <f>2339678143140</f>
        <v>2.33967814314E12</v>
      </c>
      <c r="H6" s="10" t="s">
        <v>19</v>
      </c>
      <c r="I6" s="2" t="n">
        <f>9454</f>
        <v>9454.0</v>
      </c>
      <c r="J6" s="10" t="s">
        <v>20</v>
      </c>
      <c r="K6" s="2" t="n">
        <f>221547</f>
        <v>221547.0</v>
      </c>
    </row>
    <row r="7">
      <c r="A7" s="8" t="s">
        <v>21</v>
      </c>
      <c r="B7" s="9" t="s">
        <v>17</v>
      </c>
      <c r="C7" s="9" t="s">
        <v>18</v>
      </c>
      <c r="D7" s="10"/>
      <c r="E7" s="2"/>
      <c r="F7" s="10"/>
      <c r="G7" s="2"/>
      <c r="H7" s="10"/>
      <c r="I7" s="2"/>
      <c r="J7" s="10"/>
      <c r="K7" s="2"/>
    </row>
    <row r="8">
      <c r="A8" s="8" t="s">
        <v>22</v>
      </c>
      <c r="B8" s="9" t="s">
        <v>17</v>
      </c>
      <c r="C8" s="9" t="s">
        <v>18</v>
      </c>
      <c r="D8" s="10"/>
      <c r="E8" s="2"/>
      <c r="F8" s="10"/>
      <c r="G8" s="2"/>
      <c r="H8" s="10"/>
      <c r="I8" s="2"/>
      <c r="J8" s="10"/>
      <c r="K8" s="2"/>
    </row>
    <row r="9">
      <c r="A9" s="8" t="s">
        <v>23</v>
      </c>
      <c r="B9" s="9" t="s">
        <v>17</v>
      </c>
      <c r="C9" s="9" t="s">
        <v>18</v>
      </c>
      <c r="D9" s="10"/>
      <c r="E9" s="2"/>
      <c r="F9" s="10"/>
      <c r="G9" s="2"/>
      <c r="H9" s="10"/>
      <c r="I9" s="2"/>
      <c r="J9" s="10"/>
      <c r="K9" s="2"/>
    </row>
    <row r="10">
      <c r="A10" s="8" t="s">
        <v>24</v>
      </c>
      <c r="B10" s="9" t="s">
        <v>17</v>
      </c>
      <c r="C10" s="9" t="s">
        <v>18</v>
      </c>
      <c r="D10" s="10"/>
      <c r="E10" s="2" t="n">
        <f>38221</f>
        <v>38221.0</v>
      </c>
      <c r="F10" s="10"/>
      <c r="G10" s="2" t="n">
        <f>1471045088800</f>
        <v>1.4710450888E12</v>
      </c>
      <c r="H10" s="10"/>
      <c r="I10" s="2" t="n">
        <f>6480</f>
        <v>6480.0</v>
      </c>
      <c r="J10" s="10"/>
      <c r="K10" s="2" t="n">
        <f>227767</f>
        <v>227767.0</v>
      </c>
    </row>
    <row r="11">
      <c r="A11" s="8" t="s">
        <v>25</v>
      </c>
      <c r="B11" s="9" t="s">
        <v>17</v>
      </c>
      <c r="C11" s="9" t="s">
        <v>18</v>
      </c>
      <c r="D11" s="10" t="s">
        <v>19</v>
      </c>
      <c r="E11" s="2" t="n">
        <f>68525</f>
        <v>68525.0</v>
      </c>
      <c r="F11" s="10" t="s">
        <v>19</v>
      </c>
      <c r="G11" s="2" t="n">
        <f>2693203143448</f>
        <v>2.693203143448E12</v>
      </c>
      <c r="H11" s="10"/>
      <c r="I11" s="2" t="n">
        <f>6611</f>
        <v>6611.0</v>
      </c>
      <c r="J11" s="10"/>
      <c r="K11" s="2" t="n">
        <f>227784</f>
        <v>227784.0</v>
      </c>
    </row>
    <row r="12">
      <c r="A12" s="8" t="s">
        <v>26</v>
      </c>
      <c r="B12" s="9" t="s">
        <v>17</v>
      </c>
      <c r="C12" s="9" t="s">
        <v>18</v>
      </c>
      <c r="D12" s="10"/>
      <c r="E12" s="2" t="n">
        <f>62785</f>
        <v>62785.0</v>
      </c>
      <c r="F12" s="10"/>
      <c r="G12" s="2" t="n">
        <f>2483397395140</f>
        <v>2.48339739514E12</v>
      </c>
      <c r="H12" s="10"/>
      <c r="I12" s="2" t="n">
        <f>8665</f>
        <v>8665.0</v>
      </c>
      <c r="J12" s="10"/>
      <c r="K12" s="2" t="n">
        <f>228876</f>
        <v>228876.0</v>
      </c>
    </row>
    <row r="13">
      <c r="A13" s="8" t="s">
        <v>27</v>
      </c>
      <c r="B13" s="9" t="s">
        <v>17</v>
      </c>
      <c r="C13" s="9" t="s">
        <v>18</v>
      </c>
      <c r="D13" s="10"/>
      <c r="E13" s="2" t="n">
        <f>58570</f>
        <v>58570.0</v>
      </c>
      <c r="F13" s="10"/>
      <c r="G13" s="2" t="n">
        <f>2315654881980</f>
        <v>2.31565488198E12</v>
      </c>
      <c r="H13" s="10"/>
      <c r="I13" s="2" t="n">
        <f>6391</f>
        <v>6391.0</v>
      </c>
      <c r="J13" s="10"/>
      <c r="K13" s="2" t="n">
        <f>233204</f>
        <v>233204.0</v>
      </c>
    </row>
    <row r="14">
      <c r="A14" s="8" t="s">
        <v>28</v>
      </c>
      <c r="B14" s="9" t="s">
        <v>17</v>
      </c>
      <c r="C14" s="9" t="s">
        <v>18</v>
      </c>
      <c r="D14" s="10"/>
      <c r="E14" s="2"/>
      <c r="F14" s="10"/>
      <c r="G14" s="2"/>
      <c r="H14" s="10"/>
      <c r="I14" s="2"/>
      <c r="J14" s="10"/>
      <c r="K14" s="2"/>
    </row>
    <row r="15">
      <c r="A15" s="8" t="s">
        <v>29</v>
      </c>
      <c r="B15" s="9" t="s">
        <v>17</v>
      </c>
      <c r="C15" s="9" t="s">
        <v>18</v>
      </c>
      <c r="D15" s="10"/>
      <c r="E15" s="2"/>
      <c r="F15" s="10"/>
      <c r="G15" s="2"/>
      <c r="H15" s="10"/>
      <c r="I15" s="2"/>
      <c r="J15" s="10"/>
      <c r="K15" s="2"/>
    </row>
    <row r="16">
      <c r="A16" s="8" t="s">
        <v>30</v>
      </c>
      <c r="B16" s="9" t="s">
        <v>17</v>
      </c>
      <c r="C16" s="9" t="s">
        <v>18</v>
      </c>
      <c r="D16" s="10"/>
      <c r="E16" s="2" t="n">
        <f>35074</f>
        <v>35074.0</v>
      </c>
      <c r="F16" s="10"/>
      <c r="G16" s="2" t="n">
        <f>1380537008080</f>
        <v>1.38053700808E12</v>
      </c>
      <c r="H16" s="10"/>
      <c r="I16" s="2" t="n">
        <f>5174</f>
        <v>5174.0</v>
      </c>
      <c r="J16" s="10"/>
      <c r="K16" s="2" t="n">
        <f>233032</f>
        <v>233032.0</v>
      </c>
    </row>
    <row r="17">
      <c r="A17" s="8" t="s">
        <v>31</v>
      </c>
      <c r="B17" s="9" t="s">
        <v>17</v>
      </c>
      <c r="C17" s="9" t="s">
        <v>18</v>
      </c>
      <c r="D17" s="10"/>
      <c r="E17" s="2" t="n">
        <f>43812</f>
        <v>43812.0</v>
      </c>
      <c r="F17" s="10"/>
      <c r="G17" s="2" t="n">
        <f>1730992076004</f>
        <v>1.730992076004E12</v>
      </c>
      <c r="H17" s="10"/>
      <c r="I17" s="2" t="n">
        <f>5248</f>
        <v>5248.0</v>
      </c>
      <c r="J17" s="10"/>
      <c r="K17" s="2" t="n">
        <f>238170</f>
        <v>238170.0</v>
      </c>
    </row>
    <row r="18">
      <c r="A18" s="8" t="s">
        <v>32</v>
      </c>
      <c r="B18" s="9" t="s">
        <v>17</v>
      </c>
      <c r="C18" s="9" t="s">
        <v>18</v>
      </c>
      <c r="D18" s="10"/>
      <c r="E18" s="2" t="n">
        <f>48992</f>
        <v>48992.0</v>
      </c>
      <c r="F18" s="10"/>
      <c r="G18" s="2" t="n">
        <f>1911700645780</f>
        <v>1.91170064578E12</v>
      </c>
      <c r="H18" s="10"/>
      <c r="I18" s="2" t="n">
        <f>7690</f>
        <v>7690.0</v>
      </c>
      <c r="J18" s="10"/>
      <c r="K18" s="2" t="n">
        <f>233341</f>
        <v>233341.0</v>
      </c>
    </row>
    <row r="19">
      <c r="A19" s="8" t="s">
        <v>33</v>
      </c>
      <c r="B19" s="9" t="s">
        <v>17</v>
      </c>
      <c r="C19" s="9" t="s">
        <v>18</v>
      </c>
      <c r="D19" s="10"/>
      <c r="E19" s="2" t="n">
        <f>39031</f>
        <v>39031.0</v>
      </c>
      <c r="F19" s="10"/>
      <c r="G19" s="2" t="n">
        <f>1512877793300</f>
        <v>1.5128777933E12</v>
      </c>
      <c r="H19" s="10"/>
      <c r="I19" s="2" t="n">
        <f>6705</f>
        <v>6705.0</v>
      </c>
      <c r="J19" s="10"/>
      <c r="K19" s="2" t="n">
        <f>234551</f>
        <v>234551.0</v>
      </c>
    </row>
    <row r="20">
      <c r="A20" s="8" t="s">
        <v>34</v>
      </c>
      <c r="B20" s="9" t="s">
        <v>17</v>
      </c>
      <c r="C20" s="9" t="s">
        <v>18</v>
      </c>
      <c r="D20" s="10"/>
      <c r="E20" s="2" t="n">
        <f>47872</f>
        <v>47872.0</v>
      </c>
      <c r="F20" s="10"/>
      <c r="G20" s="2" t="n">
        <f>1860149308960</f>
        <v>1.86014930896E12</v>
      </c>
      <c r="H20" s="10"/>
      <c r="I20" s="2" t="n">
        <f>5754</f>
        <v>5754.0</v>
      </c>
      <c r="J20" s="10"/>
      <c r="K20" s="2" t="n">
        <f>242075</f>
        <v>242075.0</v>
      </c>
    </row>
    <row r="21">
      <c r="A21" s="8" t="s">
        <v>35</v>
      </c>
      <c r="B21" s="9" t="s">
        <v>17</v>
      </c>
      <c r="C21" s="9" t="s">
        <v>18</v>
      </c>
      <c r="D21" s="10"/>
      <c r="E21" s="2"/>
      <c r="F21" s="10"/>
      <c r="G21" s="2"/>
      <c r="H21" s="10"/>
      <c r="I21" s="2"/>
      <c r="J21" s="10"/>
      <c r="K21" s="2"/>
    </row>
    <row r="22">
      <c r="A22" s="8" t="s">
        <v>36</v>
      </c>
      <c r="B22" s="9" t="s">
        <v>17</v>
      </c>
      <c r="C22" s="9" t="s">
        <v>18</v>
      </c>
      <c r="D22" s="10"/>
      <c r="E22" s="2"/>
      <c r="F22" s="10"/>
      <c r="G22" s="2"/>
      <c r="H22" s="10"/>
      <c r="I22" s="2"/>
      <c r="J22" s="10"/>
      <c r="K22" s="2"/>
    </row>
    <row r="23">
      <c r="A23" s="8" t="s">
        <v>37</v>
      </c>
      <c r="B23" s="9" t="s">
        <v>17</v>
      </c>
      <c r="C23" s="9" t="s">
        <v>18</v>
      </c>
      <c r="D23" s="10"/>
      <c r="E23" s="2" t="n">
        <f>48992</f>
        <v>48992.0</v>
      </c>
      <c r="F23" s="10"/>
      <c r="G23" s="2" t="n">
        <f>1877000147378</f>
        <v>1.877000147378E12</v>
      </c>
      <c r="H23" s="10"/>
      <c r="I23" s="2" t="n">
        <f>7067</f>
        <v>7067.0</v>
      </c>
      <c r="J23" s="10" t="s">
        <v>19</v>
      </c>
      <c r="K23" s="2" t="n">
        <f>253106</f>
        <v>253106.0</v>
      </c>
    </row>
    <row r="24">
      <c r="A24" s="8" t="s">
        <v>38</v>
      </c>
      <c r="B24" s="9" t="s">
        <v>17</v>
      </c>
      <c r="C24" s="9" t="s">
        <v>18</v>
      </c>
      <c r="D24" s="10" t="s">
        <v>20</v>
      </c>
      <c r="E24" s="2" t="n">
        <f>31349</f>
        <v>31349.0</v>
      </c>
      <c r="F24" s="10" t="s">
        <v>20</v>
      </c>
      <c r="G24" s="2" t="n">
        <f>1203377403580</f>
        <v>1.20337740358E12</v>
      </c>
      <c r="H24" s="10"/>
      <c r="I24" s="2" t="n">
        <f>3648</f>
        <v>3648.0</v>
      </c>
      <c r="J24" s="10"/>
      <c r="K24" s="2" t="n">
        <f>244538</f>
        <v>244538.0</v>
      </c>
    </row>
    <row r="25">
      <c r="A25" s="8" t="s">
        <v>39</v>
      </c>
      <c r="B25" s="9" t="s">
        <v>17</v>
      </c>
      <c r="C25" s="9" t="s">
        <v>18</v>
      </c>
      <c r="D25" s="10"/>
      <c r="E25" s="2" t="n">
        <f>42064</f>
        <v>42064.0</v>
      </c>
      <c r="F25" s="10"/>
      <c r="G25" s="2" t="n">
        <f>1606696034510</f>
        <v>1.60669603451E12</v>
      </c>
      <c r="H25" s="10"/>
      <c r="I25" s="2" t="n">
        <f>5055</f>
        <v>5055.0</v>
      </c>
      <c r="J25" s="10"/>
      <c r="K25" s="2" t="n">
        <f>245698</f>
        <v>245698.0</v>
      </c>
    </row>
    <row r="26">
      <c r="A26" s="8" t="s">
        <v>40</v>
      </c>
      <c r="B26" s="9" t="s">
        <v>17</v>
      </c>
      <c r="C26" s="9" t="s">
        <v>18</v>
      </c>
      <c r="D26" s="10"/>
      <c r="E26" s="2" t="n">
        <f>36720</f>
        <v>36720.0</v>
      </c>
      <c r="F26" s="10"/>
      <c r="G26" s="2" t="n">
        <f>1399430645690</f>
        <v>1.39943064569E12</v>
      </c>
      <c r="H26" s="10"/>
      <c r="I26" s="2" t="n">
        <f>4723</f>
        <v>4723.0</v>
      </c>
      <c r="J26" s="10"/>
      <c r="K26" s="2" t="n">
        <f>245481</f>
        <v>245481.0</v>
      </c>
    </row>
    <row r="27">
      <c r="A27" s="8" t="s">
        <v>41</v>
      </c>
      <c r="B27" s="9" t="s">
        <v>17</v>
      </c>
      <c r="C27" s="9" t="s">
        <v>18</v>
      </c>
      <c r="D27" s="10"/>
      <c r="E27" s="2" t="n">
        <f>43900</f>
        <v>43900.0</v>
      </c>
      <c r="F27" s="10"/>
      <c r="G27" s="2" t="n">
        <f>1676390212090</f>
        <v>1.67639021209E12</v>
      </c>
      <c r="H27" s="10"/>
      <c r="I27" s="2" t="n">
        <f>4583</f>
        <v>4583.0</v>
      </c>
      <c r="J27" s="10"/>
      <c r="K27" s="2" t="n">
        <f>246924</f>
        <v>246924.0</v>
      </c>
    </row>
    <row r="28">
      <c r="A28" s="8" t="s">
        <v>42</v>
      </c>
      <c r="B28" s="9" t="s">
        <v>17</v>
      </c>
      <c r="C28" s="9" t="s">
        <v>18</v>
      </c>
      <c r="D28" s="10"/>
      <c r="E28" s="2"/>
      <c r="F28" s="10"/>
      <c r="G28" s="2"/>
      <c r="H28" s="10"/>
      <c r="I28" s="2"/>
      <c r="J28" s="10"/>
      <c r="K28" s="2"/>
    </row>
    <row r="29">
      <c r="A29" s="8" t="s">
        <v>43</v>
      </c>
      <c r="B29" s="9" t="s">
        <v>17</v>
      </c>
      <c r="C29" s="9" t="s">
        <v>18</v>
      </c>
      <c r="D29" s="10"/>
      <c r="E29" s="2"/>
      <c r="F29" s="10"/>
      <c r="G29" s="2"/>
      <c r="H29" s="10"/>
      <c r="I29" s="2"/>
      <c r="J29" s="10"/>
      <c r="K29" s="2"/>
    </row>
    <row r="30">
      <c r="A30" s="8" t="s">
        <v>44</v>
      </c>
      <c r="B30" s="9" t="s">
        <v>17</v>
      </c>
      <c r="C30" s="9" t="s">
        <v>18</v>
      </c>
      <c r="D30" s="10"/>
      <c r="E30" s="2" t="n">
        <f>46457</f>
        <v>46457.0</v>
      </c>
      <c r="F30" s="10"/>
      <c r="G30" s="2" t="n">
        <f>1797403737660</f>
        <v>1.79740373766E12</v>
      </c>
      <c r="H30" s="10"/>
      <c r="I30" s="2" t="n">
        <f>6934</f>
        <v>6934.0</v>
      </c>
      <c r="J30" s="10"/>
      <c r="K30" s="2" t="n">
        <f>249101</f>
        <v>249101.0</v>
      </c>
    </row>
    <row r="31">
      <c r="A31" s="8" t="s">
        <v>45</v>
      </c>
      <c r="B31" s="9" t="s">
        <v>17</v>
      </c>
      <c r="C31" s="9" t="s">
        <v>18</v>
      </c>
      <c r="D31" s="10"/>
      <c r="E31" s="2" t="n">
        <f>49397</f>
        <v>49397.0</v>
      </c>
      <c r="F31" s="10"/>
      <c r="G31" s="2" t="n">
        <f>1896409242840</f>
        <v>1.89640924284E12</v>
      </c>
      <c r="H31" s="10"/>
      <c r="I31" s="2" t="n">
        <f>6743</f>
        <v>6743.0</v>
      </c>
      <c r="J31" s="10"/>
      <c r="K31" s="2" t="n">
        <f>248500</f>
        <v>248500.0</v>
      </c>
    </row>
    <row r="32">
      <c r="A32" s="8" t="s">
        <v>46</v>
      </c>
      <c r="B32" s="9" t="s">
        <v>17</v>
      </c>
      <c r="C32" s="9" t="s">
        <v>18</v>
      </c>
      <c r="D32" s="10"/>
      <c r="E32" s="2" t="n">
        <f>33974</f>
        <v>33974.0</v>
      </c>
      <c r="F32" s="10"/>
      <c r="G32" s="2" t="n">
        <f>1298470632820</f>
        <v>1.29847063282E12</v>
      </c>
      <c r="H32" s="10"/>
      <c r="I32" s="2" t="n">
        <f>4500</f>
        <v>4500.0</v>
      </c>
      <c r="J32" s="10"/>
      <c r="K32" s="2" t="n">
        <f>248102</f>
        <v>248102.0</v>
      </c>
    </row>
    <row r="33">
      <c r="A33" s="8" t="s">
        <v>47</v>
      </c>
      <c r="B33" s="9" t="s">
        <v>17</v>
      </c>
      <c r="C33" s="9" t="s">
        <v>18</v>
      </c>
      <c r="D33" s="10"/>
      <c r="E33" s="2" t="n">
        <f>60455</f>
        <v>60455.0</v>
      </c>
      <c r="F33" s="10"/>
      <c r="G33" s="2" t="n">
        <f>2307780417400</f>
        <v>2.3077804174E12</v>
      </c>
      <c r="H33" s="10"/>
      <c r="I33" s="2" t="n">
        <f>6747</f>
        <v>6747.0</v>
      </c>
      <c r="J33" s="10"/>
      <c r="K33" s="2" t="n">
        <f>248174</f>
        <v>248174.0</v>
      </c>
    </row>
    <row r="34">
      <c r="A34" s="8" t="s">
        <v>48</v>
      </c>
      <c r="B34" s="9" t="s">
        <v>17</v>
      </c>
      <c r="C34" s="9" t="s">
        <v>18</v>
      </c>
      <c r="D34" s="10"/>
      <c r="E34" s="2" t="n">
        <f>43949</f>
        <v>43949.0</v>
      </c>
      <c r="F34" s="10"/>
      <c r="G34" s="2" t="n">
        <f>1678465366572</f>
        <v>1.678465366572E12</v>
      </c>
      <c r="H34" s="10" t="s">
        <v>20</v>
      </c>
      <c r="I34" s="2" t="n">
        <f>3489</f>
        <v>3489.0</v>
      </c>
      <c r="J34" s="10"/>
      <c r="K34" s="2" t="n">
        <f>248317</f>
        <v>248317.0</v>
      </c>
    </row>
    <row r="35">
      <c r="A35" s="8" t="s">
        <v>49</v>
      </c>
      <c r="B35" s="9" t="s">
        <v>17</v>
      </c>
      <c r="C35" s="9" t="s">
        <v>18</v>
      </c>
      <c r="D35" s="10"/>
      <c r="E35" s="2"/>
      <c r="F35" s="10"/>
      <c r="G35" s="2"/>
      <c r="H35" s="10"/>
      <c r="I35" s="2"/>
      <c r="J35" s="10"/>
      <c r="K35" s="2"/>
    </row>
    <row r="36">
      <c r="A36" s="8" t="s">
        <v>16</v>
      </c>
      <c r="B36" s="9" t="s">
        <v>50</v>
      </c>
      <c r="C36" s="9" t="s">
        <v>51</v>
      </c>
      <c r="D36" s="10"/>
      <c r="E36" s="2" t="n">
        <f>837678</f>
        <v>837678.0</v>
      </c>
      <c r="F36" s="10"/>
      <c r="G36" s="2" t="n">
        <f>3211819407534</f>
        <v>3.211819407534E12</v>
      </c>
      <c r="H36" s="10"/>
      <c r="I36" s="2" t="n">
        <f>128709</f>
        <v>128709.0</v>
      </c>
      <c r="J36" s="10"/>
      <c r="K36" s="2" t="n">
        <f>365534</f>
        <v>365534.0</v>
      </c>
    </row>
    <row r="37">
      <c r="A37" s="8" t="s">
        <v>21</v>
      </c>
      <c r="B37" s="9" t="s">
        <v>50</v>
      </c>
      <c r="C37" s="9" t="s">
        <v>51</v>
      </c>
      <c r="D37" s="10"/>
      <c r="E37" s="2"/>
      <c r="F37" s="10"/>
      <c r="G37" s="2"/>
      <c r="H37" s="10"/>
      <c r="I37" s="2"/>
      <c r="J37" s="10"/>
      <c r="K37" s="2"/>
    </row>
    <row r="38">
      <c r="A38" s="8" t="s">
        <v>22</v>
      </c>
      <c r="B38" s="9" t="s">
        <v>50</v>
      </c>
      <c r="C38" s="9" t="s">
        <v>51</v>
      </c>
      <c r="D38" s="10"/>
      <c r="E38" s="2"/>
      <c r="F38" s="10"/>
      <c r="G38" s="2"/>
      <c r="H38" s="10"/>
      <c r="I38" s="2"/>
      <c r="J38" s="10"/>
      <c r="K38" s="2"/>
    </row>
    <row r="39">
      <c r="A39" s="8" t="s">
        <v>23</v>
      </c>
      <c r="B39" s="9" t="s">
        <v>50</v>
      </c>
      <c r="C39" s="9" t="s">
        <v>51</v>
      </c>
      <c r="D39" s="10"/>
      <c r="E39" s="2"/>
      <c r="F39" s="10"/>
      <c r="G39" s="2"/>
      <c r="H39" s="10"/>
      <c r="I39" s="2"/>
      <c r="J39" s="10"/>
      <c r="K39" s="2"/>
    </row>
    <row r="40">
      <c r="A40" s="8" t="s">
        <v>24</v>
      </c>
      <c r="B40" s="9" t="s">
        <v>50</v>
      </c>
      <c r="C40" s="9" t="s">
        <v>51</v>
      </c>
      <c r="D40" s="10"/>
      <c r="E40" s="2" t="n">
        <f>663518</f>
        <v>663518.0</v>
      </c>
      <c r="F40" s="10"/>
      <c r="G40" s="2" t="n">
        <f>2552156710071</f>
        <v>2.552156710071E12</v>
      </c>
      <c r="H40" s="10"/>
      <c r="I40" s="2" t="n">
        <f>103866</f>
        <v>103866.0</v>
      </c>
      <c r="J40" s="10"/>
      <c r="K40" s="2" t="n">
        <f>364634</f>
        <v>364634.0</v>
      </c>
    </row>
    <row r="41">
      <c r="A41" s="8" t="s">
        <v>25</v>
      </c>
      <c r="B41" s="9" t="s">
        <v>50</v>
      </c>
      <c r="C41" s="9" t="s">
        <v>51</v>
      </c>
      <c r="D41" s="10" t="s">
        <v>19</v>
      </c>
      <c r="E41" s="2" t="n">
        <f>1129037</f>
        <v>1129037.0</v>
      </c>
      <c r="F41" s="10" t="s">
        <v>19</v>
      </c>
      <c r="G41" s="2" t="n">
        <f>4429625524423</f>
        <v>4.429625524423E12</v>
      </c>
      <c r="H41" s="10"/>
      <c r="I41" s="2" t="n">
        <f>129232</f>
        <v>129232.0</v>
      </c>
      <c r="J41" s="10"/>
      <c r="K41" s="2" t="n">
        <f>381864</f>
        <v>381864.0</v>
      </c>
    </row>
    <row r="42">
      <c r="A42" s="8" t="s">
        <v>26</v>
      </c>
      <c r="B42" s="9" t="s">
        <v>50</v>
      </c>
      <c r="C42" s="9" t="s">
        <v>51</v>
      </c>
      <c r="D42" s="10"/>
      <c r="E42" s="2" t="n">
        <f>1109879</f>
        <v>1109879.0</v>
      </c>
      <c r="F42" s="10"/>
      <c r="G42" s="2" t="n">
        <f>4399862028045</f>
        <v>4.399862028045E12</v>
      </c>
      <c r="H42" s="10"/>
      <c r="I42" s="2" t="n">
        <f>145950</f>
        <v>145950.0</v>
      </c>
      <c r="J42" s="10"/>
      <c r="K42" s="2" t="n">
        <f>408904</f>
        <v>408904.0</v>
      </c>
    </row>
    <row r="43">
      <c r="A43" s="8" t="s">
        <v>27</v>
      </c>
      <c r="B43" s="9" t="s">
        <v>50</v>
      </c>
      <c r="C43" s="9" t="s">
        <v>51</v>
      </c>
      <c r="D43" s="10"/>
      <c r="E43" s="2" t="n">
        <f>674685</f>
        <v>674685.0</v>
      </c>
      <c r="F43" s="10"/>
      <c r="G43" s="2" t="n">
        <f>2666532593180</f>
        <v>2.66653259318E12</v>
      </c>
      <c r="H43" s="10"/>
      <c r="I43" s="2" t="n">
        <f>120155</f>
        <v>120155.0</v>
      </c>
      <c r="J43" s="10"/>
      <c r="K43" s="2" t="n">
        <f>409703</f>
        <v>409703.0</v>
      </c>
    </row>
    <row r="44">
      <c r="A44" s="8" t="s">
        <v>28</v>
      </c>
      <c r="B44" s="9" t="s">
        <v>50</v>
      </c>
      <c r="C44" s="9" t="s">
        <v>51</v>
      </c>
      <c r="D44" s="10"/>
      <c r="E44" s="2"/>
      <c r="F44" s="10"/>
      <c r="G44" s="2"/>
      <c r="H44" s="10"/>
      <c r="I44" s="2"/>
      <c r="J44" s="10"/>
      <c r="K44" s="2"/>
    </row>
    <row r="45">
      <c r="A45" s="8" t="s">
        <v>29</v>
      </c>
      <c r="B45" s="9" t="s">
        <v>50</v>
      </c>
      <c r="C45" s="9" t="s">
        <v>51</v>
      </c>
      <c r="D45" s="10"/>
      <c r="E45" s="2"/>
      <c r="F45" s="10"/>
      <c r="G45" s="2"/>
      <c r="H45" s="10"/>
      <c r="I45" s="2"/>
      <c r="J45" s="10"/>
      <c r="K45" s="2"/>
    </row>
    <row r="46">
      <c r="A46" s="8" t="s">
        <v>30</v>
      </c>
      <c r="B46" s="9" t="s">
        <v>50</v>
      </c>
      <c r="C46" s="9" t="s">
        <v>51</v>
      </c>
      <c r="D46" s="10"/>
      <c r="E46" s="2" t="n">
        <f>627348</f>
        <v>627348.0</v>
      </c>
      <c r="F46" s="10"/>
      <c r="G46" s="2" t="n">
        <f>2467959062330</f>
        <v>2.46795906233E12</v>
      </c>
      <c r="H46" s="10"/>
      <c r="I46" s="2" t="n">
        <f>114407</f>
        <v>114407.0</v>
      </c>
      <c r="J46" s="10" t="s">
        <v>20</v>
      </c>
      <c r="K46" s="2" t="n">
        <f>325646</f>
        <v>325646.0</v>
      </c>
    </row>
    <row r="47">
      <c r="A47" s="8" t="s">
        <v>31</v>
      </c>
      <c r="B47" s="9" t="s">
        <v>50</v>
      </c>
      <c r="C47" s="9" t="s">
        <v>51</v>
      </c>
      <c r="D47" s="10"/>
      <c r="E47" s="2" t="n">
        <f>729314</f>
        <v>729314.0</v>
      </c>
      <c r="F47" s="10"/>
      <c r="G47" s="2" t="n">
        <f>2885480661154</f>
        <v>2.885480661154E12</v>
      </c>
      <c r="H47" s="10"/>
      <c r="I47" s="2" t="n">
        <f>129899</f>
        <v>129899.0</v>
      </c>
      <c r="J47" s="10"/>
      <c r="K47" s="2" t="n">
        <f>343713</f>
        <v>343713.0</v>
      </c>
    </row>
    <row r="48">
      <c r="A48" s="8" t="s">
        <v>32</v>
      </c>
      <c r="B48" s="9" t="s">
        <v>50</v>
      </c>
      <c r="C48" s="9" t="s">
        <v>51</v>
      </c>
      <c r="D48" s="10"/>
      <c r="E48" s="2" t="n">
        <f>751596</f>
        <v>751596.0</v>
      </c>
      <c r="F48" s="10"/>
      <c r="G48" s="2" t="n">
        <f>2937338289694</f>
        <v>2.937338289694E12</v>
      </c>
      <c r="H48" s="10"/>
      <c r="I48" s="2" t="n">
        <f>144328</f>
        <v>144328.0</v>
      </c>
      <c r="J48" s="10"/>
      <c r="K48" s="2" t="n">
        <f>335597</f>
        <v>335597.0</v>
      </c>
    </row>
    <row r="49">
      <c r="A49" s="8" t="s">
        <v>33</v>
      </c>
      <c r="B49" s="9" t="s">
        <v>50</v>
      </c>
      <c r="C49" s="9" t="s">
        <v>51</v>
      </c>
      <c r="D49" s="10"/>
      <c r="E49" s="2" t="n">
        <f>686358</f>
        <v>686358.0</v>
      </c>
      <c r="F49" s="10"/>
      <c r="G49" s="2" t="n">
        <f>2663358152782</f>
        <v>2.663358152782E12</v>
      </c>
      <c r="H49" s="10"/>
      <c r="I49" s="2" t="n">
        <f>134176</f>
        <v>134176.0</v>
      </c>
      <c r="J49" s="10"/>
      <c r="K49" s="2" t="n">
        <f>337104</f>
        <v>337104.0</v>
      </c>
    </row>
    <row r="50">
      <c r="A50" s="8" t="s">
        <v>34</v>
      </c>
      <c r="B50" s="9" t="s">
        <v>50</v>
      </c>
      <c r="C50" s="9" t="s">
        <v>51</v>
      </c>
      <c r="D50" s="10"/>
      <c r="E50" s="2" t="n">
        <f>632754</f>
        <v>632754.0</v>
      </c>
      <c r="F50" s="10"/>
      <c r="G50" s="2" t="n">
        <f>2460231938029</f>
        <v>2.460231938029E12</v>
      </c>
      <c r="H50" s="10"/>
      <c r="I50" s="2" t="n">
        <f>109519</f>
        <v>109519.0</v>
      </c>
      <c r="J50" s="10"/>
      <c r="K50" s="2" t="n">
        <f>343826</f>
        <v>343826.0</v>
      </c>
    </row>
    <row r="51">
      <c r="A51" s="8" t="s">
        <v>35</v>
      </c>
      <c r="B51" s="9" t="s">
        <v>50</v>
      </c>
      <c r="C51" s="9" t="s">
        <v>51</v>
      </c>
      <c r="D51" s="10"/>
      <c r="E51" s="2"/>
      <c r="F51" s="10"/>
      <c r="G51" s="2"/>
      <c r="H51" s="10"/>
      <c r="I51" s="2"/>
      <c r="J51" s="10"/>
      <c r="K51" s="2"/>
    </row>
    <row r="52">
      <c r="A52" s="8" t="s">
        <v>36</v>
      </c>
      <c r="B52" s="9" t="s">
        <v>50</v>
      </c>
      <c r="C52" s="9" t="s">
        <v>51</v>
      </c>
      <c r="D52" s="10"/>
      <c r="E52" s="2"/>
      <c r="F52" s="10"/>
      <c r="G52" s="2"/>
      <c r="H52" s="10"/>
      <c r="I52" s="2"/>
      <c r="J52" s="10"/>
      <c r="K52" s="2"/>
    </row>
    <row r="53">
      <c r="A53" s="8" t="s">
        <v>37</v>
      </c>
      <c r="B53" s="9" t="s">
        <v>50</v>
      </c>
      <c r="C53" s="9" t="s">
        <v>51</v>
      </c>
      <c r="D53" s="10"/>
      <c r="E53" s="2" t="n">
        <f>737400</f>
        <v>737400.0</v>
      </c>
      <c r="F53" s="10"/>
      <c r="G53" s="2" t="n">
        <f>2824486406819</f>
        <v>2.824486406819E12</v>
      </c>
      <c r="H53" s="10"/>
      <c r="I53" s="2" t="n">
        <f>136035</f>
        <v>136035.0</v>
      </c>
      <c r="J53" s="10" t="s">
        <v>19</v>
      </c>
      <c r="K53" s="2" t="n">
        <f>488103</f>
        <v>488103.0</v>
      </c>
    </row>
    <row r="54">
      <c r="A54" s="8" t="s">
        <v>38</v>
      </c>
      <c r="B54" s="9" t="s">
        <v>50</v>
      </c>
      <c r="C54" s="9" t="s">
        <v>51</v>
      </c>
      <c r="D54" s="10" t="s">
        <v>20</v>
      </c>
      <c r="E54" s="2" t="n">
        <f>529385</f>
        <v>529385.0</v>
      </c>
      <c r="F54" s="10" t="s">
        <v>20</v>
      </c>
      <c r="G54" s="2" t="n">
        <f>2031639309959</f>
        <v>2.031639309959E12</v>
      </c>
      <c r="H54" s="10"/>
      <c r="I54" s="2" t="n">
        <f>100086</f>
        <v>100086.0</v>
      </c>
      <c r="J54" s="10"/>
      <c r="K54" s="2" t="n">
        <f>351780</f>
        <v>351780.0</v>
      </c>
    </row>
    <row r="55">
      <c r="A55" s="8" t="s">
        <v>39</v>
      </c>
      <c r="B55" s="9" t="s">
        <v>50</v>
      </c>
      <c r="C55" s="9" t="s">
        <v>51</v>
      </c>
      <c r="D55" s="10"/>
      <c r="E55" s="2" t="n">
        <f>763513</f>
        <v>763513.0</v>
      </c>
      <c r="F55" s="10"/>
      <c r="G55" s="2" t="n">
        <f>2913907484280</f>
        <v>2.91390748428E12</v>
      </c>
      <c r="H55" s="10"/>
      <c r="I55" s="2" t="n">
        <f>137979</f>
        <v>137979.0</v>
      </c>
      <c r="J55" s="10"/>
      <c r="K55" s="2" t="n">
        <f>355454</f>
        <v>355454.0</v>
      </c>
    </row>
    <row r="56">
      <c r="A56" s="8" t="s">
        <v>40</v>
      </c>
      <c r="B56" s="9" t="s">
        <v>50</v>
      </c>
      <c r="C56" s="9" t="s">
        <v>51</v>
      </c>
      <c r="D56" s="10"/>
      <c r="E56" s="2" t="n">
        <f>612282</f>
        <v>612282.0</v>
      </c>
      <c r="F56" s="10"/>
      <c r="G56" s="2" t="n">
        <f>2334813352170</f>
        <v>2.33481335217E12</v>
      </c>
      <c r="H56" s="10"/>
      <c r="I56" s="2" t="n">
        <f>118914</f>
        <v>118914.0</v>
      </c>
      <c r="J56" s="10"/>
      <c r="K56" s="2" t="n">
        <f>364589</f>
        <v>364589.0</v>
      </c>
    </row>
    <row r="57">
      <c r="A57" s="8" t="s">
        <v>41</v>
      </c>
      <c r="B57" s="9" t="s">
        <v>50</v>
      </c>
      <c r="C57" s="9" t="s">
        <v>51</v>
      </c>
      <c r="D57" s="10"/>
      <c r="E57" s="2" t="n">
        <f>798270</f>
        <v>798270.0</v>
      </c>
      <c r="F57" s="10"/>
      <c r="G57" s="2" t="n">
        <f>3045922002478</f>
        <v>3.045922002478E12</v>
      </c>
      <c r="H57" s="10" t="s">
        <v>19</v>
      </c>
      <c r="I57" s="2" t="n">
        <f>152726</f>
        <v>152726.0</v>
      </c>
      <c r="J57" s="10"/>
      <c r="K57" s="2" t="n">
        <f>370153</f>
        <v>370153.0</v>
      </c>
    </row>
    <row r="58">
      <c r="A58" s="8" t="s">
        <v>42</v>
      </c>
      <c r="B58" s="9" t="s">
        <v>50</v>
      </c>
      <c r="C58" s="9" t="s">
        <v>51</v>
      </c>
      <c r="D58" s="10"/>
      <c r="E58" s="2"/>
      <c r="F58" s="10"/>
      <c r="G58" s="2"/>
      <c r="H58" s="10"/>
      <c r="I58" s="2"/>
      <c r="J58" s="10"/>
      <c r="K58" s="2"/>
    </row>
    <row r="59">
      <c r="A59" s="8" t="s">
        <v>43</v>
      </c>
      <c r="B59" s="9" t="s">
        <v>50</v>
      </c>
      <c r="C59" s="9" t="s">
        <v>51</v>
      </c>
      <c r="D59" s="10"/>
      <c r="E59" s="2"/>
      <c r="F59" s="10"/>
      <c r="G59" s="2"/>
      <c r="H59" s="10"/>
      <c r="I59" s="2"/>
      <c r="J59" s="10"/>
      <c r="K59" s="2"/>
    </row>
    <row r="60">
      <c r="A60" s="8" t="s">
        <v>44</v>
      </c>
      <c r="B60" s="9" t="s">
        <v>50</v>
      </c>
      <c r="C60" s="9" t="s">
        <v>51</v>
      </c>
      <c r="D60" s="10"/>
      <c r="E60" s="2" t="n">
        <f>761961</f>
        <v>761961.0</v>
      </c>
      <c r="F60" s="10"/>
      <c r="G60" s="2" t="n">
        <f>2944203764310</f>
        <v>2.94420376431E12</v>
      </c>
      <c r="H60" s="10"/>
      <c r="I60" s="2" t="n">
        <f>134401</f>
        <v>134401.0</v>
      </c>
      <c r="J60" s="10"/>
      <c r="K60" s="2" t="n">
        <f>372653</f>
        <v>372653.0</v>
      </c>
    </row>
    <row r="61">
      <c r="A61" s="8" t="s">
        <v>45</v>
      </c>
      <c r="B61" s="9" t="s">
        <v>50</v>
      </c>
      <c r="C61" s="9" t="s">
        <v>51</v>
      </c>
      <c r="D61" s="10"/>
      <c r="E61" s="2" t="n">
        <f>770830</f>
        <v>770830.0</v>
      </c>
      <c r="F61" s="10"/>
      <c r="G61" s="2" t="n">
        <f>2964125514820</f>
        <v>2.96412551482E12</v>
      </c>
      <c r="H61" s="10"/>
      <c r="I61" s="2" t="n">
        <f>131635</f>
        <v>131635.0</v>
      </c>
      <c r="J61" s="10"/>
      <c r="K61" s="2" t="n">
        <f>384368</f>
        <v>384368.0</v>
      </c>
    </row>
    <row r="62">
      <c r="A62" s="8" t="s">
        <v>46</v>
      </c>
      <c r="B62" s="9" t="s">
        <v>50</v>
      </c>
      <c r="C62" s="9" t="s">
        <v>51</v>
      </c>
      <c r="D62" s="10"/>
      <c r="E62" s="2" t="n">
        <f>641766</f>
        <v>641766.0</v>
      </c>
      <c r="F62" s="10"/>
      <c r="G62" s="2" t="n">
        <f>2455489492440</f>
        <v>2.45548949244E12</v>
      </c>
      <c r="H62" s="10"/>
      <c r="I62" s="2" t="n">
        <f>113037</f>
        <v>113037.0</v>
      </c>
      <c r="J62" s="10"/>
      <c r="K62" s="2" t="n">
        <f>386971</f>
        <v>386971.0</v>
      </c>
    </row>
    <row r="63">
      <c r="A63" s="8" t="s">
        <v>47</v>
      </c>
      <c r="B63" s="9" t="s">
        <v>50</v>
      </c>
      <c r="C63" s="9" t="s">
        <v>51</v>
      </c>
      <c r="D63" s="10"/>
      <c r="E63" s="2" t="n">
        <f>745251</f>
        <v>745251.0</v>
      </c>
      <c r="F63" s="10"/>
      <c r="G63" s="2" t="n">
        <f>2840578227740</f>
        <v>2.84057822774E12</v>
      </c>
      <c r="H63" s="10"/>
      <c r="I63" s="2" t="n">
        <f>135768</f>
        <v>135768.0</v>
      </c>
      <c r="J63" s="10"/>
      <c r="K63" s="2" t="n">
        <f>373064</f>
        <v>373064.0</v>
      </c>
    </row>
    <row r="64">
      <c r="A64" s="8" t="s">
        <v>48</v>
      </c>
      <c r="B64" s="9" t="s">
        <v>50</v>
      </c>
      <c r="C64" s="9" t="s">
        <v>51</v>
      </c>
      <c r="D64" s="10"/>
      <c r="E64" s="2" t="n">
        <f>532256</f>
        <v>532256.0</v>
      </c>
      <c r="F64" s="10"/>
      <c r="G64" s="2" t="n">
        <f>2032812607010</f>
        <v>2.03281260701E12</v>
      </c>
      <c r="H64" s="10" t="s">
        <v>20</v>
      </c>
      <c r="I64" s="2" t="n">
        <f>91771</f>
        <v>91771.0</v>
      </c>
      <c r="J64" s="10"/>
      <c r="K64" s="2" t="n">
        <f>370372</f>
        <v>370372.0</v>
      </c>
    </row>
    <row r="65">
      <c r="A65" s="8" t="s">
        <v>49</v>
      </c>
      <c r="B65" s="9" t="s">
        <v>50</v>
      </c>
      <c r="C65" s="9" t="s">
        <v>51</v>
      </c>
      <c r="D65" s="10"/>
      <c r="E65" s="2"/>
      <c r="F65" s="10"/>
      <c r="G65" s="2"/>
      <c r="H65" s="10"/>
      <c r="I65" s="2"/>
      <c r="J65" s="10"/>
      <c r="K65" s="2"/>
    </row>
    <row r="66">
      <c r="A66" s="8" t="s">
        <v>16</v>
      </c>
      <c r="B66" s="9" t="s">
        <v>52</v>
      </c>
      <c r="C66" s="9" t="s">
        <v>53</v>
      </c>
      <c r="D66" s="10"/>
      <c r="E66" s="2" t="n">
        <f>524007</f>
        <v>524007.0</v>
      </c>
      <c r="F66" s="10"/>
      <c r="G66" s="2" t="n">
        <f>201013959550</f>
        <v>2.0101395955E11</v>
      </c>
      <c r="H66" s="10" t="s">
        <v>54</v>
      </c>
      <c r="I66" s="2" t="str">
        <f>"－"</f>
        <v>－</v>
      </c>
      <c r="J66" s="10" t="s">
        <v>20</v>
      </c>
      <c r="K66" s="2" t="n">
        <f>102339</f>
        <v>102339.0</v>
      </c>
    </row>
    <row r="67">
      <c r="A67" s="8" t="s">
        <v>21</v>
      </c>
      <c r="B67" s="9" t="s">
        <v>52</v>
      </c>
      <c r="C67" s="9" t="s">
        <v>53</v>
      </c>
      <c r="D67" s="10"/>
      <c r="E67" s="2"/>
      <c r="F67" s="10"/>
      <c r="G67" s="2"/>
      <c r="H67" s="10"/>
      <c r="I67" s="2"/>
      <c r="J67" s="10"/>
      <c r="K67" s="2"/>
    </row>
    <row r="68">
      <c r="A68" s="8" t="s">
        <v>22</v>
      </c>
      <c r="B68" s="9" t="s">
        <v>52</v>
      </c>
      <c r="C68" s="9" t="s">
        <v>53</v>
      </c>
      <c r="D68" s="10"/>
      <c r="E68" s="2"/>
      <c r="F68" s="10"/>
      <c r="G68" s="2"/>
      <c r="H68" s="10"/>
      <c r="I68" s="2"/>
      <c r="J68" s="10"/>
      <c r="K68" s="2"/>
    </row>
    <row r="69">
      <c r="A69" s="8" t="s">
        <v>23</v>
      </c>
      <c r="B69" s="9" t="s">
        <v>52</v>
      </c>
      <c r="C69" s="9" t="s">
        <v>53</v>
      </c>
      <c r="D69" s="10"/>
      <c r="E69" s="2"/>
      <c r="F69" s="10"/>
      <c r="G69" s="2"/>
      <c r="H69" s="10"/>
      <c r="I69" s="2"/>
      <c r="J69" s="10"/>
      <c r="K69" s="2"/>
    </row>
    <row r="70">
      <c r="A70" s="8" t="s">
        <v>24</v>
      </c>
      <c r="B70" s="9" t="s">
        <v>52</v>
      </c>
      <c r="C70" s="9" t="s">
        <v>53</v>
      </c>
      <c r="D70" s="10"/>
      <c r="E70" s="2" t="n">
        <f>372536</f>
        <v>372536.0</v>
      </c>
      <c r="F70" s="10"/>
      <c r="G70" s="2" t="n">
        <f>143253284750</f>
        <v>1.4325328475E11</v>
      </c>
      <c r="H70" s="10"/>
      <c r="I70" s="2" t="str">
        <f>"－"</f>
        <v>－</v>
      </c>
      <c r="J70" s="10"/>
      <c r="K70" s="2" t="n">
        <f>105311</f>
        <v>105311.0</v>
      </c>
    </row>
    <row r="71">
      <c r="A71" s="8" t="s">
        <v>25</v>
      </c>
      <c r="B71" s="9" t="s">
        <v>52</v>
      </c>
      <c r="C71" s="9" t="s">
        <v>53</v>
      </c>
      <c r="D71" s="10"/>
      <c r="E71" s="2" t="n">
        <f>594695</f>
        <v>594695.0</v>
      </c>
      <c r="F71" s="10"/>
      <c r="G71" s="2" t="n">
        <f>233274642950</f>
        <v>2.3327464295E11</v>
      </c>
      <c r="H71" s="10"/>
      <c r="I71" s="2" t="str">
        <f>"－"</f>
        <v>－</v>
      </c>
      <c r="J71" s="10"/>
      <c r="K71" s="2" t="n">
        <f>108734</f>
        <v>108734.0</v>
      </c>
    </row>
    <row r="72">
      <c r="A72" s="8" t="s">
        <v>26</v>
      </c>
      <c r="B72" s="9" t="s">
        <v>52</v>
      </c>
      <c r="C72" s="9" t="s">
        <v>53</v>
      </c>
      <c r="D72" s="10" t="s">
        <v>19</v>
      </c>
      <c r="E72" s="2" t="n">
        <f>651587</f>
        <v>651587.0</v>
      </c>
      <c r="F72" s="10" t="s">
        <v>19</v>
      </c>
      <c r="G72" s="2" t="n">
        <f>258491659200</f>
        <v>2.584916592E11</v>
      </c>
      <c r="H72" s="10"/>
      <c r="I72" s="2" t="str">
        <f>"－"</f>
        <v>－</v>
      </c>
      <c r="J72" s="10"/>
      <c r="K72" s="2" t="n">
        <f>115605</f>
        <v>115605.0</v>
      </c>
    </row>
    <row r="73">
      <c r="A73" s="8" t="s">
        <v>27</v>
      </c>
      <c r="B73" s="9" t="s">
        <v>52</v>
      </c>
      <c r="C73" s="9" t="s">
        <v>53</v>
      </c>
      <c r="D73" s="10"/>
      <c r="E73" s="2" t="n">
        <f>373413</f>
        <v>373413.0</v>
      </c>
      <c r="F73" s="10"/>
      <c r="G73" s="2" t="n">
        <f>147570473800</f>
        <v>1.475704738E11</v>
      </c>
      <c r="H73" s="10"/>
      <c r="I73" s="2" t="str">
        <f>"－"</f>
        <v>－</v>
      </c>
      <c r="J73" s="10"/>
      <c r="K73" s="2" t="n">
        <f>120488</f>
        <v>120488.0</v>
      </c>
    </row>
    <row r="74">
      <c r="A74" s="8" t="s">
        <v>28</v>
      </c>
      <c r="B74" s="9" t="s">
        <v>52</v>
      </c>
      <c r="C74" s="9" t="s">
        <v>53</v>
      </c>
      <c r="D74" s="10"/>
      <c r="E74" s="2"/>
      <c r="F74" s="10"/>
      <c r="G74" s="2"/>
      <c r="H74" s="10"/>
      <c r="I74" s="2"/>
      <c r="J74" s="10"/>
      <c r="K74" s="2"/>
    </row>
    <row r="75">
      <c r="A75" s="8" t="s">
        <v>29</v>
      </c>
      <c r="B75" s="9" t="s">
        <v>52</v>
      </c>
      <c r="C75" s="9" t="s">
        <v>53</v>
      </c>
      <c r="D75" s="10"/>
      <c r="E75" s="2"/>
      <c r="F75" s="10"/>
      <c r="G75" s="2"/>
      <c r="H75" s="10"/>
      <c r="I75" s="2"/>
      <c r="J75" s="10"/>
      <c r="K75" s="2"/>
    </row>
    <row r="76">
      <c r="A76" s="8" t="s">
        <v>30</v>
      </c>
      <c r="B76" s="9" t="s">
        <v>52</v>
      </c>
      <c r="C76" s="9" t="s">
        <v>53</v>
      </c>
      <c r="D76" s="10"/>
      <c r="E76" s="2" t="n">
        <f>369850</f>
        <v>369850.0</v>
      </c>
      <c r="F76" s="10"/>
      <c r="G76" s="2" t="n">
        <f>145429896400</f>
        <v>1.454298964E11</v>
      </c>
      <c r="H76" s="10"/>
      <c r="I76" s="2" t="str">
        <f>"－"</f>
        <v>－</v>
      </c>
      <c r="J76" s="10"/>
      <c r="K76" s="2" t="n">
        <f>107349</f>
        <v>107349.0</v>
      </c>
    </row>
    <row r="77">
      <c r="A77" s="8" t="s">
        <v>31</v>
      </c>
      <c r="B77" s="9" t="s">
        <v>52</v>
      </c>
      <c r="C77" s="9" t="s">
        <v>53</v>
      </c>
      <c r="D77" s="10"/>
      <c r="E77" s="2" t="n">
        <f>419396</f>
        <v>419396.0</v>
      </c>
      <c r="F77" s="10"/>
      <c r="G77" s="2" t="n">
        <f>165949725700</f>
        <v>1.659497257E11</v>
      </c>
      <c r="H77" s="10"/>
      <c r="I77" s="2" t="str">
        <f>"－"</f>
        <v>－</v>
      </c>
      <c r="J77" s="10"/>
      <c r="K77" s="2" t="n">
        <f>112149</f>
        <v>112149.0</v>
      </c>
    </row>
    <row r="78">
      <c r="A78" s="8" t="s">
        <v>32</v>
      </c>
      <c r="B78" s="9" t="s">
        <v>52</v>
      </c>
      <c r="C78" s="9" t="s">
        <v>53</v>
      </c>
      <c r="D78" s="10"/>
      <c r="E78" s="2" t="n">
        <f>470106</f>
        <v>470106.0</v>
      </c>
      <c r="F78" s="10"/>
      <c r="G78" s="2" t="n">
        <f>183771871350</f>
        <v>1.8377187135E11</v>
      </c>
      <c r="H78" s="10"/>
      <c r="I78" s="2" t="str">
        <f>"－"</f>
        <v>－</v>
      </c>
      <c r="J78" s="10"/>
      <c r="K78" s="2" t="n">
        <f>120051</f>
        <v>120051.0</v>
      </c>
    </row>
    <row r="79">
      <c r="A79" s="8" t="s">
        <v>33</v>
      </c>
      <c r="B79" s="9" t="s">
        <v>52</v>
      </c>
      <c r="C79" s="9" t="s">
        <v>53</v>
      </c>
      <c r="D79" s="10"/>
      <c r="E79" s="2" t="n">
        <f>460412</f>
        <v>460412.0</v>
      </c>
      <c r="F79" s="10"/>
      <c r="G79" s="2" t="n">
        <f>178672757750</f>
        <v>1.7867275775E11</v>
      </c>
      <c r="H79" s="10"/>
      <c r="I79" s="2" t="str">
        <f>"－"</f>
        <v>－</v>
      </c>
      <c r="J79" s="10"/>
      <c r="K79" s="2" t="n">
        <f>130649</f>
        <v>130649.0</v>
      </c>
    </row>
    <row r="80">
      <c r="A80" s="8" t="s">
        <v>34</v>
      </c>
      <c r="B80" s="9" t="s">
        <v>52</v>
      </c>
      <c r="C80" s="9" t="s">
        <v>53</v>
      </c>
      <c r="D80" s="10"/>
      <c r="E80" s="2" t="n">
        <f>381432</f>
        <v>381432.0</v>
      </c>
      <c r="F80" s="10"/>
      <c r="G80" s="2" t="n">
        <f>148306167150</f>
        <v>1.4830616715E11</v>
      </c>
      <c r="H80" s="10"/>
      <c r="I80" s="2" t="str">
        <f>"－"</f>
        <v>－</v>
      </c>
      <c r="J80" s="10"/>
      <c r="K80" s="2" t="n">
        <f>136708</f>
        <v>136708.0</v>
      </c>
    </row>
    <row r="81">
      <c r="A81" s="8" t="s">
        <v>35</v>
      </c>
      <c r="B81" s="9" t="s">
        <v>52</v>
      </c>
      <c r="C81" s="9" t="s">
        <v>53</v>
      </c>
      <c r="D81" s="10"/>
      <c r="E81" s="2"/>
      <c r="F81" s="10"/>
      <c r="G81" s="2"/>
      <c r="H81" s="10"/>
      <c r="I81" s="2"/>
      <c r="J81" s="10"/>
      <c r="K81" s="2"/>
    </row>
    <row r="82">
      <c r="A82" s="8" t="s">
        <v>36</v>
      </c>
      <c r="B82" s="9" t="s">
        <v>52</v>
      </c>
      <c r="C82" s="9" t="s">
        <v>53</v>
      </c>
      <c r="D82" s="10"/>
      <c r="E82" s="2"/>
      <c r="F82" s="10"/>
      <c r="G82" s="2"/>
      <c r="H82" s="10"/>
      <c r="I82" s="2"/>
      <c r="J82" s="10"/>
      <c r="K82" s="2"/>
    </row>
    <row r="83">
      <c r="A83" s="8" t="s">
        <v>37</v>
      </c>
      <c r="B83" s="9" t="s">
        <v>52</v>
      </c>
      <c r="C83" s="9" t="s">
        <v>53</v>
      </c>
      <c r="D83" s="10"/>
      <c r="E83" s="2" t="n">
        <f>491962</f>
        <v>491962.0</v>
      </c>
      <c r="F83" s="10"/>
      <c r="G83" s="2" t="n">
        <f>188424524850</f>
        <v>1.8842452485E11</v>
      </c>
      <c r="H83" s="10"/>
      <c r="I83" s="2" t="str">
        <f>"－"</f>
        <v>－</v>
      </c>
      <c r="J83" s="10" t="s">
        <v>19</v>
      </c>
      <c r="K83" s="2" t="n">
        <f>203569</f>
        <v>203569.0</v>
      </c>
    </row>
    <row r="84">
      <c r="A84" s="8" t="s">
        <v>38</v>
      </c>
      <c r="B84" s="9" t="s">
        <v>52</v>
      </c>
      <c r="C84" s="9" t="s">
        <v>53</v>
      </c>
      <c r="D84" s="10"/>
      <c r="E84" s="2" t="n">
        <f>331277</f>
        <v>331277.0</v>
      </c>
      <c r="F84" s="10"/>
      <c r="G84" s="2" t="n">
        <f>127102440800</f>
        <v>1.271024408E11</v>
      </c>
      <c r="H84" s="10"/>
      <c r="I84" s="2" t="str">
        <f>"－"</f>
        <v>－</v>
      </c>
      <c r="J84" s="10"/>
      <c r="K84" s="2" t="n">
        <f>136289</f>
        <v>136289.0</v>
      </c>
    </row>
    <row r="85">
      <c r="A85" s="8" t="s">
        <v>39</v>
      </c>
      <c r="B85" s="9" t="s">
        <v>52</v>
      </c>
      <c r="C85" s="9" t="s">
        <v>53</v>
      </c>
      <c r="D85" s="10"/>
      <c r="E85" s="2" t="n">
        <f>498961</f>
        <v>498961.0</v>
      </c>
      <c r="F85" s="10"/>
      <c r="G85" s="2" t="n">
        <f>190326418050</f>
        <v>1.9032641805E11</v>
      </c>
      <c r="H85" s="10"/>
      <c r="I85" s="2" t="str">
        <f>"－"</f>
        <v>－</v>
      </c>
      <c r="J85" s="10"/>
      <c r="K85" s="2" t="n">
        <f>137829</f>
        <v>137829.0</v>
      </c>
    </row>
    <row r="86">
      <c r="A86" s="8" t="s">
        <v>40</v>
      </c>
      <c r="B86" s="9" t="s">
        <v>52</v>
      </c>
      <c r="C86" s="9" t="s">
        <v>53</v>
      </c>
      <c r="D86" s="10"/>
      <c r="E86" s="2" t="n">
        <f>404981</f>
        <v>404981.0</v>
      </c>
      <c r="F86" s="10"/>
      <c r="G86" s="2" t="n">
        <f>154459391100</f>
        <v>1.544593911E11</v>
      </c>
      <c r="H86" s="10"/>
      <c r="I86" s="2" t="str">
        <f>"－"</f>
        <v>－</v>
      </c>
      <c r="J86" s="10"/>
      <c r="K86" s="2" t="n">
        <f>136204</f>
        <v>136204.0</v>
      </c>
    </row>
    <row r="87">
      <c r="A87" s="8" t="s">
        <v>41</v>
      </c>
      <c r="B87" s="9" t="s">
        <v>52</v>
      </c>
      <c r="C87" s="9" t="s">
        <v>53</v>
      </c>
      <c r="D87" s="10"/>
      <c r="E87" s="2" t="n">
        <f>507520</f>
        <v>507520.0</v>
      </c>
      <c r="F87" s="10"/>
      <c r="G87" s="2" t="n">
        <f>193556432050</f>
        <v>1.9355643205E11</v>
      </c>
      <c r="H87" s="10"/>
      <c r="I87" s="2" t="str">
        <f>"－"</f>
        <v>－</v>
      </c>
      <c r="J87" s="10"/>
      <c r="K87" s="2" t="n">
        <f>138395</f>
        <v>138395.0</v>
      </c>
    </row>
    <row r="88">
      <c r="A88" s="8" t="s">
        <v>42</v>
      </c>
      <c r="B88" s="9" t="s">
        <v>52</v>
      </c>
      <c r="C88" s="9" t="s">
        <v>53</v>
      </c>
      <c r="D88" s="10"/>
      <c r="E88" s="2"/>
      <c r="F88" s="10"/>
      <c r="G88" s="2"/>
      <c r="H88" s="10"/>
      <c r="I88" s="2"/>
      <c r="J88" s="10"/>
      <c r="K88" s="2"/>
    </row>
    <row r="89">
      <c r="A89" s="8" t="s">
        <v>43</v>
      </c>
      <c r="B89" s="9" t="s">
        <v>52</v>
      </c>
      <c r="C89" s="9" t="s">
        <v>53</v>
      </c>
      <c r="D89" s="10"/>
      <c r="E89" s="2"/>
      <c r="F89" s="10"/>
      <c r="G89" s="2"/>
      <c r="H89" s="10"/>
      <c r="I89" s="2"/>
      <c r="J89" s="10"/>
      <c r="K89" s="2"/>
    </row>
    <row r="90">
      <c r="A90" s="8" t="s">
        <v>44</v>
      </c>
      <c r="B90" s="9" t="s">
        <v>52</v>
      </c>
      <c r="C90" s="9" t="s">
        <v>53</v>
      </c>
      <c r="D90" s="10"/>
      <c r="E90" s="2" t="n">
        <f>460617</f>
        <v>460617.0</v>
      </c>
      <c r="F90" s="10"/>
      <c r="G90" s="2" t="n">
        <f>177876903050</f>
        <v>1.7787690305E11</v>
      </c>
      <c r="H90" s="10"/>
      <c r="I90" s="2" t="str">
        <f>"－"</f>
        <v>－</v>
      </c>
      <c r="J90" s="10"/>
      <c r="K90" s="2" t="n">
        <f>145462</f>
        <v>145462.0</v>
      </c>
    </row>
    <row r="91">
      <c r="A91" s="8" t="s">
        <v>45</v>
      </c>
      <c r="B91" s="9" t="s">
        <v>52</v>
      </c>
      <c r="C91" s="9" t="s">
        <v>53</v>
      </c>
      <c r="D91" s="10"/>
      <c r="E91" s="2" t="n">
        <f>464266</f>
        <v>464266.0</v>
      </c>
      <c r="F91" s="10"/>
      <c r="G91" s="2" t="n">
        <f>178560685750</f>
        <v>1.7856068575E11</v>
      </c>
      <c r="H91" s="10"/>
      <c r="I91" s="2" t="str">
        <f>"－"</f>
        <v>－</v>
      </c>
      <c r="J91" s="10"/>
      <c r="K91" s="2" t="n">
        <f>138963</f>
        <v>138963.0</v>
      </c>
    </row>
    <row r="92">
      <c r="A92" s="8" t="s">
        <v>46</v>
      </c>
      <c r="B92" s="9" t="s">
        <v>52</v>
      </c>
      <c r="C92" s="9" t="s">
        <v>53</v>
      </c>
      <c r="D92" s="10"/>
      <c r="E92" s="2" t="n">
        <f>361843</f>
        <v>361843.0</v>
      </c>
      <c r="F92" s="10"/>
      <c r="G92" s="2" t="n">
        <f>138481312150</f>
        <v>1.3848131215E11</v>
      </c>
      <c r="H92" s="10"/>
      <c r="I92" s="2" t="str">
        <f>"－"</f>
        <v>－</v>
      </c>
      <c r="J92" s="10"/>
      <c r="K92" s="2" t="n">
        <f>141866</f>
        <v>141866.0</v>
      </c>
    </row>
    <row r="93">
      <c r="A93" s="8" t="s">
        <v>47</v>
      </c>
      <c r="B93" s="9" t="s">
        <v>52</v>
      </c>
      <c r="C93" s="9" t="s">
        <v>53</v>
      </c>
      <c r="D93" s="10"/>
      <c r="E93" s="2" t="n">
        <f>481851</f>
        <v>481851.0</v>
      </c>
      <c r="F93" s="10"/>
      <c r="G93" s="2" t="n">
        <f>183604607600</f>
        <v>1.836046076E11</v>
      </c>
      <c r="H93" s="10"/>
      <c r="I93" s="2" t="str">
        <f>"－"</f>
        <v>－</v>
      </c>
      <c r="J93" s="10"/>
      <c r="K93" s="2" t="n">
        <f>137166</f>
        <v>137166.0</v>
      </c>
    </row>
    <row r="94">
      <c r="A94" s="8" t="s">
        <v>48</v>
      </c>
      <c r="B94" s="9" t="s">
        <v>52</v>
      </c>
      <c r="C94" s="9" t="s">
        <v>53</v>
      </c>
      <c r="D94" s="10" t="s">
        <v>20</v>
      </c>
      <c r="E94" s="2" t="n">
        <f>327015</f>
        <v>327015.0</v>
      </c>
      <c r="F94" s="10" t="s">
        <v>20</v>
      </c>
      <c r="G94" s="2" t="n">
        <f>124917849750</f>
        <v>1.2491784975E11</v>
      </c>
      <c r="H94" s="10"/>
      <c r="I94" s="2" t="str">
        <f>"－"</f>
        <v>－</v>
      </c>
      <c r="J94" s="10"/>
      <c r="K94" s="2" t="n">
        <f>132356</f>
        <v>132356.0</v>
      </c>
    </row>
    <row r="95">
      <c r="A95" s="8" t="s">
        <v>49</v>
      </c>
      <c r="B95" s="9" t="s">
        <v>52</v>
      </c>
      <c r="C95" s="9" t="s">
        <v>53</v>
      </c>
      <c r="D95" s="10"/>
      <c r="E95" s="2"/>
      <c r="F95" s="10"/>
      <c r="G95" s="2"/>
      <c r="H95" s="10"/>
      <c r="I95" s="2"/>
      <c r="J95" s="10"/>
      <c r="K95" s="2"/>
    </row>
    <row r="96">
      <c r="A96" s="8" t="s">
        <v>16</v>
      </c>
      <c r="B96" s="9" t="s">
        <v>55</v>
      </c>
      <c r="C96" s="9" t="s">
        <v>56</v>
      </c>
      <c r="D96" s="10"/>
      <c r="E96" s="2" t="n">
        <f>61999</f>
        <v>61999.0</v>
      </c>
      <c r="F96" s="10"/>
      <c r="G96" s="2" t="n">
        <f>1648417216350</f>
        <v>1.64841721635E12</v>
      </c>
      <c r="H96" s="10"/>
      <c r="I96" s="2" t="n">
        <f>16543</f>
        <v>16543.0</v>
      </c>
      <c r="J96" s="10"/>
      <c r="K96" s="2" t="n">
        <f>465054</f>
        <v>465054.0</v>
      </c>
    </row>
    <row r="97">
      <c r="A97" s="8" t="s">
        <v>21</v>
      </c>
      <c r="B97" s="9" t="s">
        <v>55</v>
      </c>
      <c r="C97" s="9" t="s">
        <v>56</v>
      </c>
      <c r="D97" s="10"/>
      <c r="E97" s="2"/>
      <c r="F97" s="10"/>
      <c r="G97" s="2"/>
      <c r="H97" s="10"/>
      <c r="I97" s="2"/>
      <c r="J97" s="10"/>
      <c r="K97" s="2"/>
    </row>
    <row r="98">
      <c r="A98" s="8" t="s">
        <v>22</v>
      </c>
      <c r="B98" s="9" t="s">
        <v>55</v>
      </c>
      <c r="C98" s="9" t="s">
        <v>56</v>
      </c>
      <c r="D98" s="10"/>
      <c r="E98" s="2"/>
      <c r="F98" s="10"/>
      <c r="G98" s="2"/>
      <c r="H98" s="10"/>
      <c r="I98" s="2"/>
      <c r="J98" s="10"/>
      <c r="K98" s="2"/>
    </row>
    <row r="99">
      <c r="A99" s="8" t="s">
        <v>23</v>
      </c>
      <c r="B99" s="9" t="s">
        <v>55</v>
      </c>
      <c r="C99" s="9" t="s">
        <v>56</v>
      </c>
      <c r="D99" s="10"/>
      <c r="E99" s="2"/>
      <c r="F99" s="10"/>
      <c r="G99" s="2"/>
      <c r="H99" s="10"/>
      <c r="I99" s="2"/>
      <c r="J99" s="10"/>
      <c r="K99" s="2"/>
    </row>
    <row r="100">
      <c r="A100" s="8" t="s">
        <v>24</v>
      </c>
      <c r="B100" s="9" t="s">
        <v>55</v>
      </c>
      <c r="C100" s="9" t="s">
        <v>56</v>
      </c>
      <c r="D100" s="10"/>
      <c r="E100" s="2" t="n">
        <f>50811</f>
        <v>50811.0</v>
      </c>
      <c r="F100" s="10"/>
      <c r="G100" s="2" t="n">
        <f>1354114409050</f>
        <v>1.35411440905E12</v>
      </c>
      <c r="H100" s="10"/>
      <c r="I100" s="2" t="n">
        <f>13062</f>
        <v>13062.0</v>
      </c>
      <c r="J100" s="10" t="s">
        <v>20</v>
      </c>
      <c r="K100" s="2" t="n">
        <f>464761</f>
        <v>464761.0</v>
      </c>
    </row>
    <row r="101">
      <c r="A101" s="8" t="s">
        <v>25</v>
      </c>
      <c r="B101" s="9" t="s">
        <v>55</v>
      </c>
      <c r="C101" s="9" t="s">
        <v>56</v>
      </c>
      <c r="D101" s="10"/>
      <c r="E101" s="2" t="n">
        <f>68703</f>
        <v>68703.0</v>
      </c>
      <c r="F101" s="10"/>
      <c r="G101" s="2" t="n">
        <f>1860760693600</f>
        <v>1.8607606936E12</v>
      </c>
      <c r="H101" s="10"/>
      <c r="I101" s="2" t="n">
        <f>14315</f>
        <v>14315.0</v>
      </c>
      <c r="J101" s="10"/>
      <c r="K101" s="2" t="n">
        <f>468461</f>
        <v>468461.0</v>
      </c>
    </row>
    <row r="102">
      <c r="A102" s="8" t="s">
        <v>26</v>
      </c>
      <c r="B102" s="9" t="s">
        <v>55</v>
      </c>
      <c r="C102" s="9" t="s">
        <v>56</v>
      </c>
      <c r="D102" s="10" t="s">
        <v>19</v>
      </c>
      <c r="E102" s="2" t="n">
        <f>82212</f>
        <v>82212.0</v>
      </c>
      <c r="F102" s="10" t="s">
        <v>19</v>
      </c>
      <c r="G102" s="2" t="n">
        <f>2256224047330</f>
        <v>2.25622404733E12</v>
      </c>
      <c r="H102" s="10" t="s">
        <v>19</v>
      </c>
      <c r="I102" s="2" t="n">
        <f>21939</f>
        <v>21939.0</v>
      </c>
      <c r="J102" s="10"/>
      <c r="K102" s="2" t="n">
        <f>477445</f>
        <v>477445.0</v>
      </c>
    </row>
    <row r="103">
      <c r="A103" s="8" t="s">
        <v>27</v>
      </c>
      <c r="B103" s="9" t="s">
        <v>55</v>
      </c>
      <c r="C103" s="9" t="s">
        <v>56</v>
      </c>
      <c r="D103" s="10"/>
      <c r="E103" s="2" t="n">
        <f>57630</f>
        <v>57630.0</v>
      </c>
      <c r="F103" s="10"/>
      <c r="G103" s="2" t="n">
        <f>1584066863474</f>
        <v>1.584066863474E12</v>
      </c>
      <c r="H103" s="10"/>
      <c r="I103" s="2" t="n">
        <f>15191</f>
        <v>15191.0</v>
      </c>
      <c r="J103" s="10"/>
      <c r="K103" s="2" t="n">
        <f>478561</f>
        <v>478561.0</v>
      </c>
    </row>
    <row r="104">
      <c r="A104" s="8" t="s">
        <v>28</v>
      </c>
      <c r="B104" s="9" t="s">
        <v>55</v>
      </c>
      <c r="C104" s="9" t="s">
        <v>56</v>
      </c>
      <c r="D104" s="10"/>
      <c r="E104" s="2"/>
      <c r="F104" s="10"/>
      <c r="G104" s="2"/>
      <c r="H104" s="10"/>
      <c r="I104" s="2"/>
      <c r="J104" s="10"/>
      <c r="K104" s="2"/>
    </row>
    <row r="105">
      <c r="A105" s="8" t="s">
        <v>29</v>
      </c>
      <c r="B105" s="9" t="s">
        <v>55</v>
      </c>
      <c r="C105" s="9" t="s">
        <v>56</v>
      </c>
      <c r="D105" s="10"/>
      <c r="E105" s="2"/>
      <c r="F105" s="10"/>
      <c r="G105" s="2"/>
      <c r="H105" s="10"/>
      <c r="I105" s="2"/>
      <c r="J105" s="10"/>
      <c r="K105" s="2"/>
    </row>
    <row r="106">
      <c r="A106" s="8" t="s">
        <v>30</v>
      </c>
      <c r="B106" s="9" t="s">
        <v>55</v>
      </c>
      <c r="C106" s="9" t="s">
        <v>56</v>
      </c>
      <c r="D106" s="10"/>
      <c r="E106" s="2" t="n">
        <f>40434</f>
        <v>40434.0</v>
      </c>
      <c r="F106" s="10"/>
      <c r="G106" s="2" t="n">
        <f>1106019957935</f>
        <v>1.106019957935E12</v>
      </c>
      <c r="H106" s="10"/>
      <c r="I106" s="2" t="n">
        <f>10895</f>
        <v>10895.0</v>
      </c>
      <c r="J106" s="10"/>
      <c r="K106" s="2" t="n">
        <f>475366</f>
        <v>475366.0</v>
      </c>
    </row>
    <row r="107">
      <c r="A107" s="8" t="s">
        <v>31</v>
      </c>
      <c r="B107" s="9" t="s">
        <v>55</v>
      </c>
      <c r="C107" s="9" t="s">
        <v>56</v>
      </c>
      <c r="D107" s="10"/>
      <c r="E107" s="2" t="n">
        <f>52288</f>
        <v>52288.0</v>
      </c>
      <c r="F107" s="10"/>
      <c r="G107" s="2" t="n">
        <f>1438564914860</f>
        <v>1.43856491486E12</v>
      </c>
      <c r="H107" s="10"/>
      <c r="I107" s="2" t="n">
        <f>13036</f>
        <v>13036.0</v>
      </c>
      <c r="J107" s="10"/>
      <c r="K107" s="2" t="n">
        <f>482663</f>
        <v>482663.0</v>
      </c>
    </row>
    <row r="108">
      <c r="A108" s="8" t="s">
        <v>32</v>
      </c>
      <c r="B108" s="9" t="s">
        <v>55</v>
      </c>
      <c r="C108" s="9" t="s">
        <v>56</v>
      </c>
      <c r="D108" s="10"/>
      <c r="E108" s="2" t="n">
        <f>56113</f>
        <v>56113.0</v>
      </c>
      <c r="F108" s="10"/>
      <c r="G108" s="2" t="n">
        <f>1525895164540</f>
        <v>1.52589516454E12</v>
      </c>
      <c r="H108" s="10"/>
      <c r="I108" s="2" t="n">
        <f>13939</f>
        <v>13939.0</v>
      </c>
      <c r="J108" s="10"/>
      <c r="K108" s="2" t="n">
        <f>481394</f>
        <v>481394.0</v>
      </c>
    </row>
    <row r="109">
      <c r="A109" s="8" t="s">
        <v>33</v>
      </c>
      <c r="B109" s="9" t="s">
        <v>55</v>
      </c>
      <c r="C109" s="9" t="s">
        <v>56</v>
      </c>
      <c r="D109" s="10"/>
      <c r="E109" s="2" t="n">
        <f>41727</f>
        <v>41727.0</v>
      </c>
      <c r="F109" s="10"/>
      <c r="G109" s="2" t="n">
        <f>1133177747711</f>
        <v>1.133177747711E12</v>
      </c>
      <c r="H109" s="10"/>
      <c r="I109" s="2" t="n">
        <f>10085</f>
        <v>10085.0</v>
      </c>
      <c r="J109" s="10"/>
      <c r="K109" s="2" t="n">
        <f>483083</f>
        <v>483083.0</v>
      </c>
    </row>
    <row r="110">
      <c r="A110" s="8" t="s">
        <v>34</v>
      </c>
      <c r="B110" s="9" t="s">
        <v>55</v>
      </c>
      <c r="C110" s="9" t="s">
        <v>56</v>
      </c>
      <c r="D110" s="10"/>
      <c r="E110" s="2" t="n">
        <f>59953</f>
        <v>59953.0</v>
      </c>
      <c r="F110" s="10"/>
      <c r="G110" s="2" t="n">
        <f>1630762847500</f>
        <v>1.6307628475E12</v>
      </c>
      <c r="H110" s="10"/>
      <c r="I110" s="2" t="n">
        <f>12715</f>
        <v>12715.0</v>
      </c>
      <c r="J110" s="10"/>
      <c r="K110" s="2" t="n">
        <f>481749</f>
        <v>481749.0</v>
      </c>
    </row>
    <row r="111">
      <c r="A111" s="8" t="s">
        <v>35</v>
      </c>
      <c r="B111" s="9" t="s">
        <v>55</v>
      </c>
      <c r="C111" s="9" t="s">
        <v>56</v>
      </c>
      <c r="D111" s="10"/>
      <c r="E111" s="2"/>
      <c r="F111" s="10"/>
      <c r="G111" s="2"/>
      <c r="H111" s="10"/>
      <c r="I111" s="2"/>
      <c r="J111" s="10"/>
      <c r="K111" s="2"/>
    </row>
    <row r="112">
      <c r="A112" s="8" t="s">
        <v>36</v>
      </c>
      <c r="B112" s="9" t="s">
        <v>55</v>
      </c>
      <c r="C112" s="9" t="s">
        <v>56</v>
      </c>
      <c r="D112" s="10"/>
      <c r="E112" s="2"/>
      <c r="F112" s="10"/>
      <c r="G112" s="2"/>
      <c r="H112" s="10"/>
      <c r="I112" s="2"/>
      <c r="J112" s="10"/>
      <c r="K112" s="2"/>
    </row>
    <row r="113">
      <c r="A113" s="8" t="s">
        <v>37</v>
      </c>
      <c r="B113" s="9" t="s">
        <v>55</v>
      </c>
      <c r="C113" s="9" t="s">
        <v>56</v>
      </c>
      <c r="D113" s="10"/>
      <c r="E113" s="2" t="n">
        <f>51092</f>
        <v>51092.0</v>
      </c>
      <c r="F113" s="10"/>
      <c r="G113" s="2" t="n">
        <f>1377592561752</f>
        <v>1.377592561752E12</v>
      </c>
      <c r="H113" s="10"/>
      <c r="I113" s="2" t="n">
        <f>10234</f>
        <v>10234.0</v>
      </c>
      <c r="J113" s="10"/>
      <c r="K113" s="2" t="n">
        <f>492533</f>
        <v>492533.0</v>
      </c>
    </row>
    <row r="114">
      <c r="A114" s="8" t="s">
        <v>38</v>
      </c>
      <c r="B114" s="9" t="s">
        <v>55</v>
      </c>
      <c r="C114" s="9" t="s">
        <v>56</v>
      </c>
      <c r="D114" s="10"/>
      <c r="E114" s="2" t="n">
        <f>46601</f>
        <v>46601.0</v>
      </c>
      <c r="F114" s="10"/>
      <c r="G114" s="2" t="n">
        <f>1261628898500</f>
        <v>1.2616288985E12</v>
      </c>
      <c r="H114" s="10" t="s">
        <v>20</v>
      </c>
      <c r="I114" s="2" t="n">
        <f>9038</f>
        <v>9038.0</v>
      </c>
      <c r="J114" s="10"/>
      <c r="K114" s="2" t="n">
        <f>485930</f>
        <v>485930.0</v>
      </c>
    </row>
    <row r="115">
      <c r="A115" s="8" t="s">
        <v>39</v>
      </c>
      <c r="B115" s="9" t="s">
        <v>55</v>
      </c>
      <c r="C115" s="9" t="s">
        <v>56</v>
      </c>
      <c r="D115" s="10"/>
      <c r="E115" s="2" t="n">
        <f>44736</f>
        <v>44736.0</v>
      </c>
      <c r="F115" s="10"/>
      <c r="G115" s="2" t="n">
        <f>1208288570000</f>
        <v>1.20828857E12</v>
      </c>
      <c r="H115" s="10"/>
      <c r="I115" s="2" t="n">
        <f>11646</f>
        <v>11646.0</v>
      </c>
      <c r="J115" s="10"/>
      <c r="K115" s="2" t="n">
        <f>487340</f>
        <v>487340.0</v>
      </c>
    </row>
    <row r="116">
      <c r="A116" s="8" t="s">
        <v>40</v>
      </c>
      <c r="B116" s="9" t="s">
        <v>55</v>
      </c>
      <c r="C116" s="9" t="s">
        <v>56</v>
      </c>
      <c r="D116" s="10" t="s">
        <v>20</v>
      </c>
      <c r="E116" s="2" t="n">
        <f>36856</f>
        <v>36856.0</v>
      </c>
      <c r="F116" s="10" t="s">
        <v>20</v>
      </c>
      <c r="G116" s="2" t="n">
        <f>991006862000</f>
        <v>9.91006862E11</v>
      </c>
      <c r="H116" s="10"/>
      <c r="I116" s="2" t="n">
        <f>9643</f>
        <v>9643.0</v>
      </c>
      <c r="J116" s="10"/>
      <c r="K116" s="2" t="n">
        <f>488208</f>
        <v>488208.0</v>
      </c>
    </row>
    <row r="117">
      <c r="A117" s="8" t="s">
        <v>41</v>
      </c>
      <c r="B117" s="9" t="s">
        <v>55</v>
      </c>
      <c r="C117" s="9" t="s">
        <v>56</v>
      </c>
      <c r="D117" s="10"/>
      <c r="E117" s="2" t="n">
        <f>46206</f>
        <v>46206.0</v>
      </c>
      <c r="F117" s="10"/>
      <c r="G117" s="2" t="n">
        <f>1245650177850</f>
        <v>1.24565017785E12</v>
      </c>
      <c r="H117" s="10"/>
      <c r="I117" s="2" t="n">
        <f>11641</f>
        <v>11641.0</v>
      </c>
      <c r="J117" s="10"/>
      <c r="K117" s="2" t="n">
        <f>489593</f>
        <v>489593.0</v>
      </c>
    </row>
    <row r="118">
      <c r="A118" s="8" t="s">
        <v>42</v>
      </c>
      <c r="B118" s="9" t="s">
        <v>55</v>
      </c>
      <c r="C118" s="9" t="s">
        <v>56</v>
      </c>
      <c r="D118" s="10"/>
      <c r="E118" s="2"/>
      <c r="F118" s="10"/>
      <c r="G118" s="2"/>
      <c r="H118" s="10"/>
      <c r="I118" s="2"/>
      <c r="J118" s="10"/>
      <c r="K118" s="2"/>
    </row>
    <row r="119">
      <c r="A119" s="8" t="s">
        <v>43</v>
      </c>
      <c r="B119" s="9" t="s">
        <v>55</v>
      </c>
      <c r="C119" s="9" t="s">
        <v>56</v>
      </c>
      <c r="D119" s="10"/>
      <c r="E119" s="2"/>
      <c r="F119" s="10"/>
      <c r="G119" s="2"/>
      <c r="H119" s="10"/>
      <c r="I119" s="2"/>
      <c r="J119" s="10"/>
      <c r="K119" s="2"/>
    </row>
    <row r="120">
      <c r="A120" s="8" t="s">
        <v>44</v>
      </c>
      <c r="B120" s="9" t="s">
        <v>55</v>
      </c>
      <c r="C120" s="9" t="s">
        <v>56</v>
      </c>
      <c r="D120" s="10"/>
      <c r="E120" s="2" t="n">
        <f>59266</f>
        <v>59266.0</v>
      </c>
      <c r="F120" s="10"/>
      <c r="G120" s="2" t="n">
        <f>1609352193650</f>
        <v>1.60935219365E12</v>
      </c>
      <c r="H120" s="10"/>
      <c r="I120" s="2" t="n">
        <f>16626</f>
        <v>16626.0</v>
      </c>
      <c r="J120" s="10"/>
      <c r="K120" s="2" t="n">
        <f>487666</f>
        <v>487666.0</v>
      </c>
    </row>
    <row r="121">
      <c r="A121" s="8" t="s">
        <v>45</v>
      </c>
      <c r="B121" s="9" t="s">
        <v>55</v>
      </c>
      <c r="C121" s="9" t="s">
        <v>56</v>
      </c>
      <c r="D121" s="10"/>
      <c r="E121" s="2" t="n">
        <f>58035</f>
        <v>58035.0</v>
      </c>
      <c r="F121" s="10"/>
      <c r="G121" s="2" t="n">
        <f>1562444335250</f>
        <v>1.56244433525E12</v>
      </c>
      <c r="H121" s="10"/>
      <c r="I121" s="2" t="n">
        <f>14931</f>
        <v>14931.0</v>
      </c>
      <c r="J121" s="10"/>
      <c r="K121" s="2" t="n">
        <f>492611</f>
        <v>492611.0</v>
      </c>
    </row>
    <row r="122">
      <c r="A122" s="8" t="s">
        <v>46</v>
      </c>
      <c r="B122" s="9" t="s">
        <v>55</v>
      </c>
      <c r="C122" s="9" t="s">
        <v>56</v>
      </c>
      <c r="D122" s="10"/>
      <c r="E122" s="2" t="n">
        <f>49374</f>
        <v>49374.0</v>
      </c>
      <c r="F122" s="10"/>
      <c r="G122" s="2" t="n">
        <f>1319596975700</f>
        <v>1.3195969757E12</v>
      </c>
      <c r="H122" s="10"/>
      <c r="I122" s="2" t="n">
        <f>13379</f>
        <v>13379.0</v>
      </c>
      <c r="J122" s="10"/>
      <c r="K122" s="2" t="n">
        <f>491426</f>
        <v>491426.0</v>
      </c>
    </row>
    <row r="123">
      <c r="A123" s="8" t="s">
        <v>47</v>
      </c>
      <c r="B123" s="9" t="s">
        <v>55</v>
      </c>
      <c r="C123" s="9" t="s">
        <v>56</v>
      </c>
      <c r="D123" s="10"/>
      <c r="E123" s="2" t="n">
        <f>64015</f>
        <v>64015.0</v>
      </c>
      <c r="F123" s="10"/>
      <c r="G123" s="2" t="n">
        <f>1711157300620</f>
        <v>1.71115730062E12</v>
      </c>
      <c r="H123" s="10"/>
      <c r="I123" s="2" t="n">
        <f>13901</f>
        <v>13901.0</v>
      </c>
      <c r="J123" s="10"/>
      <c r="K123" s="2" t="n">
        <f>492255</f>
        <v>492255.0</v>
      </c>
    </row>
    <row r="124">
      <c r="A124" s="8" t="s">
        <v>48</v>
      </c>
      <c r="B124" s="9" t="s">
        <v>55</v>
      </c>
      <c r="C124" s="9" t="s">
        <v>56</v>
      </c>
      <c r="D124" s="10"/>
      <c r="E124" s="2" t="n">
        <f>67560</f>
        <v>67560.0</v>
      </c>
      <c r="F124" s="10"/>
      <c r="G124" s="2" t="n">
        <f>1811105563500</f>
        <v>1.8111055635E12</v>
      </c>
      <c r="H124" s="10"/>
      <c r="I124" s="2" t="n">
        <f>15320</f>
        <v>15320.0</v>
      </c>
      <c r="J124" s="10" t="s">
        <v>19</v>
      </c>
      <c r="K124" s="2" t="n">
        <f>495445</f>
        <v>495445.0</v>
      </c>
    </row>
    <row r="125">
      <c r="A125" s="8" t="s">
        <v>49</v>
      </c>
      <c r="B125" s="9" t="s">
        <v>55</v>
      </c>
      <c r="C125" s="9" t="s">
        <v>56</v>
      </c>
      <c r="D125" s="10"/>
      <c r="E125" s="2"/>
      <c r="F125" s="10"/>
      <c r="G125" s="2"/>
      <c r="H125" s="10"/>
      <c r="I125" s="2"/>
      <c r="J125" s="10"/>
      <c r="K125" s="2"/>
    </row>
    <row r="126">
      <c r="A126" s="8" t="s">
        <v>16</v>
      </c>
      <c r="B126" s="9" t="s">
        <v>57</v>
      </c>
      <c r="C126" s="9" t="s">
        <v>58</v>
      </c>
      <c r="D126" s="10"/>
      <c r="E126" s="2" t="n">
        <f>22013</f>
        <v>22013.0</v>
      </c>
      <c r="F126" s="10"/>
      <c r="G126" s="2" t="n">
        <f>58589515650</f>
        <v>5.858951565E10</v>
      </c>
      <c r="H126" s="10"/>
      <c r="I126" s="2" t="n">
        <f>1481</f>
        <v>1481.0</v>
      </c>
      <c r="J126" s="10" t="s">
        <v>20</v>
      </c>
      <c r="K126" s="2" t="n">
        <f>44272</f>
        <v>44272.0</v>
      </c>
    </row>
    <row r="127">
      <c r="A127" s="8" t="s">
        <v>21</v>
      </c>
      <c r="B127" s="9" t="s">
        <v>57</v>
      </c>
      <c r="C127" s="9" t="s">
        <v>58</v>
      </c>
      <c r="D127" s="10"/>
      <c r="E127" s="2"/>
      <c r="F127" s="10"/>
      <c r="G127" s="2"/>
      <c r="H127" s="10"/>
      <c r="I127" s="2"/>
      <c r="J127" s="10"/>
      <c r="K127" s="2"/>
    </row>
    <row r="128">
      <c r="A128" s="8" t="s">
        <v>22</v>
      </c>
      <c r="B128" s="9" t="s">
        <v>57</v>
      </c>
      <c r="C128" s="9" t="s">
        <v>58</v>
      </c>
      <c r="D128" s="10"/>
      <c r="E128" s="2"/>
      <c r="F128" s="10"/>
      <c r="G128" s="2"/>
      <c r="H128" s="10"/>
      <c r="I128" s="2"/>
      <c r="J128" s="10"/>
      <c r="K128" s="2"/>
    </row>
    <row r="129">
      <c r="A129" s="8" t="s">
        <v>23</v>
      </c>
      <c r="B129" s="9" t="s">
        <v>57</v>
      </c>
      <c r="C129" s="9" t="s">
        <v>58</v>
      </c>
      <c r="D129" s="10"/>
      <c r="E129" s="2"/>
      <c r="F129" s="10"/>
      <c r="G129" s="2"/>
      <c r="H129" s="10"/>
      <c r="I129" s="2"/>
      <c r="J129" s="10"/>
      <c r="K129" s="2"/>
    </row>
    <row r="130">
      <c r="A130" s="8" t="s">
        <v>24</v>
      </c>
      <c r="B130" s="9" t="s">
        <v>57</v>
      </c>
      <c r="C130" s="9" t="s">
        <v>58</v>
      </c>
      <c r="D130" s="10"/>
      <c r="E130" s="2" t="n">
        <f>16776</f>
        <v>16776.0</v>
      </c>
      <c r="F130" s="10"/>
      <c r="G130" s="2" t="n">
        <f>44706108350</f>
        <v>4.470610835E10</v>
      </c>
      <c r="H130" s="10"/>
      <c r="I130" s="2" t="n">
        <f>1632</f>
        <v>1632.0</v>
      </c>
      <c r="J130" s="10"/>
      <c r="K130" s="2" t="n">
        <f>44650</f>
        <v>44650.0</v>
      </c>
    </row>
    <row r="131">
      <c r="A131" s="8" t="s">
        <v>25</v>
      </c>
      <c r="B131" s="9" t="s">
        <v>57</v>
      </c>
      <c r="C131" s="9" t="s">
        <v>58</v>
      </c>
      <c r="D131" s="10"/>
      <c r="E131" s="2" t="n">
        <f>22922</f>
        <v>22922.0</v>
      </c>
      <c r="F131" s="10"/>
      <c r="G131" s="2" t="n">
        <f>62042557470</f>
        <v>6.204255747E10</v>
      </c>
      <c r="H131" s="10"/>
      <c r="I131" s="2" t="n">
        <f>1171</f>
        <v>1171.0</v>
      </c>
      <c r="J131" s="10"/>
      <c r="K131" s="2" t="n">
        <f>45215</f>
        <v>45215.0</v>
      </c>
    </row>
    <row r="132">
      <c r="A132" s="8" t="s">
        <v>26</v>
      </c>
      <c r="B132" s="9" t="s">
        <v>57</v>
      </c>
      <c r="C132" s="9" t="s">
        <v>58</v>
      </c>
      <c r="D132" s="10" t="s">
        <v>19</v>
      </c>
      <c r="E132" s="2" t="n">
        <f>25602</f>
        <v>25602.0</v>
      </c>
      <c r="F132" s="10" t="s">
        <v>19</v>
      </c>
      <c r="G132" s="2" t="n">
        <f>70303780320</f>
        <v>7.030378032E10</v>
      </c>
      <c r="H132" s="10"/>
      <c r="I132" s="2" t="n">
        <f>1692</f>
        <v>1692.0</v>
      </c>
      <c r="J132" s="10"/>
      <c r="K132" s="2" t="n">
        <f>45232</f>
        <v>45232.0</v>
      </c>
    </row>
    <row r="133">
      <c r="A133" s="8" t="s">
        <v>27</v>
      </c>
      <c r="B133" s="9" t="s">
        <v>57</v>
      </c>
      <c r="C133" s="9" t="s">
        <v>58</v>
      </c>
      <c r="D133" s="10"/>
      <c r="E133" s="2" t="n">
        <f>18232</f>
        <v>18232.0</v>
      </c>
      <c r="F133" s="10"/>
      <c r="G133" s="2" t="n">
        <f>50127970700</f>
        <v>5.01279707E10</v>
      </c>
      <c r="H133" s="10"/>
      <c r="I133" s="2" t="n">
        <f>947</f>
        <v>947.0</v>
      </c>
      <c r="J133" s="10"/>
      <c r="K133" s="2" t="n">
        <f>46342</f>
        <v>46342.0</v>
      </c>
    </row>
    <row r="134">
      <c r="A134" s="8" t="s">
        <v>28</v>
      </c>
      <c r="B134" s="9" t="s">
        <v>57</v>
      </c>
      <c r="C134" s="9" t="s">
        <v>58</v>
      </c>
      <c r="D134" s="10"/>
      <c r="E134" s="2"/>
      <c r="F134" s="10"/>
      <c r="G134" s="2"/>
      <c r="H134" s="10"/>
      <c r="I134" s="2"/>
      <c r="J134" s="10"/>
      <c r="K134" s="2"/>
    </row>
    <row r="135">
      <c r="A135" s="8" t="s">
        <v>29</v>
      </c>
      <c r="B135" s="9" t="s">
        <v>57</v>
      </c>
      <c r="C135" s="9" t="s">
        <v>58</v>
      </c>
      <c r="D135" s="10"/>
      <c r="E135" s="2"/>
      <c r="F135" s="10"/>
      <c r="G135" s="2"/>
      <c r="H135" s="10"/>
      <c r="I135" s="2"/>
      <c r="J135" s="10"/>
      <c r="K135" s="2"/>
    </row>
    <row r="136">
      <c r="A136" s="8" t="s">
        <v>30</v>
      </c>
      <c r="B136" s="9" t="s">
        <v>57</v>
      </c>
      <c r="C136" s="9" t="s">
        <v>58</v>
      </c>
      <c r="D136" s="10"/>
      <c r="E136" s="2" t="n">
        <f>14395</f>
        <v>14395.0</v>
      </c>
      <c r="F136" s="10"/>
      <c r="G136" s="2" t="n">
        <f>39356445450</f>
        <v>3.935644545E10</v>
      </c>
      <c r="H136" s="10" t="s">
        <v>20</v>
      </c>
      <c r="I136" s="2" t="n">
        <f>807</f>
        <v>807.0</v>
      </c>
      <c r="J136" s="10"/>
      <c r="K136" s="2" t="n">
        <f>47010</f>
        <v>47010.0</v>
      </c>
    </row>
    <row r="137">
      <c r="A137" s="8" t="s">
        <v>31</v>
      </c>
      <c r="B137" s="9" t="s">
        <v>57</v>
      </c>
      <c r="C137" s="9" t="s">
        <v>58</v>
      </c>
      <c r="D137" s="10"/>
      <c r="E137" s="2" t="n">
        <f>18014</f>
        <v>18014.0</v>
      </c>
      <c r="F137" s="10"/>
      <c r="G137" s="2" t="n">
        <f>49579174450</f>
        <v>4.957917445E10</v>
      </c>
      <c r="H137" s="10"/>
      <c r="I137" s="2" t="n">
        <f>1346</f>
        <v>1346.0</v>
      </c>
      <c r="J137" s="10"/>
      <c r="K137" s="2" t="n">
        <f>47317</f>
        <v>47317.0</v>
      </c>
    </row>
    <row r="138">
      <c r="A138" s="8" t="s">
        <v>32</v>
      </c>
      <c r="B138" s="9" t="s">
        <v>57</v>
      </c>
      <c r="C138" s="9" t="s">
        <v>58</v>
      </c>
      <c r="D138" s="10"/>
      <c r="E138" s="2" t="n">
        <f>17802</f>
        <v>17802.0</v>
      </c>
      <c r="F138" s="10"/>
      <c r="G138" s="2" t="n">
        <f>48496476060</f>
        <v>4.849647606E10</v>
      </c>
      <c r="H138" s="10"/>
      <c r="I138" s="2" t="n">
        <f>950</f>
        <v>950.0</v>
      </c>
      <c r="J138" s="10"/>
      <c r="K138" s="2" t="n">
        <f>46801</f>
        <v>46801.0</v>
      </c>
    </row>
    <row r="139">
      <c r="A139" s="8" t="s">
        <v>33</v>
      </c>
      <c r="B139" s="9" t="s">
        <v>57</v>
      </c>
      <c r="C139" s="9" t="s">
        <v>58</v>
      </c>
      <c r="D139" s="10"/>
      <c r="E139" s="2" t="n">
        <f>17050</f>
        <v>17050.0</v>
      </c>
      <c r="F139" s="10"/>
      <c r="G139" s="2" t="n">
        <f>46298358450</f>
        <v>4.629835845E10</v>
      </c>
      <c r="H139" s="10"/>
      <c r="I139" s="2" t="n">
        <f>1392</f>
        <v>1392.0</v>
      </c>
      <c r="J139" s="10"/>
      <c r="K139" s="2" t="n">
        <f>46501</f>
        <v>46501.0</v>
      </c>
    </row>
    <row r="140">
      <c r="A140" s="8" t="s">
        <v>34</v>
      </c>
      <c r="B140" s="9" t="s">
        <v>57</v>
      </c>
      <c r="C140" s="9" t="s">
        <v>58</v>
      </c>
      <c r="D140" s="10"/>
      <c r="E140" s="2" t="n">
        <f>18297</f>
        <v>18297.0</v>
      </c>
      <c r="F140" s="10"/>
      <c r="G140" s="2" t="n">
        <f>49819578300</f>
        <v>4.98195783E10</v>
      </c>
      <c r="H140" s="10"/>
      <c r="I140" s="2" t="n">
        <f>1282</f>
        <v>1282.0</v>
      </c>
      <c r="J140" s="10"/>
      <c r="K140" s="2" t="n">
        <f>46991</f>
        <v>46991.0</v>
      </c>
    </row>
    <row r="141">
      <c r="A141" s="8" t="s">
        <v>35</v>
      </c>
      <c r="B141" s="9" t="s">
        <v>57</v>
      </c>
      <c r="C141" s="9" t="s">
        <v>58</v>
      </c>
      <c r="D141" s="10"/>
      <c r="E141" s="2"/>
      <c r="F141" s="10"/>
      <c r="G141" s="2"/>
      <c r="H141" s="10"/>
      <c r="I141" s="2"/>
      <c r="J141" s="10"/>
      <c r="K141" s="2"/>
    </row>
    <row r="142">
      <c r="A142" s="8" t="s">
        <v>36</v>
      </c>
      <c r="B142" s="9" t="s">
        <v>57</v>
      </c>
      <c r="C142" s="9" t="s">
        <v>58</v>
      </c>
      <c r="D142" s="10"/>
      <c r="E142" s="2"/>
      <c r="F142" s="10"/>
      <c r="G142" s="2"/>
      <c r="H142" s="10"/>
      <c r="I142" s="2"/>
      <c r="J142" s="10"/>
      <c r="K142" s="2"/>
    </row>
    <row r="143">
      <c r="A143" s="8" t="s">
        <v>37</v>
      </c>
      <c r="B143" s="9" t="s">
        <v>57</v>
      </c>
      <c r="C143" s="9" t="s">
        <v>58</v>
      </c>
      <c r="D143" s="10"/>
      <c r="E143" s="2" t="n">
        <f>17149</f>
        <v>17149.0</v>
      </c>
      <c r="F143" s="10"/>
      <c r="G143" s="2" t="n">
        <f>46191189250</f>
        <v>4.619118925E10</v>
      </c>
      <c r="H143" s="10"/>
      <c r="I143" s="2" t="n">
        <f>909</f>
        <v>909.0</v>
      </c>
      <c r="J143" s="10" t="s">
        <v>19</v>
      </c>
      <c r="K143" s="2" t="n">
        <f>51245</f>
        <v>51245.0</v>
      </c>
    </row>
    <row r="144">
      <c r="A144" s="8" t="s">
        <v>38</v>
      </c>
      <c r="B144" s="9" t="s">
        <v>57</v>
      </c>
      <c r="C144" s="9" t="s">
        <v>58</v>
      </c>
      <c r="D144" s="10" t="s">
        <v>20</v>
      </c>
      <c r="E144" s="2" t="n">
        <f>13378</f>
        <v>13378.0</v>
      </c>
      <c r="F144" s="10" t="s">
        <v>20</v>
      </c>
      <c r="G144" s="2" t="n">
        <f>36190394325</f>
        <v>3.6190394325E10</v>
      </c>
      <c r="H144" s="10"/>
      <c r="I144" s="2" t="n">
        <f>1001</f>
        <v>1001.0</v>
      </c>
      <c r="J144" s="10"/>
      <c r="K144" s="2" t="n">
        <f>47438</f>
        <v>47438.0</v>
      </c>
    </row>
    <row r="145">
      <c r="A145" s="8" t="s">
        <v>39</v>
      </c>
      <c r="B145" s="9" t="s">
        <v>57</v>
      </c>
      <c r="C145" s="9" t="s">
        <v>58</v>
      </c>
      <c r="D145" s="10"/>
      <c r="E145" s="2" t="n">
        <f>20487</f>
        <v>20487.0</v>
      </c>
      <c r="F145" s="10"/>
      <c r="G145" s="2" t="n">
        <f>55229296950</f>
        <v>5.522929695E10</v>
      </c>
      <c r="H145" s="10"/>
      <c r="I145" s="2" t="n">
        <f>1092</f>
        <v>1092.0</v>
      </c>
      <c r="J145" s="10"/>
      <c r="K145" s="2" t="n">
        <f>48528</f>
        <v>48528.0</v>
      </c>
    </row>
    <row r="146">
      <c r="A146" s="8" t="s">
        <v>40</v>
      </c>
      <c r="B146" s="9" t="s">
        <v>57</v>
      </c>
      <c r="C146" s="9" t="s">
        <v>58</v>
      </c>
      <c r="D146" s="10"/>
      <c r="E146" s="2" t="n">
        <f>13627</f>
        <v>13627.0</v>
      </c>
      <c r="F146" s="10"/>
      <c r="G146" s="2" t="n">
        <f>36665211900</f>
        <v>3.66652119E10</v>
      </c>
      <c r="H146" s="10"/>
      <c r="I146" s="2" t="n">
        <f>880</f>
        <v>880.0</v>
      </c>
      <c r="J146" s="10"/>
      <c r="K146" s="2" t="n">
        <f>48770</f>
        <v>48770.0</v>
      </c>
    </row>
    <row r="147">
      <c r="A147" s="8" t="s">
        <v>41</v>
      </c>
      <c r="B147" s="9" t="s">
        <v>57</v>
      </c>
      <c r="C147" s="9" t="s">
        <v>58</v>
      </c>
      <c r="D147" s="10"/>
      <c r="E147" s="2" t="n">
        <f>16247</f>
        <v>16247.0</v>
      </c>
      <c r="F147" s="10"/>
      <c r="G147" s="2" t="n">
        <f>43710851150</f>
        <v>4.371085115E10</v>
      </c>
      <c r="H147" s="10"/>
      <c r="I147" s="2" t="n">
        <f>1642</f>
        <v>1642.0</v>
      </c>
      <c r="J147" s="10"/>
      <c r="K147" s="2" t="n">
        <f>49661</f>
        <v>49661.0</v>
      </c>
    </row>
    <row r="148">
      <c r="A148" s="8" t="s">
        <v>42</v>
      </c>
      <c r="B148" s="9" t="s">
        <v>57</v>
      </c>
      <c r="C148" s="9" t="s">
        <v>58</v>
      </c>
      <c r="D148" s="10"/>
      <c r="E148" s="2"/>
      <c r="F148" s="10"/>
      <c r="G148" s="2"/>
      <c r="H148" s="10"/>
      <c r="I148" s="2"/>
      <c r="J148" s="10"/>
      <c r="K148" s="2"/>
    </row>
    <row r="149">
      <c r="A149" s="8" t="s">
        <v>43</v>
      </c>
      <c r="B149" s="9" t="s">
        <v>57</v>
      </c>
      <c r="C149" s="9" t="s">
        <v>58</v>
      </c>
      <c r="D149" s="10"/>
      <c r="E149" s="2"/>
      <c r="F149" s="10"/>
      <c r="G149" s="2"/>
      <c r="H149" s="10"/>
      <c r="I149" s="2"/>
      <c r="J149" s="10"/>
      <c r="K149" s="2"/>
    </row>
    <row r="150">
      <c r="A150" s="8" t="s">
        <v>44</v>
      </c>
      <c r="B150" s="9" t="s">
        <v>57</v>
      </c>
      <c r="C150" s="9" t="s">
        <v>58</v>
      </c>
      <c r="D150" s="10"/>
      <c r="E150" s="2" t="n">
        <f>17556</f>
        <v>17556.0</v>
      </c>
      <c r="F150" s="10"/>
      <c r="G150" s="2" t="n">
        <f>47656690150</f>
        <v>4.765669015E10</v>
      </c>
      <c r="H150" s="10" t="s">
        <v>19</v>
      </c>
      <c r="I150" s="2" t="n">
        <f>2552</f>
        <v>2552.0</v>
      </c>
      <c r="J150" s="10"/>
      <c r="K150" s="2" t="n">
        <f>48407</f>
        <v>48407.0</v>
      </c>
    </row>
    <row r="151">
      <c r="A151" s="8" t="s">
        <v>45</v>
      </c>
      <c r="B151" s="9" t="s">
        <v>57</v>
      </c>
      <c r="C151" s="9" t="s">
        <v>58</v>
      </c>
      <c r="D151" s="10"/>
      <c r="E151" s="2" t="n">
        <f>17186</f>
        <v>17186.0</v>
      </c>
      <c r="F151" s="10"/>
      <c r="G151" s="2" t="n">
        <f>46324588375</f>
        <v>4.6324588375E10</v>
      </c>
      <c r="H151" s="10"/>
      <c r="I151" s="2" t="n">
        <f>1672</f>
        <v>1672.0</v>
      </c>
      <c r="J151" s="10"/>
      <c r="K151" s="2" t="n">
        <f>48571</f>
        <v>48571.0</v>
      </c>
    </row>
    <row r="152">
      <c r="A152" s="8" t="s">
        <v>46</v>
      </c>
      <c r="B152" s="9" t="s">
        <v>57</v>
      </c>
      <c r="C152" s="9" t="s">
        <v>58</v>
      </c>
      <c r="D152" s="10"/>
      <c r="E152" s="2" t="n">
        <f>16014</f>
        <v>16014.0</v>
      </c>
      <c r="F152" s="10"/>
      <c r="G152" s="2" t="n">
        <f>42840528375</f>
        <v>4.2840528375E10</v>
      </c>
      <c r="H152" s="10"/>
      <c r="I152" s="2" t="n">
        <f>1671</f>
        <v>1671.0</v>
      </c>
      <c r="J152" s="10"/>
      <c r="K152" s="2" t="n">
        <f>48059</f>
        <v>48059.0</v>
      </c>
    </row>
    <row r="153">
      <c r="A153" s="8" t="s">
        <v>47</v>
      </c>
      <c r="B153" s="9" t="s">
        <v>57</v>
      </c>
      <c r="C153" s="9" t="s">
        <v>58</v>
      </c>
      <c r="D153" s="10"/>
      <c r="E153" s="2" t="n">
        <f>18454</f>
        <v>18454.0</v>
      </c>
      <c r="F153" s="10"/>
      <c r="G153" s="2" t="n">
        <f>49230724810</f>
        <v>4.923072481E10</v>
      </c>
      <c r="H153" s="10"/>
      <c r="I153" s="2" t="n">
        <f>1794</f>
        <v>1794.0</v>
      </c>
      <c r="J153" s="10"/>
      <c r="K153" s="2" t="n">
        <f>48140</f>
        <v>48140.0</v>
      </c>
    </row>
    <row r="154">
      <c r="A154" s="8" t="s">
        <v>48</v>
      </c>
      <c r="B154" s="9" t="s">
        <v>57</v>
      </c>
      <c r="C154" s="9" t="s">
        <v>58</v>
      </c>
      <c r="D154" s="10"/>
      <c r="E154" s="2" t="n">
        <f>14485</f>
        <v>14485.0</v>
      </c>
      <c r="F154" s="10"/>
      <c r="G154" s="2" t="n">
        <f>38836823680</f>
        <v>3.883682368E10</v>
      </c>
      <c r="H154" s="10"/>
      <c r="I154" s="2" t="n">
        <f>1397</f>
        <v>1397.0</v>
      </c>
      <c r="J154" s="10"/>
      <c r="K154" s="2" t="n">
        <f>47520</f>
        <v>47520.0</v>
      </c>
    </row>
    <row r="155">
      <c r="A155" s="8" t="s">
        <v>49</v>
      </c>
      <c r="B155" s="9" t="s">
        <v>57</v>
      </c>
      <c r="C155" s="9" t="s">
        <v>58</v>
      </c>
      <c r="D155" s="10"/>
      <c r="E155" s="2"/>
      <c r="F155" s="10"/>
      <c r="G155" s="2"/>
      <c r="H155" s="10"/>
      <c r="I155" s="2"/>
      <c r="J155" s="10"/>
      <c r="K155" s="2"/>
    </row>
    <row r="156">
      <c r="A156" s="8" t="s">
        <v>16</v>
      </c>
      <c r="B156" s="9" t="s">
        <v>59</v>
      </c>
      <c r="C156" s="9" t="s">
        <v>60</v>
      </c>
      <c r="D156" s="10" t="s">
        <v>20</v>
      </c>
      <c r="E156" s="2" t="str">
        <f>"－"</f>
        <v>－</v>
      </c>
      <c r="F156" s="10" t="s">
        <v>20</v>
      </c>
      <c r="G156" s="2" t="str">
        <f>"－"</f>
        <v>－</v>
      </c>
      <c r="H156" s="10" t="s">
        <v>54</v>
      </c>
      <c r="I156" s="2" t="str">
        <f>"－"</f>
        <v>－</v>
      </c>
      <c r="J156" s="10" t="s">
        <v>20</v>
      </c>
      <c r="K156" s="2" t="n">
        <f>58</f>
        <v>58.0</v>
      </c>
    </row>
    <row r="157">
      <c r="A157" s="8" t="s">
        <v>21</v>
      </c>
      <c r="B157" s="9" t="s">
        <v>59</v>
      </c>
      <c r="C157" s="9" t="s">
        <v>60</v>
      </c>
      <c r="D157" s="10"/>
      <c r="E157" s="2"/>
      <c r="F157" s="10"/>
      <c r="G157" s="2"/>
      <c r="H157" s="10"/>
      <c r="I157" s="2"/>
      <c r="J157" s="10"/>
      <c r="K157" s="2"/>
    </row>
    <row r="158">
      <c r="A158" s="8" t="s">
        <v>22</v>
      </c>
      <c r="B158" s="9" t="s">
        <v>59</v>
      </c>
      <c r="C158" s="9" t="s">
        <v>60</v>
      </c>
      <c r="D158" s="10"/>
      <c r="E158" s="2"/>
      <c r="F158" s="10"/>
      <c r="G158" s="2"/>
      <c r="H158" s="10"/>
      <c r="I158" s="2"/>
      <c r="J158" s="10"/>
      <c r="K158" s="2"/>
    </row>
    <row r="159">
      <c r="A159" s="8" t="s">
        <v>23</v>
      </c>
      <c r="B159" s="9" t="s">
        <v>59</v>
      </c>
      <c r="C159" s="9" t="s">
        <v>60</v>
      </c>
      <c r="D159" s="10"/>
      <c r="E159" s="2"/>
      <c r="F159" s="10"/>
      <c r="G159" s="2"/>
      <c r="H159" s="10"/>
      <c r="I159" s="2"/>
      <c r="J159" s="10"/>
      <c r="K159" s="2"/>
    </row>
    <row r="160">
      <c r="A160" s="8" t="s">
        <v>24</v>
      </c>
      <c r="B160" s="9" t="s">
        <v>59</v>
      </c>
      <c r="C160" s="9" t="s">
        <v>60</v>
      </c>
      <c r="D160" s="10"/>
      <c r="E160" s="2" t="str">
        <f>"－"</f>
        <v>－</v>
      </c>
      <c r="F160" s="10"/>
      <c r="G160" s="2" t="str">
        <f>"－"</f>
        <v>－</v>
      </c>
      <c r="H160" s="10"/>
      <c r="I160" s="2" t="str">
        <f>"－"</f>
        <v>－</v>
      </c>
      <c r="J160" s="10"/>
      <c r="K160" s="2" t="n">
        <f>58</f>
        <v>58.0</v>
      </c>
    </row>
    <row r="161">
      <c r="A161" s="8" t="s">
        <v>25</v>
      </c>
      <c r="B161" s="9" t="s">
        <v>59</v>
      </c>
      <c r="C161" s="9" t="s">
        <v>60</v>
      </c>
      <c r="D161" s="10"/>
      <c r="E161" s="2" t="str">
        <f>"－"</f>
        <v>－</v>
      </c>
      <c r="F161" s="10"/>
      <c r="G161" s="2" t="str">
        <f>"－"</f>
        <v>－</v>
      </c>
      <c r="H161" s="10"/>
      <c r="I161" s="2" t="str">
        <f>"－"</f>
        <v>－</v>
      </c>
      <c r="J161" s="10"/>
      <c r="K161" s="2" t="n">
        <f>58</f>
        <v>58.0</v>
      </c>
    </row>
    <row r="162">
      <c r="A162" s="8" t="s">
        <v>26</v>
      </c>
      <c r="B162" s="9" t="s">
        <v>59</v>
      </c>
      <c r="C162" s="9" t="s">
        <v>60</v>
      </c>
      <c r="D162" s="10"/>
      <c r="E162" s="2" t="str">
        <f>"－"</f>
        <v>－</v>
      </c>
      <c r="F162" s="10"/>
      <c r="G162" s="2" t="str">
        <f>"－"</f>
        <v>－</v>
      </c>
      <c r="H162" s="10"/>
      <c r="I162" s="2" t="str">
        <f>"－"</f>
        <v>－</v>
      </c>
      <c r="J162" s="10"/>
      <c r="K162" s="2" t="n">
        <f>58</f>
        <v>58.0</v>
      </c>
    </row>
    <row r="163">
      <c r="A163" s="8" t="s">
        <v>27</v>
      </c>
      <c r="B163" s="9" t="s">
        <v>59</v>
      </c>
      <c r="C163" s="9" t="s">
        <v>60</v>
      </c>
      <c r="D163" s="10"/>
      <c r="E163" s="2" t="str">
        <f>"－"</f>
        <v>－</v>
      </c>
      <c r="F163" s="10"/>
      <c r="G163" s="2" t="str">
        <f>"－"</f>
        <v>－</v>
      </c>
      <c r="H163" s="10"/>
      <c r="I163" s="2" t="str">
        <f>"－"</f>
        <v>－</v>
      </c>
      <c r="J163" s="10"/>
      <c r="K163" s="2" t="n">
        <f>58</f>
        <v>58.0</v>
      </c>
    </row>
    <row r="164">
      <c r="A164" s="8" t="s">
        <v>28</v>
      </c>
      <c r="B164" s="9" t="s">
        <v>59</v>
      </c>
      <c r="C164" s="9" t="s">
        <v>60</v>
      </c>
      <c r="D164" s="10"/>
      <c r="E164" s="2"/>
      <c r="F164" s="10"/>
      <c r="G164" s="2"/>
      <c r="H164" s="10"/>
      <c r="I164" s="2"/>
      <c r="J164" s="10"/>
      <c r="K164" s="2"/>
    </row>
    <row r="165">
      <c r="A165" s="8" t="s">
        <v>29</v>
      </c>
      <c r="B165" s="9" t="s">
        <v>59</v>
      </c>
      <c r="C165" s="9" t="s">
        <v>60</v>
      </c>
      <c r="D165" s="10"/>
      <c r="E165" s="2"/>
      <c r="F165" s="10"/>
      <c r="G165" s="2"/>
      <c r="H165" s="10"/>
      <c r="I165" s="2"/>
      <c r="J165" s="10"/>
      <c r="K165" s="2"/>
    </row>
    <row r="166">
      <c r="A166" s="8" t="s">
        <v>30</v>
      </c>
      <c r="B166" s="9" t="s">
        <v>59</v>
      </c>
      <c r="C166" s="9" t="s">
        <v>60</v>
      </c>
      <c r="D166" s="10"/>
      <c r="E166" s="2" t="str">
        <f>"－"</f>
        <v>－</v>
      </c>
      <c r="F166" s="10"/>
      <c r="G166" s="2" t="str">
        <f>"－"</f>
        <v>－</v>
      </c>
      <c r="H166" s="10"/>
      <c r="I166" s="2" t="str">
        <f>"－"</f>
        <v>－</v>
      </c>
      <c r="J166" s="10"/>
      <c r="K166" s="2" t="n">
        <f>58</f>
        <v>58.0</v>
      </c>
    </row>
    <row r="167">
      <c r="A167" s="8" t="s">
        <v>31</v>
      </c>
      <c r="B167" s="9" t="s">
        <v>59</v>
      </c>
      <c r="C167" s="9" t="s">
        <v>60</v>
      </c>
      <c r="D167" s="10"/>
      <c r="E167" s="2" t="str">
        <f>"－"</f>
        <v>－</v>
      </c>
      <c r="F167" s="10"/>
      <c r="G167" s="2" t="str">
        <f>"－"</f>
        <v>－</v>
      </c>
      <c r="H167" s="10"/>
      <c r="I167" s="2" t="str">
        <f>"－"</f>
        <v>－</v>
      </c>
      <c r="J167" s="10"/>
      <c r="K167" s="2" t="n">
        <f>58</f>
        <v>58.0</v>
      </c>
    </row>
    <row r="168">
      <c r="A168" s="8" t="s">
        <v>32</v>
      </c>
      <c r="B168" s="9" t="s">
        <v>59</v>
      </c>
      <c r="C168" s="9" t="s">
        <v>60</v>
      </c>
      <c r="D168" s="10" t="s">
        <v>19</v>
      </c>
      <c r="E168" s="2" t="n">
        <f>1</f>
        <v>1.0</v>
      </c>
      <c r="F168" s="10" t="s">
        <v>19</v>
      </c>
      <c r="G168" s="2" t="n">
        <f>1204500</f>
        <v>1204500.0</v>
      </c>
      <c r="H168" s="10"/>
      <c r="I168" s="2" t="str">
        <f>"－"</f>
        <v>－</v>
      </c>
      <c r="J168" s="10" t="s">
        <v>19</v>
      </c>
      <c r="K168" s="2" t="n">
        <f>59</f>
        <v>59.0</v>
      </c>
    </row>
    <row r="169">
      <c r="A169" s="8" t="s">
        <v>33</v>
      </c>
      <c r="B169" s="9" t="s">
        <v>59</v>
      </c>
      <c r="C169" s="9" t="s">
        <v>60</v>
      </c>
      <c r="D169" s="10"/>
      <c r="E169" s="2" t="str">
        <f>"－"</f>
        <v>－</v>
      </c>
      <c r="F169" s="10"/>
      <c r="G169" s="2" t="str">
        <f>"－"</f>
        <v>－</v>
      </c>
      <c r="H169" s="10"/>
      <c r="I169" s="2" t="str">
        <f>"－"</f>
        <v>－</v>
      </c>
      <c r="J169" s="10"/>
      <c r="K169" s="2" t="n">
        <f>59</f>
        <v>59.0</v>
      </c>
    </row>
    <row r="170">
      <c r="A170" s="8" t="s">
        <v>34</v>
      </c>
      <c r="B170" s="9" t="s">
        <v>59</v>
      </c>
      <c r="C170" s="9" t="s">
        <v>60</v>
      </c>
      <c r="D170" s="10"/>
      <c r="E170" s="2" t="str">
        <f>"－"</f>
        <v>－</v>
      </c>
      <c r="F170" s="10"/>
      <c r="G170" s="2" t="str">
        <f>"－"</f>
        <v>－</v>
      </c>
      <c r="H170" s="10"/>
      <c r="I170" s="2" t="str">
        <f>"－"</f>
        <v>－</v>
      </c>
      <c r="J170" s="10"/>
      <c r="K170" s="2" t="n">
        <f>59</f>
        <v>59.0</v>
      </c>
    </row>
    <row r="171">
      <c r="A171" s="8" t="s">
        <v>35</v>
      </c>
      <c r="B171" s="9" t="s">
        <v>59</v>
      </c>
      <c r="C171" s="9" t="s">
        <v>60</v>
      </c>
      <c r="D171" s="10"/>
      <c r="E171" s="2"/>
      <c r="F171" s="10"/>
      <c r="G171" s="2"/>
      <c r="H171" s="10"/>
      <c r="I171" s="2"/>
      <c r="J171" s="10"/>
      <c r="K171" s="2"/>
    </row>
    <row r="172">
      <c r="A172" s="8" t="s">
        <v>36</v>
      </c>
      <c r="B172" s="9" t="s">
        <v>59</v>
      </c>
      <c r="C172" s="9" t="s">
        <v>60</v>
      </c>
      <c r="D172" s="10"/>
      <c r="E172" s="2"/>
      <c r="F172" s="10"/>
      <c r="G172" s="2"/>
      <c r="H172" s="10"/>
      <c r="I172" s="2"/>
      <c r="J172" s="10"/>
      <c r="K172" s="2"/>
    </row>
    <row r="173">
      <c r="A173" s="8" t="s">
        <v>37</v>
      </c>
      <c r="B173" s="9" t="s">
        <v>59</v>
      </c>
      <c r="C173" s="9" t="s">
        <v>60</v>
      </c>
      <c r="D173" s="10"/>
      <c r="E173" s="2" t="str">
        <f>"－"</f>
        <v>－</v>
      </c>
      <c r="F173" s="10"/>
      <c r="G173" s="2" t="str">
        <f>"－"</f>
        <v>－</v>
      </c>
      <c r="H173" s="10"/>
      <c r="I173" s="2" t="str">
        <f>"－"</f>
        <v>－</v>
      </c>
      <c r="J173" s="10"/>
      <c r="K173" s="2" t="n">
        <f>59</f>
        <v>59.0</v>
      </c>
    </row>
    <row r="174">
      <c r="A174" s="8" t="s">
        <v>38</v>
      </c>
      <c r="B174" s="9" t="s">
        <v>59</v>
      </c>
      <c r="C174" s="9" t="s">
        <v>60</v>
      </c>
      <c r="D174" s="10"/>
      <c r="E174" s="2" t="str">
        <f>"－"</f>
        <v>－</v>
      </c>
      <c r="F174" s="10"/>
      <c r="G174" s="2" t="str">
        <f>"－"</f>
        <v>－</v>
      </c>
      <c r="H174" s="10"/>
      <c r="I174" s="2" t="str">
        <f>"－"</f>
        <v>－</v>
      </c>
      <c r="J174" s="10"/>
      <c r="K174" s="2" t="n">
        <f>59</f>
        <v>59.0</v>
      </c>
    </row>
    <row r="175">
      <c r="A175" s="8" t="s">
        <v>39</v>
      </c>
      <c r="B175" s="9" t="s">
        <v>59</v>
      </c>
      <c r="C175" s="9" t="s">
        <v>60</v>
      </c>
      <c r="D175" s="10"/>
      <c r="E175" s="2" t="str">
        <f>"－"</f>
        <v>－</v>
      </c>
      <c r="F175" s="10"/>
      <c r="G175" s="2" t="str">
        <f>"－"</f>
        <v>－</v>
      </c>
      <c r="H175" s="10"/>
      <c r="I175" s="2" t="str">
        <f>"－"</f>
        <v>－</v>
      </c>
      <c r="J175" s="10"/>
      <c r="K175" s="2" t="n">
        <f>59</f>
        <v>59.0</v>
      </c>
    </row>
    <row r="176">
      <c r="A176" s="8" t="s">
        <v>40</v>
      </c>
      <c r="B176" s="9" t="s">
        <v>59</v>
      </c>
      <c r="C176" s="9" t="s">
        <v>60</v>
      </c>
      <c r="D176" s="10"/>
      <c r="E176" s="2" t="str">
        <f>"－"</f>
        <v>－</v>
      </c>
      <c r="F176" s="10"/>
      <c r="G176" s="2" t="str">
        <f>"－"</f>
        <v>－</v>
      </c>
      <c r="H176" s="10"/>
      <c r="I176" s="2" t="str">
        <f>"－"</f>
        <v>－</v>
      </c>
      <c r="J176" s="10"/>
      <c r="K176" s="2" t="n">
        <f>59</f>
        <v>59.0</v>
      </c>
    </row>
    <row r="177">
      <c r="A177" s="8" t="s">
        <v>41</v>
      </c>
      <c r="B177" s="9" t="s">
        <v>59</v>
      </c>
      <c r="C177" s="9" t="s">
        <v>60</v>
      </c>
      <c r="D177" s="10"/>
      <c r="E177" s="2" t="str">
        <f>"－"</f>
        <v>－</v>
      </c>
      <c r="F177" s="10"/>
      <c r="G177" s="2" t="str">
        <f>"－"</f>
        <v>－</v>
      </c>
      <c r="H177" s="10"/>
      <c r="I177" s="2" t="str">
        <f>"－"</f>
        <v>－</v>
      </c>
      <c r="J177" s="10"/>
      <c r="K177" s="2" t="n">
        <f>59</f>
        <v>59.0</v>
      </c>
    </row>
    <row r="178">
      <c r="A178" s="8" t="s">
        <v>42</v>
      </c>
      <c r="B178" s="9" t="s">
        <v>59</v>
      </c>
      <c r="C178" s="9" t="s">
        <v>60</v>
      </c>
      <c r="D178" s="10"/>
      <c r="E178" s="2"/>
      <c r="F178" s="10"/>
      <c r="G178" s="2"/>
      <c r="H178" s="10"/>
      <c r="I178" s="2"/>
      <c r="J178" s="10"/>
      <c r="K178" s="2"/>
    </row>
    <row r="179">
      <c r="A179" s="8" t="s">
        <v>43</v>
      </c>
      <c r="B179" s="9" t="s">
        <v>59</v>
      </c>
      <c r="C179" s="9" t="s">
        <v>60</v>
      </c>
      <c r="D179" s="10"/>
      <c r="E179" s="2"/>
      <c r="F179" s="10"/>
      <c r="G179" s="2"/>
      <c r="H179" s="10"/>
      <c r="I179" s="2"/>
      <c r="J179" s="10"/>
      <c r="K179" s="2"/>
    </row>
    <row r="180">
      <c r="A180" s="8" t="s">
        <v>44</v>
      </c>
      <c r="B180" s="9" t="s">
        <v>59</v>
      </c>
      <c r="C180" s="9" t="s">
        <v>60</v>
      </c>
      <c r="D180" s="10"/>
      <c r="E180" s="2" t="str">
        <f>"－"</f>
        <v>－</v>
      </c>
      <c r="F180" s="10"/>
      <c r="G180" s="2" t="str">
        <f>"－"</f>
        <v>－</v>
      </c>
      <c r="H180" s="10"/>
      <c r="I180" s="2" t="str">
        <f>"－"</f>
        <v>－</v>
      </c>
      <c r="J180" s="10"/>
      <c r="K180" s="2" t="n">
        <f>59</f>
        <v>59.0</v>
      </c>
    </row>
    <row r="181">
      <c r="A181" s="8" t="s">
        <v>45</v>
      </c>
      <c r="B181" s="9" t="s">
        <v>59</v>
      </c>
      <c r="C181" s="9" t="s">
        <v>60</v>
      </c>
      <c r="D181" s="10"/>
      <c r="E181" s="2" t="n">
        <f>1</f>
        <v>1.0</v>
      </c>
      <c r="F181" s="10"/>
      <c r="G181" s="2" t="n">
        <f>1191500</f>
        <v>1191500.0</v>
      </c>
      <c r="H181" s="10"/>
      <c r="I181" s="2" t="str">
        <f>"－"</f>
        <v>－</v>
      </c>
      <c r="J181" s="10"/>
      <c r="K181" s="2" t="n">
        <f>58</f>
        <v>58.0</v>
      </c>
    </row>
    <row r="182">
      <c r="A182" s="8" t="s">
        <v>46</v>
      </c>
      <c r="B182" s="9" t="s">
        <v>59</v>
      </c>
      <c r="C182" s="9" t="s">
        <v>60</v>
      </c>
      <c r="D182" s="10"/>
      <c r="E182" s="2" t="str">
        <f>"－"</f>
        <v>－</v>
      </c>
      <c r="F182" s="10"/>
      <c r="G182" s="2" t="str">
        <f>"－"</f>
        <v>－</v>
      </c>
      <c r="H182" s="10"/>
      <c r="I182" s="2" t="str">
        <f>"－"</f>
        <v>－</v>
      </c>
      <c r="J182" s="10"/>
      <c r="K182" s="2" t="n">
        <f>58</f>
        <v>58.0</v>
      </c>
    </row>
    <row r="183">
      <c r="A183" s="8" t="s">
        <v>47</v>
      </c>
      <c r="B183" s="9" t="s">
        <v>59</v>
      </c>
      <c r="C183" s="9" t="s">
        <v>60</v>
      </c>
      <c r="D183" s="10"/>
      <c r="E183" s="2" t="str">
        <f>"－"</f>
        <v>－</v>
      </c>
      <c r="F183" s="10"/>
      <c r="G183" s="2" t="str">
        <f>"－"</f>
        <v>－</v>
      </c>
      <c r="H183" s="10"/>
      <c r="I183" s="2" t="str">
        <f>"－"</f>
        <v>－</v>
      </c>
      <c r="J183" s="10"/>
      <c r="K183" s="2" t="n">
        <f>58</f>
        <v>58.0</v>
      </c>
    </row>
    <row r="184">
      <c r="A184" s="8" t="s">
        <v>48</v>
      </c>
      <c r="B184" s="9" t="s">
        <v>59</v>
      </c>
      <c r="C184" s="9" t="s">
        <v>60</v>
      </c>
      <c r="D184" s="10"/>
      <c r="E184" s="2" t="str">
        <f>"－"</f>
        <v>－</v>
      </c>
      <c r="F184" s="10"/>
      <c r="G184" s="2" t="str">
        <f>"－"</f>
        <v>－</v>
      </c>
      <c r="H184" s="10"/>
      <c r="I184" s="2" t="str">
        <f>"－"</f>
        <v>－</v>
      </c>
      <c r="J184" s="10"/>
      <c r="K184" s="2" t="n">
        <f>58</f>
        <v>58.0</v>
      </c>
    </row>
    <row r="185">
      <c r="A185" s="8" t="s">
        <v>49</v>
      </c>
      <c r="B185" s="9" t="s">
        <v>59</v>
      </c>
      <c r="C185" s="9" t="s">
        <v>60</v>
      </c>
      <c r="D185" s="10"/>
      <c r="E185" s="2"/>
      <c r="F185" s="10"/>
      <c r="G185" s="2"/>
      <c r="H185" s="10"/>
      <c r="I185" s="2"/>
      <c r="J185" s="10"/>
      <c r="K185" s="2"/>
    </row>
    <row r="186">
      <c r="A186" s="8" t="s">
        <v>16</v>
      </c>
      <c r="B186" s="9" t="s">
        <v>61</v>
      </c>
      <c r="C186" s="9" t="s">
        <v>62</v>
      </c>
      <c r="D186" s="10"/>
      <c r="E186" s="2" t="n">
        <f>4120</f>
        <v>4120.0</v>
      </c>
      <c r="F186" s="10"/>
      <c r="G186" s="2" t="n">
        <f>9997143000</f>
        <v>9.997143E9</v>
      </c>
      <c r="H186" s="10"/>
      <c r="I186" s="2" t="n">
        <f>344</f>
        <v>344.0</v>
      </c>
      <c r="J186" s="10" t="s">
        <v>20</v>
      </c>
      <c r="K186" s="2" t="n">
        <f>53659</f>
        <v>53659.0</v>
      </c>
    </row>
    <row r="187">
      <c r="A187" s="8" t="s">
        <v>21</v>
      </c>
      <c r="B187" s="9" t="s">
        <v>61</v>
      </c>
      <c r="C187" s="9" t="s">
        <v>62</v>
      </c>
      <c r="D187" s="10"/>
      <c r="E187" s="2"/>
      <c r="F187" s="10"/>
      <c r="G187" s="2"/>
      <c r="H187" s="10"/>
      <c r="I187" s="2"/>
      <c r="J187" s="10"/>
      <c r="K187" s="2"/>
    </row>
    <row r="188">
      <c r="A188" s="8" t="s">
        <v>22</v>
      </c>
      <c r="B188" s="9" t="s">
        <v>61</v>
      </c>
      <c r="C188" s="9" t="s">
        <v>62</v>
      </c>
      <c r="D188" s="10"/>
      <c r="E188" s="2"/>
      <c r="F188" s="10"/>
      <c r="G188" s="2"/>
      <c r="H188" s="10"/>
      <c r="I188" s="2"/>
      <c r="J188" s="10"/>
      <c r="K188" s="2"/>
    </row>
    <row r="189">
      <c r="A189" s="8" t="s">
        <v>23</v>
      </c>
      <c r="B189" s="9" t="s">
        <v>61</v>
      </c>
      <c r="C189" s="9" t="s">
        <v>62</v>
      </c>
      <c r="D189" s="10"/>
      <c r="E189" s="2"/>
      <c r="F189" s="10"/>
      <c r="G189" s="2"/>
      <c r="H189" s="10"/>
      <c r="I189" s="2"/>
      <c r="J189" s="10"/>
      <c r="K189" s="2"/>
    </row>
    <row r="190">
      <c r="A190" s="8" t="s">
        <v>24</v>
      </c>
      <c r="B190" s="9" t="s">
        <v>61</v>
      </c>
      <c r="C190" s="9" t="s">
        <v>62</v>
      </c>
      <c r="D190" s="10"/>
      <c r="E190" s="2" t="n">
        <f>2856</f>
        <v>2856.0</v>
      </c>
      <c r="F190" s="10"/>
      <c r="G190" s="2" t="n">
        <f>6959594510</f>
        <v>6.95959451E9</v>
      </c>
      <c r="H190" s="10"/>
      <c r="I190" s="2" t="n">
        <f>579</f>
        <v>579.0</v>
      </c>
      <c r="J190" s="10"/>
      <c r="K190" s="2" t="n">
        <f>53682</f>
        <v>53682.0</v>
      </c>
    </row>
    <row r="191">
      <c r="A191" s="8" t="s">
        <v>25</v>
      </c>
      <c r="B191" s="9" t="s">
        <v>61</v>
      </c>
      <c r="C191" s="9" t="s">
        <v>62</v>
      </c>
      <c r="D191" s="10"/>
      <c r="E191" s="2" t="n">
        <f>4401</f>
        <v>4401.0</v>
      </c>
      <c r="F191" s="10"/>
      <c r="G191" s="2" t="n">
        <f>10874852040</f>
        <v>1.087485204E10</v>
      </c>
      <c r="H191" s="10"/>
      <c r="I191" s="2" t="n">
        <f>500</f>
        <v>500.0</v>
      </c>
      <c r="J191" s="10"/>
      <c r="K191" s="2" t="n">
        <f>53844</f>
        <v>53844.0</v>
      </c>
    </row>
    <row r="192">
      <c r="A192" s="8" t="s">
        <v>26</v>
      </c>
      <c r="B192" s="9" t="s">
        <v>61</v>
      </c>
      <c r="C192" s="9" t="s">
        <v>62</v>
      </c>
      <c r="D192" s="10"/>
      <c r="E192" s="2" t="n">
        <f>5232</f>
        <v>5232.0</v>
      </c>
      <c r="F192" s="10"/>
      <c r="G192" s="2" t="n">
        <f>13102673600</f>
        <v>1.31026736E10</v>
      </c>
      <c r="H192" s="10"/>
      <c r="I192" s="2" t="n">
        <f>608</f>
        <v>608.0</v>
      </c>
      <c r="J192" s="10"/>
      <c r="K192" s="2" t="n">
        <f>54467</f>
        <v>54467.0</v>
      </c>
    </row>
    <row r="193">
      <c r="A193" s="8" t="s">
        <v>27</v>
      </c>
      <c r="B193" s="9" t="s">
        <v>61</v>
      </c>
      <c r="C193" s="9" t="s">
        <v>62</v>
      </c>
      <c r="D193" s="10"/>
      <c r="E193" s="2" t="n">
        <f>3624</f>
        <v>3624.0</v>
      </c>
      <c r="F193" s="10"/>
      <c r="G193" s="2" t="n">
        <f>9095933000</f>
        <v>9.095933E9</v>
      </c>
      <c r="H193" s="10"/>
      <c r="I193" s="2" t="n">
        <f>380</f>
        <v>380.0</v>
      </c>
      <c r="J193" s="10"/>
      <c r="K193" s="2" t="n">
        <f>54411</f>
        <v>54411.0</v>
      </c>
    </row>
    <row r="194">
      <c r="A194" s="8" t="s">
        <v>28</v>
      </c>
      <c r="B194" s="9" t="s">
        <v>61</v>
      </c>
      <c r="C194" s="9" t="s">
        <v>62</v>
      </c>
      <c r="D194" s="10"/>
      <c r="E194" s="2"/>
      <c r="F194" s="10"/>
      <c r="G194" s="2"/>
      <c r="H194" s="10"/>
      <c r="I194" s="2"/>
      <c r="J194" s="10"/>
      <c r="K194" s="2"/>
    </row>
    <row r="195">
      <c r="A195" s="8" t="s">
        <v>29</v>
      </c>
      <c r="B195" s="9" t="s">
        <v>61</v>
      </c>
      <c r="C195" s="9" t="s">
        <v>62</v>
      </c>
      <c r="D195" s="10"/>
      <c r="E195" s="2"/>
      <c r="F195" s="10"/>
      <c r="G195" s="2"/>
      <c r="H195" s="10"/>
      <c r="I195" s="2"/>
      <c r="J195" s="10"/>
      <c r="K195" s="2"/>
    </row>
    <row r="196">
      <c r="A196" s="8" t="s">
        <v>30</v>
      </c>
      <c r="B196" s="9" t="s">
        <v>61</v>
      </c>
      <c r="C196" s="9" t="s">
        <v>62</v>
      </c>
      <c r="D196" s="10"/>
      <c r="E196" s="2" t="n">
        <f>3551</f>
        <v>3551.0</v>
      </c>
      <c r="F196" s="10"/>
      <c r="G196" s="2" t="n">
        <f>8853515970</f>
        <v>8.85351597E9</v>
      </c>
      <c r="H196" s="10"/>
      <c r="I196" s="2" t="n">
        <f>806</f>
        <v>806.0</v>
      </c>
      <c r="J196" s="10"/>
      <c r="K196" s="2" t="n">
        <f>54316</f>
        <v>54316.0</v>
      </c>
    </row>
    <row r="197">
      <c r="A197" s="8" t="s">
        <v>31</v>
      </c>
      <c r="B197" s="9" t="s">
        <v>61</v>
      </c>
      <c r="C197" s="9" t="s">
        <v>62</v>
      </c>
      <c r="D197" s="10" t="s">
        <v>19</v>
      </c>
      <c r="E197" s="2" t="n">
        <f>8069</f>
        <v>8069.0</v>
      </c>
      <c r="F197" s="10" t="s">
        <v>19</v>
      </c>
      <c r="G197" s="2" t="n">
        <f>20197573653</f>
        <v>2.0197573653E10</v>
      </c>
      <c r="H197" s="10"/>
      <c r="I197" s="2" t="n">
        <f>658</f>
        <v>658.0</v>
      </c>
      <c r="J197" s="10"/>
      <c r="K197" s="2" t="n">
        <f>54707</f>
        <v>54707.0</v>
      </c>
    </row>
    <row r="198">
      <c r="A198" s="8" t="s">
        <v>32</v>
      </c>
      <c r="B198" s="9" t="s">
        <v>61</v>
      </c>
      <c r="C198" s="9" t="s">
        <v>62</v>
      </c>
      <c r="D198" s="10"/>
      <c r="E198" s="2" t="n">
        <f>6484</f>
        <v>6484.0</v>
      </c>
      <c r="F198" s="10"/>
      <c r="G198" s="2" t="n">
        <f>16042522576</f>
        <v>1.6042522576E10</v>
      </c>
      <c r="H198" s="10" t="s">
        <v>19</v>
      </c>
      <c r="I198" s="2" t="n">
        <f>965</f>
        <v>965.0</v>
      </c>
      <c r="J198" s="10"/>
      <c r="K198" s="2" t="n">
        <f>57605</f>
        <v>57605.0</v>
      </c>
    </row>
    <row r="199">
      <c r="A199" s="8" t="s">
        <v>33</v>
      </c>
      <c r="B199" s="9" t="s">
        <v>61</v>
      </c>
      <c r="C199" s="9" t="s">
        <v>62</v>
      </c>
      <c r="D199" s="10"/>
      <c r="E199" s="2" t="n">
        <f>2349</f>
        <v>2349.0</v>
      </c>
      <c r="F199" s="10"/>
      <c r="G199" s="2" t="n">
        <f>5808619950</f>
        <v>5.80861995E9</v>
      </c>
      <c r="H199" s="10"/>
      <c r="I199" s="2" t="n">
        <f>344</f>
        <v>344.0</v>
      </c>
      <c r="J199" s="10"/>
      <c r="K199" s="2" t="n">
        <f>57661</f>
        <v>57661.0</v>
      </c>
    </row>
    <row r="200">
      <c r="A200" s="8" t="s">
        <v>34</v>
      </c>
      <c r="B200" s="9" t="s">
        <v>61</v>
      </c>
      <c r="C200" s="9" t="s">
        <v>62</v>
      </c>
      <c r="D200" s="10"/>
      <c r="E200" s="2" t="n">
        <f>7069</f>
        <v>7069.0</v>
      </c>
      <c r="F200" s="10"/>
      <c r="G200" s="2" t="n">
        <f>17482543104</f>
        <v>1.7482543104E10</v>
      </c>
      <c r="H200" s="10"/>
      <c r="I200" s="2" t="n">
        <f>589</f>
        <v>589.0</v>
      </c>
      <c r="J200" s="10"/>
      <c r="K200" s="2" t="n">
        <f>57955</f>
        <v>57955.0</v>
      </c>
    </row>
    <row r="201">
      <c r="A201" s="8" t="s">
        <v>35</v>
      </c>
      <c r="B201" s="9" t="s">
        <v>61</v>
      </c>
      <c r="C201" s="9" t="s">
        <v>62</v>
      </c>
      <c r="D201" s="10"/>
      <c r="E201" s="2"/>
      <c r="F201" s="10"/>
      <c r="G201" s="2"/>
      <c r="H201" s="10"/>
      <c r="I201" s="2"/>
      <c r="J201" s="10"/>
      <c r="K201" s="2"/>
    </row>
    <row r="202">
      <c r="A202" s="8" t="s">
        <v>36</v>
      </c>
      <c r="B202" s="9" t="s">
        <v>61</v>
      </c>
      <c r="C202" s="9" t="s">
        <v>62</v>
      </c>
      <c r="D202" s="10"/>
      <c r="E202" s="2"/>
      <c r="F202" s="10"/>
      <c r="G202" s="2"/>
      <c r="H202" s="10"/>
      <c r="I202" s="2"/>
      <c r="J202" s="10"/>
      <c r="K202" s="2"/>
    </row>
    <row r="203">
      <c r="A203" s="8" t="s">
        <v>37</v>
      </c>
      <c r="B203" s="9" t="s">
        <v>61</v>
      </c>
      <c r="C203" s="9" t="s">
        <v>62</v>
      </c>
      <c r="D203" s="10"/>
      <c r="E203" s="2" t="n">
        <f>3002</f>
        <v>3002.0</v>
      </c>
      <c r="F203" s="10"/>
      <c r="G203" s="2" t="n">
        <f>7368915540</f>
        <v>7.36891554E9</v>
      </c>
      <c r="H203" s="10"/>
      <c r="I203" s="2" t="n">
        <f>361</f>
        <v>361.0</v>
      </c>
      <c r="J203" s="10" t="s">
        <v>19</v>
      </c>
      <c r="K203" s="2" t="n">
        <f>58867</f>
        <v>58867.0</v>
      </c>
    </row>
    <row r="204">
      <c r="A204" s="8" t="s">
        <v>38</v>
      </c>
      <c r="B204" s="9" t="s">
        <v>61</v>
      </c>
      <c r="C204" s="9" t="s">
        <v>62</v>
      </c>
      <c r="D204" s="10"/>
      <c r="E204" s="2" t="n">
        <f>3017</f>
        <v>3017.0</v>
      </c>
      <c r="F204" s="10"/>
      <c r="G204" s="2" t="n">
        <f>7426133510</f>
        <v>7.42613351E9</v>
      </c>
      <c r="H204" s="10"/>
      <c r="I204" s="2" t="n">
        <f>336</f>
        <v>336.0</v>
      </c>
      <c r="J204" s="10"/>
      <c r="K204" s="2" t="n">
        <f>58323</f>
        <v>58323.0</v>
      </c>
    </row>
    <row r="205">
      <c r="A205" s="8" t="s">
        <v>39</v>
      </c>
      <c r="B205" s="9" t="s">
        <v>61</v>
      </c>
      <c r="C205" s="9" t="s">
        <v>62</v>
      </c>
      <c r="D205" s="10"/>
      <c r="E205" s="2" t="n">
        <f>3267</f>
        <v>3267.0</v>
      </c>
      <c r="F205" s="10"/>
      <c r="G205" s="2" t="n">
        <f>8040516480</f>
        <v>8.04051648E9</v>
      </c>
      <c r="H205" s="10"/>
      <c r="I205" s="2" t="n">
        <f>401</f>
        <v>401.0</v>
      </c>
      <c r="J205" s="10"/>
      <c r="K205" s="2" t="n">
        <f>58356</f>
        <v>58356.0</v>
      </c>
    </row>
    <row r="206">
      <c r="A206" s="8" t="s">
        <v>40</v>
      </c>
      <c r="B206" s="9" t="s">
        <v>61</v>
      </c>
      <c r="C206" s="9" t="s">
        <v>62</v>
      </c>
      <c r="D206" s="10"/>
      <c r="E206" s="2" t="n">
        <f>2747</f>
        <v>2747.0</v>
      </c>
      <c r="F206" s="10"/>
      <c r="G206" s="2" t="n">
        <f>6726174520</f>
        <v>6.72617452E9</v>
      </c>
      <c r="H206" s="10"/>
      <c r="I206" s="2" t="n">
        <f>425</f>
        <v>425.0</v>
      </c>
      <c r="J206" s="10"/>
      <c r="K206" s="2" t="n">
        <f>57869</f>
        <v>57869.0</v>
      </c>
    </row>
    <row r="207">
      <c r="A207" s="8" t="s">
        <v>41</v>
      </c>
      <c r="B207" s="9" t="s">
        <v>61</v>
      </c>
      <c r="C207" s="9" t="s">
        <v>62</v>
      </c>
      <c r="D207" s="10"/>
      <c r="E207" s="2" t="n">
        <f>2756</f>
        <v>2756.0</v>
      </c>
      <c r="F207" s="10"/>
      <c r="G207" s="2" t="n">
        <f>6756910980</f>
        <v>6.75691098E9</v>
      </c>
      <c r="H207" s="10"/>
      <c r="I207" s="2" t="n">
        <f>434</f>
        <v>434.0</v>
      </c>
      <c r="J207" s="10"/>
      <c r="K207" s="2" t="n">
        <f>57827</f>
        <v>57827.0</v>
      </c>
    </row>
    <row r="208">
      <c r="A208" s="8" t="s">
        <v>42</v>
      </c>
      <c r="B208" s="9" t="s">
        <v>61</v>
      </c>
      <c r="C208" s="9" t="s">
        <v>62</v>
      </c>
      <c r="D208" s="10"/>
      <c r="E208" s="2"/>
      <c r="F208" s="10"/>
      <c r="G208" s="2"/>
      <c r="H208" s="10"/>
      <c r="I208" s="2"/>
      <c r="J208" s="10"/>
      <c r="K208" s="2"/>
    </row>
    <row r="209">
      <c r="A209" s="8" t="s">
        <v>43</v>
      </c>
      <c r="B209" s="9" t="s">
        <v>61</v>
      </c>
      <c r="C209" s="9" t="s">
        <v>62</v>
      </c>
      <c r="D209" s="10"/>
      <c r="E209" s="2"/>
      <c r="F209" s="10"/>
      <c r="G209" s="2"/>
      <c r="H209" s="10"/>
      <c r="I209" s="2"/>
      <c r="J209" s="10"/>
      <c r="K209" s="2"/>
    </row>
    <row r="210">
      <c r="A210" s="8" t="s">
        <v>44</v>
      </c>
      <c r="B210" s="9" t="s">
        <v>61</v>
      </c>
      <c r="C210" s="9" t="s">
        <v>62</v>
      </c>
      <c r="D210" s="10"/>
      <c r="E210" s="2" t="n">
        <f>3208</f>
        <v>3208.0</v>
      </c>
      <c r="F210" s="10"/>
      <c r="G210" s="2" t="n">
        <f>7928289920</f>
        <v>7.92828992E9</v>
      </c>
      <c r="H210" s="10"/>
      <c r="I210" s="2" t="n">
        <f>360</f>
        <v>360.0</v>
      </c>
      <c r="J210" s="10"/>
      <c r="K210" s="2" t="n">
        <f>58086</f>
        <v>58086.0</v>
      </c>
    </row>
    <row r="211">
      <c r="A211" s="8" t="s">
        <v>45</v>
      </c>
      <c r="B211" s="9" t="s">
        <v>61</v>
      </c>
      <c r="C211" s="9" t="s">
        <v>62</v>
      </c>
      <c r="D211" s="10"/>
      <c r="E211" s="2" t="n">
        <f>3485</f>
        <v>3485.0</v>
      </c>
      <c r="F211" s="10"/>
      <c r="G211" s="2" t="n">
        <f>8538492459</f>
        <v>8.538492459E9</v>
      </c>
      <c r="H211" s="10"/>
      <c r="I211" s="2" t="n">
        <f>394</f>
        <v>394.0</v>
      </c>
      <c r="J211" s="10"/>
      <c r="K211" s="2" t="n">
        <f>57880</f>
        <v>57880.0</v>
      </c>
    </row>
    <row r="212">
      <c r="A212" s="8" t="s">
        <v>46</v>
      </c>
      <c r="B212" s="9" t="s">
        <v>61</v>
      </c>
      <c r="C212" s="9" t="s">
        <v>62</v>
      </c>
      <c r="D212" s="10" t="s">
        <v>20</v>
      </c>
      <c r="E212" s="2" t="n">
        <f>2295</f>
        <v>2295.0</v>
      </c>
      <c r="F212" s="10" t="s">
        <v>20</v>
      </c>
      <c r="G212" s="2" t="n">
        <f>5589208990</f>
        <v>5.58920899E9</v>
      </c>
      <c r="H212" s="10" t="s">
        <v>20</v>
      </c>
      <c r="I212" s="2" t="n">
        <f>245</f>
        <v>245.0</v>
      </c>
      <c r="J212" s="10"/>
      <c r="K212" s="2" t="n">
        <f>57998</f>
        <v>57998.0</v>
      </c>
    </row>
    <row r="213">
      <c r="A213" s="8" t="s">
        <v>47</v>
      </c>
      <c r="B213" s="9" t="s">
        <v>61</v>
      </c>
      <c r="C213" s="9" t="s">
        <v>62</v>
      </c>
      <c r="D213" s="10"/>
      <c r="E213" s="2" t="n">
        <f>2827</f>
        <v>2827.0</v>
      </c>
      <c r="F213" s="10"/>
      <c r="G213" s="2" t="n">
        <f>6875952200</f>
        <v>6.8759522E9</v>
      </c>
      <c r="H213" s="10"/>
      <c r="I213" s="2" t="n">
        <f>284</f>
        <v>284.0</v>
      </c>
      <c r="J213" s="10"/>
      <c r="K213" s="2" t="n">
        <f>57597</f>
        <v>57597.0</v>
      </c>
    </row>
    <row r="214">
      <c r="A214" s="8" t="s">
        <v>48</v>
      </c>
      <c r="B214" s="9" t="s">
        <v>61</v>
      </c>
      <c r="C214" s="9" t="s">
        <v>62</v>
      </c>
      <c r="D214" s="10"/>
      <c r="E214" s="2" t="n">
        <f>2773</f>
        <v>2773.0</v>
      </c>
      <c r="F214" s="10"/>
      <c r="G214" s="2" t="n">
        <f>6760364175</f>
        <v>6.760364175E9</v>
      </c>
      <c r="H214" s="10"/>
      <c r="I214" s="2" t="n">
        <f>255</f>
        <v>255.0</v>
      </c>
      <c r="J214" s="10"/>
      <c r="K214" s="2" t="n">
        <f>57798</f>
        <v>57798.0</v>
      </c>
    </row>
    <row r="215">
      <c r="A215" s="8" t="s">
        <v>49</v>
      </c>
      <c r="B215" s="9" t="s">
        <v>61</v>
      </c>
      <c r="C215" s="9" t="s">
        <v>62</v>
      </c>
      <c r="D215" s="10"/>
      <c r="E215" s="2"/>
      <c r="F215" s="10"/>
      <c r="G215" s="2"/>
      <c r="H215" s="10"/>
      <c r="I215" s="2"/>
      <c r="J215" s="10"/>
      <c r="K215" s="2"/>
    </row>
    <row r="216">
      <c r="A216" s="8" t="s">
        <v>16</v>
      </c>
      <c r="B216" s="9" t="s">
        <v>63</v>
      </c>
      <c r="C216" s="9" t="s">
        <v>64</v>
      </c>
      <c r="D216" s="10" t="s">
        <v>54</v>
      </c>
      <c r="E216" s="2" t="str">
        <f>"－"</f>
        <v>－</v>
      </c>
      <c r="F216" s="10" t="s">
        <v>54</v>
      </c>
      <c r="G216" s="2" t="str">
        <f>"－"</f>
        <v>－</v>
      </c>
      <c r="H216" s="10" t="s">
        <v>54</v>
      </c>
      <c r="I216" s="2" t="str">
        <f>"－"</f>
        <v>－</v>
      </c>
      <c r="J216" s="10" t="s">
        <v>54</v>
      </c>
      <c r="K216" s="2" t="n">
        <f>146</f>
        <v>146.0</v>
      </c>
    </row>
    <row r="217">
      <c r="A217" s="8" t="s">
        <v>21</v>
      </c>
      <c r="B217" s="9" t="s">
        <v>63</v>
      </c>
      <c r="C217" s="9" t="s">
        <v>64</v>
      </c>
      <c r="D217" s="10"/>
      <c r="E217" s="2"/>
      <c r="F217" s="10"/>
      <c r="G217" s="2"/>
      <c r="H217" s="10"/>
      <c r="I217" s="2"/>
      <c r="J217" s="10"/>
      <c r="K217" s="2"/>
    </row>
    <row r="218">
      <c r="A218" s="8" t="s">
        <v>22</v>
      </c>
      <c r="B218" s="9" t="s">
        <v>63</v>
      </c>
      <c r="C218" s="9" t="s">
        <v>64</v>
      </c>
      <c r="D218" s="10"/>
      <c r="E218" s="2"/>
      <c r="F218" s="10"/>
      <c r="G218" s="2"/>
      <c r="H218" s="10"/>
      <c r="I218" s="2"/>
      <c r="J218" s="10"/>
      <c r="K218" s="2"/>
    </row>
    <row r="219">
      <c r="A219" s="8" t="s">
        <v>23</v>
      </c>
      <c r="B219" s="9" t="s">
        <v>63</v>
      </c>
      <c r="C219" s="9" t="s">
        <v>64</v>
      </c>
      <c r="D219" s="10"/>
      <c r="E219" s="2"/>
      <c r="F219" s="10"/>
      <c r="G219" s="2"/>
      <c r="H219" s="10"/>
      <c r="I219" s="2"/>
      <c r="J219" s="10"/>
      <c r="K219" s="2"/>
    </row>
    <row r="220">
      <c r="A220" s="8" t="s">
        <v>24</v>
      </c>
      <c r="B220" s="9" t="s">
        <v>63</v>
      </c>
      <c r="C220" s="9" t="s">
        <v>64</v>
      </c>
      <c r="D220" s="10"/>
      <c r="E220" s="2" t="str">
        <f>"－"</f>
        <v>－</v>
      </c>
      <c r="F220" s="10"/>
      <c r="G220" s="2" t="str">
        <f>"－"</f>
        <v>－</v>
      </c>
      <c r="H220" s="10"/>
      <c r="I220" s="2" t="str">
        <f>"－"</f>
        <v>－</v>
      </c>
      <c r="J220" s="10"/>
      <c r="K220" s="2" t="n">
        <f>146</f>
        <v>146.0</v>
      </c>
    </row>
    <row r="221">
      <c r="A221" s="8" t="s">
        <v>25</v>
      </c>
      <c r="B221" s="9" t="s">
        <v>63</v>
      </c>
      <c r="C221" s="9" t="s">
        <v>64</v>
      </c>
      <c r="D221" s="10"/>
      <c r="E221" s="2" t="str">
        <f>"－"</f>
        <v>－</v>
      </c>
      <c r="F221" s="10"/>
      <c r="G221" s="2" t="str">
        <f>"－"</f>
        <v>－</v>
      </c>
      <c r="H221" s="10"/>
      <c r="I221" s="2" t="str">
        <f>"－"</f>
        <v>－</v>
      </c>
      <c r="J221" s="10"/>
      <c r="K221" s="2" t="n">
        <f>146</f>
        <v>146.0</v>
      </c>
    </row>
    <row r="222">
      <c r="A222" s="8" t="s">
        <v>26</v>
      </c>
      <c r="B222" s="9" t="s">
        <v>63</v>
      </c>
      <c r="C222" s="9" t="s">
        <v>64</v>
      </c>
      <c r="D222" s="10"/>
      <c r="E222" s="2" t="str">
        <f>"－"</f>
        <v>－</v>
      </c>
      <c r="F222" s="10"/>
      <c r="G222" s="2" t="str">
        <f>"－"</f>
        <v>－</v>
      </c>
      <c r="H222" s="10"/>
      <c r="I222" s="2" t="str">
        <f>"－"</f>
        <v>－</v>
      </c>
      <c r="J222" s="10"/>
      <c r="K222" s="2" t="n">
        <f>146</f>
        <v>146.0</v>
      </c>
    </row>
    <row r="223">
      <c r="A223" s="8" t="s">
        <v>27</v>
      </c>
      <c r="B223" s="9" t="s">
        <v>63</v>
      </c>
      <c r="C223" s="9" t="s">
        <v>64</v>
      </c>
      <c r="D223" s="10"/>
      <c r="E223" s="2" t="str">
        <f>"－"</f>
        <v>－</v>
      </c>
      <c r="F223" s="10"/>
      <c r="G223" s="2" t="str">
        <f>"－"</f>
        <v>－</v>
      </c>
      <c r="H223" s="10"/>
      <c r="I223" s="2" t="str">
        <f>"－"</f>
        <v>－</v>
      </c>
      <c r="J223" s="10"/>
      <c r="K223" s="2" t="n">
        <f>146</f>
        <v>146.0</v>
      </c>
    </row>
    <row r="224">
      <c r="A224" s="8" t="s">
        <v>28</v>
      </c>
      <c r="B224" s="9" t="s">
        <v>63</v>
      </c>
      <c r="C224" s="9" t="s">
        <v>64</v>
      </c>
      <c r="D224" s="10"/>
      <c r="E224" s="2"/>
      <c r="F224" s="10"/>
      <c r="G224" s="2"/>
      <c r="H224" s="10"/>
      <c r="I224" s="2"/>
      <c r="J224" s="10"/>
      <c r="K224" s="2"/>
    </row>
    <row r="225">
      <c r="A225" s="8" t="s">
        <v>29</v>
      </c>
      <c r="B225" s="9" t="s">
        <v>63</v>
      </c>
      <c r="C225" s="9" t="s">
        <v>64</v>
      </c>
      <c r="D225" s="10"/>
      <c r="E225" s="2"/>
      <c r="F225" s="10"/>
      <c r="G225" s="2"/>
      <c r="H225" s="10"/>
      <c r="I225" s="2"/>
      <c r="J225" s="10"/>
      <c r="K225" s="2"/>
    </row>
    <row r="226">
      <c r="A226" s="8" t="s">
        <v>30</v>
      </c>
      <c r="B226" s="9" t="s">
        <v>63</v>
      </c>
      <c r="C226" s="9" t="s">
        <v>64</v>
      </c>
      <c r="D226" s="10"/>
      <c r="E226" s="2" t="str">
        <f>"－"</f>
        <v>－</v>
      </c>
      <c r="F226" s="10"/>
      <c r="G226" s="2" t="str">
        <f>"－"</f>
        <v>－</v>
      </c>
      <c r="H226" s="10"/>
      <c r="I226" s="2" t="str">
        <f>"－"</f>
        <v>－</v>
      </c>
      <c r="J226" s="10"/>
      <c r="K226" s="2" t="n">
        <f>146</f>
        <v>146.0</v>
      </c>
    </row>
    <row r="227">
      <c r="A227" s="8" t="s">
        <v>31</v>
      </c>
      <c r="B227" s="9" t="s">
        <v>63</v>
      </c>
      <c r="C227" s="9" t="s">
        <v>64</v>
      </c>
      <c r="D227" s="10"/>
      <c r="E227" s="2" t="str">
        <f>"－"</f>
        <v>－</v>
      </c>
      <c r="F227" s="10"/>
      <c r="G227" s="2" t="str">
        <f>"－"</f>
        <v>－</v>
      </c>
      <c r="H227" s="10"/>
      <c r="I227" s="2" t="str">
        <f>"－"</f>
        <v>－</v>
      </c>
      <c r="J227" s="10"/>
      <c r="K227" s="2" t="n">
        <f>146</f>
        <v>146.0</v>
      </c>
    </row>
    <row r="228">
      <c r="A228" s="8" t="s">
        <v>32</v>
      </c>
      <c r="B228" s="9" t="s">
        <v>63</v>
      </c>
      <c r="C228" s="9" t="s">
        <v>64</v>
      </c>
      <c r="D228" s="10"/>
      <c r="E228" s="2" t="str">
        <f>"－"</f>
        <v>－</v>
      </c>
      <c r="F228" s="10"/>
      <c r="G228" s="2" t="str">
        <f>"－"</f>
        <v>－</v>
      </c>
      <c r="H228" s="10"/>
      <c r="I228" s="2" t="str">
        <f>"－"</f>
        <v>－</v>
      </c>
      <c r="J228" s="10"/>
      <c r="K228" s="2" t="n">
        <f>146</f>
        <v>146.0</v>
      </c>
    </row>
    <row r="229">
      <c r="A229" s="8" t="s">
        <v>33</v>
      </c>
      <c r="B229" s="9" t="s">
        <v>63</v>
      </c>
      <c r="C229" s="9" t="s">
        <v>64</v>
      </c>
      <c r="D229" s="10"/>
      <c r="E229" s="2" t="str">
        <f>"－"</f>
        <v>－</v>
      </c>
      <c r="F229" s="10"/>
      <c r="G229" s="2" t="str">
        <f>"－"</f>
        <v>－</v>
      </c>
      <c r="H229" s="10"/>
      <c r="I229" s="2" t="str">
        <f>"－"</f>
        <v>－</v>
      </c>
      <c r="J229" s="10"/>
      <c r="K229" s="2" t="n">
        <f>146</f>
        <v>146.0</v>
      </c>
    </row>
    <row r="230">
      <c r="A230" s="8" t="s">
        <v>34</v>
      </c>
      <c r="B230" s="9" t="s">
        <v>63</v>
      </c>
      <c r="C230" s="9" t="s">
        <v>64</v>
      </c>
      <c r="D230" s="10"/>
      <c r="E230" s="2" t="str">
        <f>"－"</f>
        <v>－</v>
      </c>
      <c r="F230" s="10"/>
      <c r="G230" s="2" t="str">
        <f>"－"</f>
        <v>－</v>
      </c>
      <c r="H230" s="10"/>
      <c r="I230" s="2" t="str">
        <f>"－"</f>
        <v>－</v>
      </c>
      <c r="J230" s="10"/>
      <c r="K230" s="2" t="n">
        <f>146</f>
        <v>146.0</v>
      </c>
    </row>
    <row r="231">
      <c r="A231" s="8" t="s">
        <v>35</v>
      </c>
      <c r="B231" s="9" t="s">
        <v>63</v>
      </c>
      <c r="C231" s="9" t="s">
        <v>64</v>
      </c>
      <c r="D231" s="10"/>
      <c r="E231" s="2"/>
      <c r="F231" s="10"/>
      <c r="G231" s="2"/>
      <c r="H231" s="10"/>
      <c r="I231" s="2"/>
      <c r="J231" s="10"/>
      <c r="K231" s="2"/>
    </row>
    <row r="232">
      <c r="A232" s="8" t="s">
        <v>36</v>
      </c>
      <c r="B232" s="9" t="s">
        <v>63</v>
      </c>
      <c r="C232" s="9" t="s">
        <v>64</v>
      </c>
      <c r="D232" s="10"/>
      <c r="E232" s="2"/>
      <c r="F232" s="10"/>
      <c r="G232" s="2"/>
      <c r="H232" s="10"/>
      <c r="I232" s="2"/>
      <c r="J232" s="10"/>
      <c r="K232" s="2"/>
    </row>
    <row r="233">
      <c r="A233" s="8" t="s">
        <v>37</v>
      </c>
      <c r="B233" s="9" t="s">
        <v>63</v>
      </c>
      <c r="C233" s="9" t="s">
        <v>64</v>
      </c>
      <c r="D233" s="10"/>
      <c r="E233" s="2" t="str">
        <f>"－"</f>
        <v>－</v>
      </c>
      <c r="F233" s="10"/>
      <c r="G233" s="2" t="str">
        <f>"－"</f>
        <v>－</v>
      </c>
      <c r="H233" s="10"/>
      <c r="I233" s="2" t="str">
        <f>"－"</f>
        <v>－</v>
      </c>
      <c r="J233" s="10"/>
      <c r="K233" s="2" t="n">
        <f>146</f>
        <v>146.0</v>
      </c>
    </row>
    <row r="234">
      <c r="A234" s="8" t="s">
        <v>38</v>
      </c>
      <c r="B234" s="9" t="s">
        <v>63</v>
      </c>
      <c r="C234" s="9" t="s">
        <v>64</v>
      </c>
      <c r="D234" s="10"/>
      <c r="E234" s="2" t="str">
        <f>"－"</f>
        <v>－</v>
      </c>
      <c r="F234" s="10"/>
      <c r="G234" s="2" t="str">
        <f>"－"</f>
        <v>－</v>
      </c>
      <c r="H234" s="10"/>
      <c r="I234" s="2" t="str">
        <f>"－"</f>
        <v>－</v>
      </c>
      <c r="J234" s="10"/>
      <c r="K234" s="2" t="n">
        <f>146</f>
        <v>146.0</v>
      </c>
    </row>
    <row r="235">
      <c r="A235" s="8" t="s">
        <v>39</v>
      </c>
      <c r="B235" s="9" t="s">
        <v>63</v>
      </c>
      <c r="C235" s="9" t="s">
        <v>64</v>
      </c>
      <c r="D235" s="10"/>
      <c r="E235" s="2" t="str">
        <f>"－"</f>
        <v>－</v>
      </c>
      <c r="F235" s="10"/>
      <c r="G235" s="2" t="str">
        <f>"－"</f>
        <v>－</v>
      </c>
      <c r="H235" s="10"/>
      <c r="I235" s="2" t="str">
        <f>"－"</f>
        <v>－</v>
      </c>
      <c r="J235" s="10"/>
      <c r="K235" s="2" t="n">
        <f>146</f>
        <v>146.0</v>
      </c>
    </row>
    <row r="236">
      <c r="A236" s="8" t="s">
        <v>40</v>
      </c>
      <c r="B236" s="9" t="s">
        <v>63</v>
      </c>
      <c r="C236" s="9" t="s">
        <v>64</v>
      </c>
      <c r="D236" s="10"/>
      <c r="E236" s="2" t="str">
        <f>"－"</f>
        <v>－</v>
      </c>
      <c r="F236" s="10"/>
      <c r="G236" s="2" t="str">
        <f>"－"</f>
        <v>－</v>
      </c>
      <c r="H236" s="10"/>
      <c r="I236" s="2" t="str">
        <f>"－"</f>
        <v>－</v>
      </c>
      <c r="J236" s="10"/>
      <c r="K236" s="2" t="n">
        <f>146</f>
        <v>146.0</v>
      </c>
    </row>
    <row r="237">
      <c r="A237" s="8" t="s">
        <v>41</v>
      </c>
      <c r="B237" s="9" t="s">
        <v>63</v>
      </c>
      <c r="C237" s="9" t="s">
        <v>64</v>
      </c>
      <c r="D237" s="10"/>
      <c r="E237" s="2" t="str">
        <f>"－"</f>
        <v>－</v>
      </c>
      <c r="F237" s="10"/>
      <c r="G237" s="2" t="str">
        <f>"－"</f>
        <v>－</v>
      </c>
      <c r="H237" s="10"/>
      <c r="I237" s="2" t="str">
        <f>"－"</f>
        <v>－</v>
      </c>
      <c r="J237" s="10"/>
      <c r="K237" s="2" t="n">
        <f>146</f>
        <v>146.0</v>
      </c>
    </row>
    <row r="238">
      <c r="A238" s="8" t="s">
        <v>42</v>
      </c>
      <c r="B238" s="9" t="s">
        <v>63</v>
      </c>
      <c r="C238" s="9" t="s">
        <v>64</v>
      </c>
      <c r="D238" s="10"/>
      <c r="E238" s="2"/>
      <c r="F238" s="10"/>
      <c r="G238" s="2"/>
      <c r="H238" s="10"/>
      <c r="I238" s="2"/>
      <c r="J238" s="10"/>
      <c r="K238" s="2"/>
    </row>
    <row r="239">
      <c r="A239" s="8" t="s">
        <v>43</v>
      </c>
      <c r="B239" s="9" t="s">
        <v>63</v>
      </c>
      <c r="C239" s="9" t="s">
        <v>64</v>
      </c>
      <c r="D239" s="10"/>
      <c r="E239" s="2"/>
      <c r="F239" s="10"/>
      <c r="G239" s="2"/>
      <c r="H239" s="10"/>
      <c r="I239" s="2"/>
      <c r="J239" s="10"/>
      <c r="K239" s="2"/>
    </row>
    <row r="240">
      <c r="A240" s="8" t="s">
        <v>44</v>
      </c>
      <c r="B240" s="9" t="s">
        <v>63</v>
      </c>
      <c r="C240" s="9" t="s">
        <v>64</v>
      </c>
      <c r="D240" s="10"/>
      <c r="E240" s="2" t="str">
        <f>"－"</f>
        <v>－</v>
      </c>
      <c r="F240" s="10"/>
      <c r="G240" s="2" t="str">
        <f>"－"</f>
        <v>－</v>
      </c>
      <c r="H240" s="10"/>
      <c r="I240" s="2" t="str">
        <f>"－"</f>
        <v>－</v>
      </c>
      <c r="J240" s="10"/>
      <c r="K240" s="2" t="n">
        <f>146</f>
        <v>146.0</v>
      </c>
    </row>
    <row r="241">
      <c r="A241" s="8" t="s">
        <v>45</v>
      </c>
      <c r="B241" s="9" t="s">
        <v>63</v>
      </c>
      <c r="C241" s="9" t="s">
        <v>64</v>
      </c>
      <c r="D241" s="10"/>
      <c r="E241" s="2" t="str">
        <f>"－"</f>
        <v>－</v>
      </c>
      <c r="F241" s="10"/>
      <c r="G241" s="2" t="str">
        <f>"－"</f>
        <v>－</v>
      </c>
      <c r="H241" s="10"/>
      <c r="I241" s="2" t="str">
        <f>"－"</f>
        <v>－</v>
      </c>
      <c r="J241" s="10"/>
      <c r="K241" s="2" t="n">
        <f>146</f>
        <v>146.0</v>
      </c>
    </row>
    <row r="242">
      <c r="A242" s="8" t="s">
        <v>46</v>
      </c>
      <c r="B242" s="9" t="s">
        <v>63</v>
      </c>
      <c r="C242" s="9" t="s">
        <v>64</v>
      </c>
      <c r="D242" s="10"/>
      <c r="E242" s="2" t="str">
        <f>"－"</f>
        <v>－</v>
      </c>
      <c r="F242" s="10"/>
      <c r="G242" s="2" t="str">
        <f>"－"</f>
        <v>－</v>
      </c>
      <c r="H242" s="10"/>
      <c r="I242" s="2" t="str">
        <f>"－"</f>
        <v>－</v>
      </c>
      <c r="J242" s="10"/>
      <c r="K242" s="2" t="n">
        <f>146</f>
        <v>146.0</v>
      </c>
    </row>
    <row r="243">
      <c r="A243" s="8" t="s">
        <v>47</v>
      </c>
      <c r="B243" s="9" t="s">
        <v>63</v>
      </c>
      <c r="C243" s="9" t="s">
        <v>64</v>
      </c>
      <c r="D243" s="10"/>
      <c r="E243" s="2" t="str">
        <f>"－"</f>
        <v>－</v>
      </c>
      <c r="F243" s="10"/>
      <c r="G243" s="2" t="str">
        <f>"－"</f>
        <v>－</v>
      </c>
      <c r="H243" s="10"/>
      <c r="I243" s="2" t="str">
        <f>"－"</f>
        <v>－</v>
      </c>
      <c r="J243" s="10"/>
      <c r="K243" s="2" t="n">
        <f>146</f>
        <v>146.0</v>
      </c>
    </row>
    <row r="244">
      <c r="A244" s="8" t="s">
        <v>48</v>
      </c>
      <c r="B244" s="9" t="s">
        <v>63</v>
      </c>
      <c r="C244" s="9" t="s">
        <v>64</v>
      </c>
      <c r="D244" s="10"/>
      <c r="E244" s="2" t="str">
        <f>"－"</f>
        <v>－</v>
      </c>
      <c r="F244" s="10"/>
      <c r="G244" s="2" t="str">
        <f>"－"</f>
        <v>－</v>
      </c>
      <c r="H244" s="10"/>
      <c r="I244" s="2" t="str">
        <f>"－"</f>
        <v>－</v>
      </c>
      <c r="J244" s="10"/>
      <c r="K244" s="2" t="n">
        <f>146</f>
        <v>146.0</v>
      </c>
    </row>
    <row r="245">
      <c r="A245" s="8" t="s">
        <v>49</v>
      </c>
      <c r="B245" s="9" t="s">
        <v>63</v>
      </c>
      <c r="C245" s="9" t="s">
        <v>64</v>
      </c>
      <c r="D245" s="10"/>
      <c r="E245" s="2"/>
      <c r="F245" s="10"/>
      <c r="G245" s="2"/>
      <c r="H245" s="10"/>
      <c r="I245" s="2"/>
      <c r="J245" s="10"/>
      <c r="K245" s="2"/>
    </row>
    <row r="246">
      <c r="A246" s="8" t="s">
        <v>16</v>
      </c>
      <c r="B246" s="9" t="s">
        <v>65</v>
      </c>
      <c r="C246" s="9" t="s">
        <v>66</v>
      </c>
      <c r="D246" s="10" t="s">
        <v>20</v>
      </c>
      <c r="E246" s="2" t="str">
        <f>"－"</f>
        <v>－</v>
      </c>
      <c r="F246" s="10" t="s">
        <v>20</v>
      </c>
      <c r="G246" s="2" t="str">
        <f>"－"</f>
        <v>－</v>
      </c>
      <c r="H246" s="10" t="s">
        <v>20</v>
      </c>
      <c r="I246" s="2" t="str">
        <f>"－"</f>
        <v>－</v>
      </c>
      <c r="J246" s="10"/>
      <c r="K246" s="2" t="n">
        <f>44115</f>
        <v>44115.0</v>
      </c>
    </row>
    <row r="247">
      <c r="A247" s="8" t="s">
        <v>21</v>
      </c>
      <c r="B247" s="9" t="s">
        <v>65</v>
      </c>
      <c r="C247" s="9" t="s">
        <v>66</v>
      </c>
      <c r="D247" s="10"/>
      <c r="E247" s="2"/>
      <c r="F247" s="10"/>
      <c r="G247" s="2"/>
      <c r="H247" s="10"/>
      <c r="I247" s="2"/>
      <c r="J247" s="10"/>
      <c r="K247" s="2"/>
    </row>
    <row r="248">
      <c r="A248" s="8" t="s">
        <v>22</v>
      </c>
      <c r="B248" s="9" t="s">
        <v>65</v>
      </c>
      <c r="C248" s="9" t="s">
        <v>66</v>
      </c>
      <c r="D248" s="10"/>
      <c r="E248" s="2"/>
      <c r="F248" s="10"/>
      <c r="G248" s="2"/>
      <c r="H248" s="10"/>
      <c r="I248" s="2"/>
      <c r="J248" s="10"/>
      <c r="K248" s="2"/>
    </row>
    <row r="249">
      <c r="A249" s="8" t="s">
        <v>23</v>
      </c>
      <c r="B249" s="9" t="s">
        <v>65</v>
      </c>
      <c r="C249" s="9" t="s">
        <v>66</v>
      </c>
      <c r="D249" s="10"/>
      <c r="E249" s="2"/>
      <c r="F249" s="10"/>
      <c r="G249" s="2"/>
      <c r="H249" s="10"/>
      <c r="I249" s="2"/>
      <c r="J249" s="10"/>
      <c r="K249" s="2"/>
    </row>
    <row r="250">
      <c r="A250" s="8" t="s">
        <v>24</v>
      </c>
      <c r="B250" s="9" t="s">
        <v>65</v>
      </c>
      <c r="C250" s="9" t="s">
        <v>66</v>
      </c>
      <c r="D250" s="10"/>
      <c r="E250" s="2" t="n">
        <f>103</f>
        <v>103.0</v>
      </c>
      <c r="F250" s="10"/>
      <c r="G250" s="2" t="n">
        <f>332187186</f>
        <v>3.32187186E8</v>
      </c>
      <c r="H250" s="10"/>
      <c r="I250" s="2" t="str">
        <f>"－"</f>
        <v>－</v>
      </c>
      <c r="J250" s="10"/>
      <c r="K250" s="2" t="n">
        <f>44046</f>
        <v>44046.0</v>
      </c>
    </row>
    <row r="251">
      <c r="A251" s="8" t="s">
        <v>25</v>
      </c>
      <c r="B251" s="9" t="s">
        <v>65</v>
      </c>
      <c r="C251" s="9" t="s">
        <v>66</v>
      </c>
      <c r="D251" s="10"/>
      <c r="E251" s="2" t="str">
        <f>"－"</f>
        <v>－</v>
      </c>
      <c r="F251" s="10"/>
      <c r="G251" s="2" t="str">
        <f>"－"</f>
        <v>－</v>
      </c>
      <c r="H251" s="10"/>
      <c r="I251" s="2" t="str">
        <f>"－"</f>
        <v>－</v>
      </c>
      <c r="J251" s="10"/>
      <c r="K251" s="2" t="n">
        <f>44046</f>
        <v>44046.0</v>
      </c>
    </row>
    <row r="252">
      <c r="A252" s="8" t="s">
        <v>26</v>
      </c>
      <c r="B252" s="9" t="s">
        <v>65</v>
      </c>
      <c r="C252" s="9" t="s">
        <v>66</v>
      </c>
      <c r="D252" s="10"/>
      <c r="E252" s="2" t="n">
        <f>142</f>
        <v>142.0</v>
      </c>
      <c r="F252" s="10"/>
      <c r="G252" s="2" t="n">
        <f>496053300</f>
        <v>4.960533E8</v>
      </c>
      <c r="H252" s="10" t="s">
        <v>19</v>
      </c>
      <c r="I252" s="2" t="n">
        <f>127</f>
        <v>127.0</v>
      </c>
      <c r="J252" s="10"/>
      <c r="K252" s="2" t="n">
        <f>43934</f>
        <v>43934.0</v>
      </c>
    </row>
    <row r="253">
      <c r="A253" s="8" t="s">
        <v>27</v>
      </c>
      <c r="B253" s="9" t="s">
        <v>65</v>
      </c>
      <c r="C253" s="9" t="s">
        <v>66</v>
      </c>
      <c r="D253" s="10"/>
      <c r="E253" s="2" t="n">
        <f>219</f>
        <v>219.0</v>
      </c>
      <c r="F253" s="10"/>
      <c r="G253" s="2" t="n">
        <f>768777600</f>
        <v>7.687776E8</v>
      </c>
      <c r="H253" s="10"/>
      <c r="I253" s="2" t="str">
        <f>"－"</f>
        <v>－</v>
      </c>
      <c r="J253" s="10"/>
      <c r="K253" s="2" t="n">
        <f>44153</f>
        <v>44153.0</v>
      </c>
    </row>
    <row r="254">
      <c r="A254" s="8" t="s">
        <v>28</v>
      </c>
      <c r="B254" s="9" t="s">
        <v>65</v>
      </c>
      <c r="C254" s="9" t="s">
        <v>66</v>
      </c>
      <c r="D254" s="10"/>
      <c r="E254" s="2"/>
      <c r="F254" s="10"/>
      <c r="G254" s="2"/>
      <c r="H254" s="10"/>
      <c r="I254" s="2"/>
      <c r="J254" s="10"/>
      <c r="K254" s="2"/>
    </row>
    <row r="255">
      <c r="A255" s="8" t="s">
        <v>29</v>
      </c>
      <c r="B255" s="9" t="s">
        <v>65</v>
      </c>
      <c r="C255" s="9" t="s">
        <v>66</v>
      </c>
      <c r="D255" s="10"/>
      <c r="E255" s="2"/>
      <c r="F255" s="10"/>
      <c r="G255" s="2"/>
      <c r="H255" s="10"/>
      <c r="I255" s="2"/>
      <c r="J255" s="10"/>
      <c r="K255" s="2"/>
    </row>
    <row r="256">
      <c r="A256" s="8" t="s">
        <v>30</v>
      </c>
      <c r="B256" s="9" t="s">
        <v>65</v>
      </c>
      <c r="C256" s="9" t="s">
        <v>66</v>
      </c>
      <c r="D256" s="10"/>
      <c r="E256" s="2" t="str">
        <f>"－"</f>
        <v>－</v>
      </c>
      <c r="F256" s="10"/>
      <c r="G256" s="2" t="str">
        <f>"－"</f>
        <v>－</v>
      </c>
      <c r="H256" s="10"/>
      <c r="I256" s="2" t="str">
        <f>"－"</f>
        <v>－</v>
      </c>
      <c r="J256" s="10"/>
      <c r="K256" s="2" t="n">
        <f>44153</f>
        <v>44153.0</v>
      </c>
    </row>
    <row r="257">
      <c r="A257" s="8" t="s">
        <v>31</v>
      </c>
      <c r="B257" s="9" t="s">
        <v>65</v>
      </c>
      <c r="C257" s="9" t="s">
        <v>66</v>
      </c>
      <c r="D257" s="10"/>
      <c r="E257" s="2" t="n">
        <f>100</f>
        <v>100.0</v>
      </c>
      <c r="F257" s="10"/>
      <c r="G257" s="2" t="n">
        <f>354625000</f>
        <v>3.54625E8</v>
      </c>
      <c r="H257" s="10"/>
      <c r="I257" s="2" t="n">
        <f>100</f>
        <v>100.0</v>
      </c>
      <c r="J257" s="10"/>
      <c r="K257" s="2" t="n">
        <f>44053</f>
        <v>44053.0</v>
      </c>
    </row>
    <row r="258">
      <c r="A258" s="8" t="s">
        <v>32</v>
      </c>
      <c r="B258" s="9" t="s">
        <v>65</v>
      </c>
      <c r="C258" s="9" t="s">
        <v>66</v>
      </c>
      <c r="D258" s="10"/>
      <c r="E258" s="2" t="n">
        <f>233</f>
        <v>233.0</v>
      </c>
      <c r="F258" s="10"/>
      <c r="G258" s="2" t="n">
        <f>820584845</f>
        <v>8.20584845E8</v>
      </c>
      <c r="H258" s="10"/>
      <c r="I258" s="2" t="str">
        <f>"－"</f>
        <v>－</v>
      </c>
      <c r="J258" s="10"/>
      <c r="K258" s="2" t="n">
        <f>43848</f>
        <v>43848.0</v>
      </c>
    </row>
    <row r="259">
      <c r="A259" s="8" t="s">
        <v>33</v>
      </c>
      <c r="B259" s="9" t="s">
        <v>65</v>
      </c>
      <c r="C259" s="9" t="s">
        <v>66</v>
      </c>
      <c r="D259" s="10"/>
      <c r="E259" s="2" t="n">
        <f>15</f>
        <v>15.0</v>
      </c>
      <c r="F259" s="10"/>
      <c r="G259" s="2" t="n">
        <f>53620500</f>
        <v>5.36205E7</v>
      </c>
      <c r="H259" s="10"/>
      <c r="I259" s="2" t="str">
        <f>"－"</f>
        <v>－</v>
      </c>
      <c r="J259" s="10" t="s">
        <v>20</v>
      </c>
      <c r="K259" s="2" t="n">
        <f>43833</f>
        <v>43833.0</v>
      </c>
    </row>
    <row r="260">
      <c r="A260" s="8" t="s">
        <v>34</v>
      </c>
      <c r="B260" s="9" t="s">
        <v>65</v>
      </c>
      <c r="C260" s="9" t="s">
        <v>66</v>
      </c>
      <c r="D260" s="10"/>
      <c r="E260" s="2" t="str">
        <f>"－"</f>
        <v>－</v>
      </c>
      <c r="F260" s="10"/>
      <c r="G260" s="2" t="str">
        <f>"－"</f>
        <v>－</v>
      </c>
      <c r="H260" s="10"/>
      <c r="I260" s="2" t="str">
        <f>"－"</f>
        <v>－</v>
      </c>
      <c r="J260" s="10"/>
      <c r="K260" s="2" t="n">
        <f>43833</f>
        <v>43833.0</v>
      </c>
    </row>
    <row r="261">
      <c r="A261" s="8" t="s">
        <v>35</v>
      </c>
      <c r="B261" s="9" t="s">
        <v>65</v>
      </c>
      <c r="C261" s="9" t="s">
        <v>66</v>
      </c>
      <c r="D261" s="10"/>
      <c r="E261" s="2"/>
      <c r="F261" s="10"/>
      <c r="G261" s="2"/>
      <c r="H261" s="10"/>
      <c r="I261" s="2"/>
      <c r="J261" s="10"/>
      <c r="K261" s="2"/>
    </row>
    <row r="262">
      <c r="A262" s="8" t="s">
        <v>36</v>
      </c>
      <c r="B262" s="9" t="s">
        <v>65</v>
      </c>
      <c r="C262" s="9" t="s">
        <v>66</v>
      </c>
      <c r="D262" s="10"/>
      <c r="E262" s="2"/>
      <c r="F262" s="10"/>
      <c r="G262" s="2"/>
      <c r="H262" s="10"/>
      <c r="I262" s="2"/>
      <c r="J262" s="10"/>
      <c r="K262" s="2"/>
    </row>
    <row r="263">
      <c r="A263" s="8" t="s">
        <v>37</v>
      </c>
      <c r="B263" s="9" t="s">
        <v>65</v>
      </c>
      <c r="C263" s="9" t="s">
        <v>66</v>
      </c>
      <c r="D263" s="10"/>
      <c r="E263" s="2" t="n">
        <f>1068</f>
        <v>1068.0</v>
      </c>
      <c r="F263" s="10"/>
      <c r="G263" s="2" t="n">
        <f>3867868800</f>
        <v>3.8678688E9</v>
      </c>
      <c r="H263" s="10"/>
      <c r="I263" s="2" t="str">
        <f>"－"</f>
        <v>－</v>
      </c>
      <c r="J263" s="10"/>
      <c r="K263" s="2" t="n">
        <f>44901</f>
        <v>44901.0</v>
      </c>
    </row>
    <row r="264">
      <c r="A264" s="8" t="s">
        <v>38</v>
      </c>
      <c r="B264" s="9" t="s">
        <v>65</v>
      </c>
      <c r="C264" s="9" t="s">
        <v>66</v>
      </c>
      <c r="D264" s="10"/>
      <c r="E264" s="2" t="n">
        <f>50</f>
        <v>50.0</v>
      </c>
      <c r="F264" s="10"/>
      <c r="G264" s="2" t="n">
        <f>179575500</f>
        <v>1.795755E8</v>
      </c>
      <c r="H264" s="10"/>
      <c r="I264" s="2" t="n">
        <f>50</f>
        <v>50.0</v>
      </c>
      <c r="J264" s="10" t="s">
        <v>19</v>
      </c>
      <c r="K264" s="2" t="n">
        <f>44951</f>
        <v>44951.0</v>
      </c>
    </row>
    <row r="265">
      <c r="A265" s="8" t="s">
        <v>39</v>
      </c>
      <c r="B265" s="9" t="s">
        <v>65</v>
      </c>
      <c r="C265" s="9" t="s">
        <v>66</v>
      </c>
      <c r="D265" s="10"/>
      <c r="E265" s="2" t="str">
        <f>"－"</f>
        <v>－</v>
      </c>
      <c r="F265" s="10"/>
      <c r="G265" s="2" t="str">
        <f>"－"</f>
        <v>－</v>
      </c>
      <c r="H265" s="10"/>
      <c r="I265" s="2" t="str">
        <f>"－"</f>
        <v>－</v>
      </c>
      <c r="J265" s="10"/>
      <c r="K265" s="2" t="n">
        <f>44951</f>
        <v>44951.0</v>
      </c>
    </row>
    <row r="266">
      <c r="A266" s="8" t="s">
        <v>40</v>
      </c>
      <c r="B266" s="9" t="s">
        <v>65</v>
      </c>
      <c r="C266" s="9" t="s">
        <v>66</v>
      </c>
      <c r="D266" s="10"/>
      <c r="E266" s="2" t="str">
        <f>"－"</f>
        <v>－</v>
      </c>
      <c r="F266" s="10"/>
      <c r="G266" s="2" t="str">
        <f>"－"</f>
        <v>－</v>
      </c>
      <c r="H266" s="10"/>
      <c r="I266" s="2" t="str">
        <f>"－"</f>
        <v>－</v>
      </c>
      <c r="J266" s="10"/>
      <c r="K266" s="2" t="n">
        <f>44951</f>
        <v>44951.0</v>
      </c>
    </row>
    <row r="267">
      <c r="A267" s="8" t="s">
        <v>41</v>
      </c>
      <c r="B267" s="9" t="s">
        <v>65</v>
      </c>
      <c r="C267" s="9" t="s">
        <v>66</v>
      </c>
      <c r="D267" s="10"/>
      <c r="E267" s="2" t="str">
        <f>"－"</f>
        <v>－</v>
      </c>
      <c r="F267" s="10"/>
      <c r="G267" s="2" t="str">
        <f>"－"</f>
        <v>－</v>
      </c>
      <c r="H267" s="10"/>
      <c r="I267" s="2" t="str">
        <f>"－"</f>
        <v>－</v>
      </c>
      <c r="J267" s="10"/>
      <c r="K267" s="2" t="n">
        <f>44951</f>
        <v>44951.0</v>
      </c>
    </row>
    <row r="268">
      <c r="A268" s="8" t="s">
        <v>42</v>
      </c>
      <c r="B268" s="9" t="s">
        <v>65</v>
      </c>
      <c r="C268" s="9" t="s">
        <v>66</v>
      </c>
      <c r="D268" s="10"/>
      <c r="E268" s="2"/>
      <c r="F268" s="10"/>
      <c r="G268" s="2"/>
      <c r="H268" s="10"/>
      <c r="I268" s="2"/>
      <c r="J268" s="10"/>
      <c r="K268" s="2"/>
    </row>
    <row r="269">
      <c r="A269" s="8" t="s">
        <v>43</v>
      </c>
      <c r="B269" s="9" t="s">
        <v>65</v>
      </c>
      <c r="C269" s="9" t="s">
        <v>66</v>
      </c>
      <c r="D269" s="10"/>
      <c r="E269" s="2"/>
      <c r="F269" s="10"/>
      <c r="G269" s="2"/>
      <c r="H269" s="10"/>
      <c r="I269" s="2"/>
      <c r="J269" s="10"/>
      <c r="K269" s="2"/>
    </row>
    <row r="270">
      <c r="A270" s="8" t="s">
        <v>44</v>
      </c>
      <c r="B270" s="9" t="s">
        <v>65</v>
      </c>
      <c r="C270" s="9" t="s">
        <v>66</v>
      </c>
      <c r="D270" s="10"/>
      <c r="E270" s="2" t="str">
        <f>"－"</f>
        <v>－</v>
      </c>
      <c r="F270" s="10"/>
      <c r="G270" s="2" t="str">
        <f>"－"</f>
        <v>－</v>
      </c>
      <c r="H270" s="10"/>
      <c r="I270" s="2" t="str">
        <f>"－"</f>
        <v>－</v>
      </c>
      <c r="J270" s="10"/>
      <c r="K270" s="2" t="n">
        <f>44951</f>
        <v>44951.0</v>
      </c>
    </row>
    <row r="271">
      <c r="A271" s="8" t="s">
        <v>45</v>
      </c>
      <c r="B271" s="9" t="s">
        <v>65</v>
      </c>
      <c r="C271" s="9" t="s">
        <v>66</v>
      </c>
      <c r="D271" s="10"/>
      <c r="E271" s="2" t="str">
        <f>"－"</f>
        <v>－</v>
      </c>
      <c r="F271" s="10"/>
      <c r="G271" s="2" t="str">
        <f>"－"</f>
        <v>－</v>
      </c>
      <c r="H271" s="10"/>
      <c r="I271" s="2" t="str">
        <f>"－"</f>
        <v>－</v>
      </c>
      <c r="J271" s="10"/>
      <c r="K271" s="2" t="n">
        <f>44951</f>
        <v>44951.0</v>
      </c>
    </row>
    <row r="272">
      <c r="A272" s="8" t="s">
        <v>46</v>
      </c>
      <c r="B272" s="9" t="s">
        <v>65</v>
      </c>
      <c r="C272" s="9" t="s">
        <v>66</v>
      </c>
      <c r="D272" s="10"/>
      <c r="E272" s="2" t="n">
        <f>532</f>
        <v>532.0</v>
      </c>
      <c r="F272" s="10"/>
      <c r="G272" s="2" t="n">
        <f>1903123600</f>
        <v>1.9031236E9</v>
      </c>
      <c r="H272" s="10"/>
      <c r="I272" s="2" t="str">
        <f>"－"</f>
        <v>－</v>
      </c>
      <c r="J272" s="10"/>
      <c r="K272" s="2" t="n">
        <f>44951</f>
        <v>44951.0</v>
      </c>
    </row>
    <row r="273">
      <c r="A273" s="8" t="s">
        <v>47</v>
      </c>
      <c r="B273" s="9" t="s">
        <v>65</v>
      </c>
      <c r="C273" s="9" t="s">
        <v>66</v>
      </c>
      <c r="D273" s="10"/>
      <c r="E273" s="2" t="str">
        <f>"－"</f>
        <v>－</v>
      </c>
      <c r="F273" s="10"/>
      <c r="G273" s="2" t="str">
        <f>"－"</f>
        <v>－</v>
      </c>
      <c r="H273" s="10"/>
      <c r="I273" s="2" t="str">
        <f>"－"</f>
        <v>－</v>
      </c>
      <c r="J273" s="10"/>
      <c r="K273" s="2" t="n">
        <f>44951</f>
        <v>44951.0</v>
      </c>
    </row>
    <row r="274">
      <c r="A274" s="8" t="s">
        <v>48</v>
      </c>
      <c r="B274" s="9" t="s">
        <v>65</v>
      </c>
      <c r="C274" s="9" t="s">
        <v>66</v>
      </c>
      <c r="D274" s="10" t="s">
        <v>19</v>
      </c>
      <c r="E274" s="2" t="n">
        <f>1844</f>
        <v>1844.0</v>
      </c>
      <c r="F274" s="10" t="s">
        <v>19</v>
      </c>
      <c r="G274" s="2" t="n">
        <f>6838992662</f>
        <v>6.838992662E9</v>
      </c>
      <c r="H274" s="10"/>
      <c r="I274" s="2" t="str">
        <f>"－"</f>
        <v>－</v>
      </c>
      <c r="J274" s="10"/>
      <c r="K274" s="2" t="n">
        <f>44949</f>
        <v>44949.0</v>
      </c>
    </row>
    <row r="275">
      <c r="A275" s="8" t="s">
        <v>49</v>
      </c>
      <c r="B275" s="9" t="s">
        <v>65</v>
      </c>
      <c r="C275" s="9" t="s">
        <v>66</v>
      </c>
      <c r="D275" s="10"/>
      <c r="E275" s="2"/>
      <c r="F275" s="10"/>
      <c r="G275" s="2"/>
      <c r="H275" s="10"/>
      <c r="I275" s="2"/>
      <c r="J275" s="10"/>
      <c r="K275" s="2"/>
    </row>
    <row r="276">
      <c r="A276" s="8" t="s">
        <v>16</v>
      </c>
      <c r="B276" s="9" t="s">
        <v>67</v>
      </c>
      <c r="C276" s="9" t="s">
        <v>68</v>
      </c>
      <c r="D276" s="10"/>
      <c r="E276" s="2" t="n">
        <f>172</f>
        <v>172.0</v>
      </c>
      <c r="F276" s="10"/>
      <c r="G276" s="2" t="n">
        <f>289708460</f>
        <v>2.8970846E8</v>
      </c>
      <c r="H276" s="10"/>
      <c r="I276" s="2" t="n">
        <f>23</f>
        <v>23.0</v>
      </c>
      <c r="J276" s="10"/>
      <c r="K276" s="2" t="n">
        <f>79076</f>
        <v>79076.0</v>
      </c>
    </row>
    <row r="277">
      <c r="A277" s="8" t="s">
        <v>21</v>
      </c>
      <c r="B277" s="9" t="s">
        <v>67</v>
      </c>
      <c r="C277" s="9" t="s">
        <v>68</v>
      </c>
      <c r="D277" s="10"/>
      <c r="E277" s="2"/>
      <c r="F277" s="10"/>
      <c r="G277" s="2"/>
      <c r="H277" s="10"/>
      <c r="I277" s="2"/>
      <c r="J277" s="10"/>
      <c r="K277" s="2"/>
    </row>
    <row r="278">
      <c r="A278" s="8" t="s">
        <v>22</v>
      </c>
      <c r="B278" s="9" t="s">
        <v>67</v>
      </c>
      <c r="C278" s="9" t="s">
        <v>68</v>
      </c>
      <c r="D278" s="10"/>
      <c r="E278" s="2"/>
      <c r="F278" s="10"/>
      <c r="G278" s="2"/>
      <c r="H278" s="10"/>
      <c r="I278" s="2"/>
      <c r="J278" s="10"/>
      <c r="K278" s="2"/>
    </row>
    <row r="279">
      <c r="A279" s="8" t="s">
        <v>23</v>
      </c>
      <c r="B279" s="9" t="s">
        <v>67</v>
      </c>
      <c r="C279" s="9" t="s">
        <v>68</v>
      </c>
      <c r="D279" s="10"/>
      <c r="E279" s="2"/>
      <c r="F279" s="10"/>
      <c r="G279" s="2"/>
      <c r="H279" s="10"/>
      <c r="I279" s="2"/>
      <c r="J279" s="10"/>
      <c r="K279" s="2"/>
    </row>
    <row r="280">
      <c r="A280" s="8" t="s">
        <v>24</v>
      </c>
      <c r="B280" s="9" t="s">
        <v>67</v>
      </c>
      <c r="C280" s="9" t="s">
        <v>68</v>
      </c>
      <c r="D280" s="10"/>
      <c r="E280" s="2" t="n">
        <f>802</f>
        <v>802.0</v>
      </c>
      <c r="F280" s="10"/>
      <c r="G280" s="2" t="n">
        <f>1339785420</f>
        <v>1.33978542E9</v>
      </c>
      <c r="H280" s="10"/>
      <c r="I280" s="2" t="n">
        <f>24</f>
        <v>24.0</v>
      </c>
      <c r="J280" s="10"/>
      <c r="K280" s="2" t="n">
        <f>78948</f>
        <v>78948.0</v>
      </c>
    </row>
    <row r="281">
      <c r="A281" s="8" t="s">
        <v>25</v>
      </c>
      <c r="B281" s="9" t="s">
        <v>67</v>
      </c>
      <c r="C281" s="9" t="s">
        <v>68</v>
      </c>
      <c r="D281" s="10"/>
      <c r="E281" s="2" t="n">
        <f>1241</f>
        <v>1241.0</v>
      </c>
      <c r="F281" s="10"/>
      <c r="G281" s="2" t="n">
        <f>2089674560</f>
        <v>2.08967456E9</v>
      </c>
      <c r="H281" s="10"/>
      <c r="I281" s="2" t="n">
        <f>13</f>
        <v>13.0</v>
      </c>
      <c r="J281" s="10"/>
      <c r="K281" s="2" t="n">
        <f>79349</f>
        <v>79349.0</v>
      </c>
    </row>
    <row r="282">
      <c r="A282" s="8" t="s">
        <v>26</v>
      </c>
      <c r="B282" s="9" t="s">
        <v>67</v>
      </c>
      <c r="C282" s="9" t="s">
        <v>68</v>
      </c>
      <c r="D282" s="10"/>
      <c r="E282" s="2" t="n">
        <f>415</f>
        <v>415.0</v>
      </c>
      <c r="F282" s="10"/>
      <c r="G282" s="2" t="n">
        <f>694781320</f>
        <v>6.9478132E8</v>
      </c>
      <c r="H282" s="10"/>
      <c r="I282" s="2" t="n">
        <f>154</f>
        <v>154.0</v>
      </c>
      <c r="J282" s="10"/>
      <c r="K282" s="2" t="n">
        <f>79439</f>
        <v>79439.0</v>
      </c>
    </row>
    <row r="283">
      <c r="A283" s="8" t="s">
        <v>27</v>
      </c>
      <c r="B283" s="9" t="s">
        <v>67</v>
      </c>
      <c r="C283" s="9" t="s">
        <v>68</v>
      </c>
      <c r="D283" s="10"/>
      <c r="E283" s="2" t="n">
        <f>974</f>
        <v>974.0</v>
      </c>
      <c r="F283" s="10"/>
      <c r="G283" s="2" t="n">
        <f>1629520000</f>
        <v>1.62952E9</v>
      </c>
      <c r="H283" s="10"/>
      <c r="I283" s="2" t="n">
        <f>99</f>
        <v>99.0</v>
      </c>
      <c r="J283" s="10"/>
      <c r="K283" s="2" t="n">
        <f>78827</f>
        <v>78827.0</v>
      </c>
    </row>
    <row r="284">
      <c r="A284" s="8" t="s">
        <v>28</v>
      </c>
      <c r="B284" s="9" t="s">
        <v>67</v>
      </c>
      <c r="C284" s="9" t="s">
        <v>68</v>
      </c>
      <c r="D284" s="10"/>
      <c r="E284" s="2"/>
      <c r="F284" s="10"/>
      <c r="G284" s="2"/>
      <c r="H284" s="10"/>
      <c r="I284" s="2"/>
      <c r="J284" s="10"/>
      <c r="K284" s="2"/>
    </row>
    <row r="285">
      <c r="A285" s="8" t="s">
        <v>29</v>
      </c>
      <c r="B285" s="9" t="s">
        <v>67</v>
      </c>
      <c r="C285" s="9" t="s">
        <v>68</v>
      </c>
      <c r="D285" s="10"/>
      <c r="E285" s="2"/>
      <c r="F285" s="10"/>
      <c r="G285" s="2"/>
      <c r="H285" s="10"/>
      <c r="I285" s="2"/>
      <c r="J285" s="10"/>
      <c r="K285" s="2"/>
    </row>
    <row r="286">
      <c r="A286" s="8" t="s">
        <v>30</v>
      </c>
      <c r="B286" s="9" t="s">
        <v>67</v>
      </c>
      <c r="C286" s="9" t="s">
        <v>68</v>
      </c>
      <c r="D286" s="10"/>
      <c r="E286" s="2" t="n">
        <f>296</f>
        <v>296.0</v>
      </c>
      <c r="F286" s="10"/>
      <c r="G286" s="2" t="n">
        <f>494460090</f>
        <v>4.9446009E8</v>
      </c>
      <c r="H286" s="10"/>
      <c r="I286" s="2" t="n">
        <f>21</f>
        <v>21.0</v>
      </c>
      <c r="J286" s="10"/>
      <c r="K286" s="2" t="n">
        <f>78711</f>
        <v>78711.0</v>
      </c>
    </row>
    <row r="287">
      <c r="A287" s="8" t="s">
        <v>31</v>
      </c>
      <c r="B287" s="9" t="s">
        <v>67</v>
      </c>
      <c r="C287" s="9" t="s">
        <v>68</v>
      </c>
      <c r="D287" s="10"/>
      <c r="E287" s="2" t="n">
        <f>323</f>
        <v>323.0</v>
      </c>
      <c r="F287" s="10"/>
      <c r="G287" s="2" t="n">
        <f>541120120</f>
        <v>5.4112012E8</v>
      </c>
      <c r="H287" s="10"/>
      <c r="I287" s="2" t="n">
        <f>148</f>
        <v>148.0</v>
      </c>
      <c r="J287" s="10"/>
      <c r="K287" s="2" t="n">
        <f>78798</f>
        <v>78798.0</v>
      </c>
    </row>
    <row r="288">
      <c r="A288" s="8" t="s">
        <v>32</v>
      </c>
      <c r="B288" s="9" t="s">
        <v>67</v>
      </c>
      <c r="C288" s="9" t="s">
        <v>68</v>
      </c>
      <c r="D288" s="10"/>
      <c r="E288" s="2" t="n">
        <f>1491</f>
        <v>1491.0</v>
      </c>
      <c r="F288" s="10"/>
      <c r="G288" s="2" t="n">
        <f>2485018470</f>
        <v>2.48501847E9</v>
      </c>
      <c r="H288" s="10" t="s">
        <v>20</v>
      </c>
      <c r="I288" s="2" t="n">
        <f>6</f>
        <v>6.0</v>
      </c>
      <c r="J288" s="10" t="s">
        <v>19</v>
      </c>
      <c r="K288" s="2" t="n">
        <f>79785</f>
        <v>79785.0</v>
      </c>
    </row>
    <row r="289">
      <c r="A289" s="8" t="s">
        <v>33</v>
      </c>
      <c r="B289" s="9" t="s">
        <v>67</v>
      </c>
      <c r="C289" s="9" t="s">
        <v>68</v>
      </c>
      <c r="D289" s="10"/>
      <c r="E289" s="2" t="n">
        <f>1670</f>
        <v>1670.0</v>
      </c>
      <c r="F289" s="10"/>
      <c r="G289" s="2" t="n">
        <f>2758980120</f>
        <v>2.75898012E9</v>
      </c>
      <c r="H289" s="10"/>
      <c r="I289" s="2" t="n">
        <f>358</f>
        <v>358.0</v>
      </c>
      <c r="J289" s="10"/>
      <c r="K289" s="2" t="n">
        <f>79106</f>
        <v>79106.0</v>
      </c>
    </row>
    <row r="290">
      <c r="A290" s="8" t="s">
        <v>34</v>
      </c>
      <c r="B290" s="9" t="s">
        <v>67</v>
      </c>
      <c r="C290" s="9" t="s">
        <v>68</v>
      </c>
      <c r="D290" s="10" t="s">
        <v>19</v>
      </c>
      <c r="E290" s="2" t="n">
        <f>4117</f>
        <v>4117.0</v>
      </c>
      <c r="F290" s="10" t="s">
        <v>19</v>
      </c>
      <c r="G290" s="2" t="n">
        <f>6830319370</f>
        <v>6.83031937E9</v>
      </c>
      <c r="H290" s="10"/>
      <c r="I290" s="2" t="n">
        <f>887</f>
        <v>887.0</v>
      </c>
      <c r="J290" s="10"/>
      <c r="K290" s="2" t="n">
        <f>77220</f>
        <v>77220.0</v>
      </c>
    </row>
    <row r="291">
      <c r="A291" s="8" t="s">
        <v>35</v>
      </c>
      <c r="B291" s="9" t="s">
        <v>67</v>
      </c>
      <c r="C291" s="9" t="s">
        <v>68</v>
      </c>
      <c r="D291" s="10"/>
      <c r="E291" s="2"/>
      <c r="F291" s="10"/>
      <c r="G291" s="2"/>
      <c r="H291" s="10"/>
      <c r="I291" s="2"/>
      <c r="J291" s="10"/>
      <c r="K291" s="2"/>
    </row>
    <row r="292">
      <c r="A292" s="8" t="s">
        <v>36</v>
      </c>
      <c r="B292" s="9" t="s">
        <v>67</v>
      </c>
      <c r="C292" s="9" t="s">
        <v>68</v>
      </c>
      <c r="D292" s="10"/>
      <c r="E292" s="2"/>
      <c r="F292" s="10"/>
      <c r="G292" s="2"/>
      <c r="H292" s="10"/>
      <c r="I292" s="2"/>
      <c r="J292" s="10"/>
      <c r="K292" s="2"/>
    </row>
    <row r="293">
      <c r="A293" s="8" t="s">
        <v>37</v>
      </c>
      <c r="B293" s="9" t="s">
        <v>67</v>
      </c>
      <c r="C293" s="9" t="s">
        <v>68</v>
      </c>
      <c r="D293" s="10"/>
      <c r="E293" s="2" t="n">
        <f>1019</f>
        <v>1019.0</v>
      </c>
      <c r="F293" s="10"/>
      <c r="G293" s="2" t="n">
        <f>1702378830</f>
        <v>1.70237883E9</v>
      </c>
      <c r="H293" s="10"/>
      <c r="I293" s="2" t="n">
        <f>18</f>
        <v>18.0</v>
      </c>
      <c r="J293" s="10"/>
      <c r="K293" s="2" t="n">
        <f>77172</f>
        <v>77172.0</v>
      </c>
    </row>
    <row r="294">
      <c r="A294" s="8" t="s">
        <v>38</v>
      </c>
      <c r="B294" s="9" t="s">
        <v>67</v>
      </c>
      <c r="C294" s="9" t="s">
        <v>68</v>
      </c>
      <c r="D294" s="10" t="s">
        <v>20</v>
      </c>
      <c r="E294" s="2" t="n">
        <f>65</f>
        <v>65.0</v>
      </c>
      <c r="F294" s="10" t="s">
        <v>20</v>
      </c>
      <c r="G294" s="2" t="n">
        <f>109011000</f>
        <v>1.09011E8</v>
      </c>
      <c r="H294" s="10"/>
      <c r="I294" s="2" t="n">
        <f>15</f>
        <v>15.0</v>
      </c>
      <c r="J294" s="10"/>
      <c r="K294" s="2" t="n">
        <f>77113</f>
        <v>77113.0</v>
      </c>
    </row>
    <row r="295">
      <c r="A295" s="8" t="s">
        <v>39</v>
      </c>
      <c r="B295" s="9" t="s">
        <v>67</v>
      </c>
      <c r="C295" s="9" t="s">
        <v>68</v>
      </c>
      <c r="D295" s="10"/>
      <c r="E295" s="2" t="n">
        <f>1587</f>
        <v>1587.0</v>
      </c>
      <c r="F295" s="10"/>
      <c r="G295" s="2" t="n">
        <f>2664085980</f>
        <v>2.66408598E9</v>
      </c>
      <c r="H295" s="10"/>
      <c r="I295" s="2" t="n">
        <f>7</f>
        <v>7.0</v>
      </c>
      <c r="J295" s="10"/>
      <c r="K295" s="2" t="n">
        <f>76479</f>
        <v>76479.0</v>
      </c>
    </row>
    <row r="296">
      <c r="A296" s="8" t="s">
        <v>40</v>
      </c>
      <c r="B296" s="9" t="s">
        <v>67</v>
      </c>
      <c r="C296" s="9" t="s">
        <v>68</v>
      </c>
      <c r="D296" s="10"/>
      <c r="E296" s="2" t="n">
        <f>806</f>
        <v>806.0</v>
      </c>
      <c r="F296" s="10"/>
      <c r="G296" s="2" t="n">
        <f>1345571050</f>
        <v>1.34557105E9</v>
      </c>
      <c r="H296" s="10"/>
      <c r="I296" s="2" t="n">
        <f>12</f>
        <v>12.0</v>
      </c>
      <c r="J296" s="10"/>
      <c r="K296" s="2" t="n">
        <f>75877</f>
        <v>75877.0</v>
      </c>
    </row>
    <row r="297">
      <c r="A297" s="8" t="s">
        <v>41</v>
      </c>
      <c r="B297" s="9" t="s">
        <v>67</v>
      </c>
      <c r="C297" s="9" t="s">
        <v>68</v>
      </c>
      <c r="D297" s="10"/>
      <c r="E297" s="2" t="n">
        <f>88</f>
        <v>88.0</v>
      </c>
      <c r="F297" s="10"/>
      <c r="G297" s="2" t="n">
        <f>147275390</f>
        <v>1.4727539E8</v>
      </c>
      <c r="H297" s="10"/>
      <c r="I297" s="2" t="n">
        <f>8</f>
        <v>8.0</v>
      </c>
      <c r="J297" s="10"/>
      <c r="K297" s="2" t="n">
        <f>75882</f>
        <v>75882.0</v>
      </c>
    </row>
    <row r="298">
      <c r="A298" s="8" t="s">
        <v>42</v>
      </c>
      <c r="B298" s="9" t="s">
        <v>67</v>
      </c>
      <c r="C298" s="9" t="s">
        <v>68</v>
      </c>
      <c r="D298" s="10"/>
      <c r="E298" s="2"/>
      <c r="F298" s="10"/>
      <c r="G298" s="2"/>
      <c r="H298" s="10"/>
      <c r="I298" s="2"/>
      <c r="J298" s="10"/>
      <c r="K298" s="2"/>
    </row>
    <row r="299">
      <c r="A299" s="8" t="s">
        <v>43</v>
      </c>
      <c r="B299" s="9" t="s">
        <v>67</v>
      </c>
      <c r="C299" s="9" t="s">
        <v>68</v>
      </c>
      <c r="D299" s="10"/>
      <c r="E299" s="2"/>
      <c r="F299" s="10"/>
      <c r="G299" s="2"/>
      <c r="H299" s="10"/>
      <c r="I299" s="2"/>
      <c r="J299" s="10"/>
      <c r="K299" s="2"/>
    </row>
    <row r="300">
      <c r="A300" s="8" t="s">
        <v>44</v>
      </c>
      <c r="B300" s="9" t="s">
        <v>67</v>
      </c>
      <c r="C300" s="9" t="s">
        <v>68</v>
      </c>
      <c r="D300" s="10"/>
      <c r="E300" s="2" t="n">
        <f>1843</f>
        <v>1843.0</v>
      </c>
      <c r="F300" s="10"/>
      <c r="G300" s="2" t="n">
        <f>3097996580</f>
        <v>3.09799658E9</v>
      </c>
      <c r="H300" s="10" t="s">
        <v>19</v>
      </c>
      <c r="I300" s="2" t="n">
        <f>977</f>
        <v>977.0</v>
      </c>
      <c r="J300" s="10"/>
      <c r="K300" s="2" t="n">
        <f>75632</f>
        <v>75632.0</v>
      </c>
    </row>
    <row r="301">
      <c r="A301" s="8" t="s">
        <v>45</v>
      </c>
      <c r="B301" s="9" t="s">
        <v>67</v>
      </c>
      <c r="C301" s="9" t="s">
        <v>68</v>
      </c>
      <c r="D301" s="10"/>
      <c r="E301" s="2" t="n">
        <f>1810</f>
        <v>1810.0</v>
      </c>
      <c r="F301" s="10"/>
      <c r="G301" s="2" t="n">
        <f>3031890560</f>
        <v>3.03189056E9</v>
      </c>
      <c r="H301" s="10"/>
      <c r="I301" s="2" t="n">
        <f>42</f>
        <v>42.0</v>
      </c>
      <c r="J301" s="10"/>
      <c r="K301" s="2" t="n">
        <f>74984</f>
        <v>74984.0</v>
      </c>
    </row>
    <row r="302">
      <c r="A302" s="8" t="s">
        <v>46</v>
      </c>
      <c r="B302" s="9" t="s">
        <v>67</v>
      </c>
      <c r="C302" s="9" t="s">
        <v>68</v>
      </c>
      <c r="D302" s="10"/>
      <c r="E302" s="2" t="n">
        <f>1251</f>
        <v>1251.0</v>
      </c>
      <c r="F302" s="10"/>
      <c r="G302" s="2" t="n">
        <f>2087249210</f>
        <v>2.08724921E9</v>
      </c>
      <c r="H302" s="10"/>
      <c r="I302" s="2" t="n">
        <f>26</f>
        <v>26.0</v>
      </c>
      <c r="J302" s="10" t="s">
        <v>20</v>
      </c>
      <c r="K302" s="2" t="n">
        <f>74522</f>
        <v>74522.0</v>
      </c>
    </row>
    <row r="303">
      <c r="A303" s="8" t="s">
        <v>47</v>
      </c>
      <c r="B303" s="9" t="s">
        <v>67</v>
      </c>
      <c r="C303" s="9" t="s">
        <v>68</v>
      </c>
      <c r="D303" s="10"/>
      <c r="E303" s="2" t="n">
        <f>3499</f>
        <v>3499.0</v>
      </c>
      <c r="F303" s="10"/>
      <c r="G303" s="2" t="n">
        <f>5859053310</f>
        <v>5.85905331E9</v>
      </c>
      <c r="H303" s="10"/>
      <c r="I303" s="2" t="n">
        <f>57</f>
        <v>57.0</v>
      </c>
      <c r="J303" s="10"/>
      <c r="K303" s="2" t="n">
        <f>75854</f>
        <v>75854.0</v>
      </c>
    </row>
    <row r="304">
      <c r="A304" s="8" t="s">
        <v>48</v>
      </c>
      <c r="B304" s="9" t="s">
        <v>67</v>
      </c>
      <c r="C304" s="9" t="s">
        <v>68</v>
      </c>
      <c r="D304" s="10"/>
      <c r="E304" s="2" t="n">
        <f>1837</f>
        <v>1837.0</v>
      </c>
      <c r="F304" s="10"/>
      <c r="G304" s="2" t="n">
        <f>3072109610</f>
        <v>3.07210961E9</v>
      </c>
      <c r="H304" s="10"/>
      <c r="I304" s="2" t="n">
        <f>38</f>
        <v>38.0</v>
      </c>
      <c r="J304" s="10"/>
      <c r="K304" s="2" t="n">
        <f>74759</f>
        <v>74759.0</v>
      </c>
    </row>
    <row r="305">
      <c r="A305" s="8" t="s">
        <v>49</v>
      </c>
      <c r="B305" s="9" t="s">
        <v>67</v>
      </c>
      <c r="C305" s="9" t="s">
        <v>68</v>
      </c>
      <c r="D305" s="10"/>
      <c r="E305" s="2"/>
      <c r="F305" s="10"/>
      <c r="G305" s="2"/>
      <c r="H305" s="10"/>
      <c r="I305" s="2"/>
      <c r="J305" s="10"/>
      <c r="K305" s="2"/>
    </row>
    <row r="306">
      <c r="A306" s="8" t="s">
        <v>16</v>
      </c>
      <c r="B306" s="9" t="s">
        <v>69</v>
      </c>
      <c r="C306" s="9" t="s">
        <v>70</v>
      </c>
      <c r="D306" s="10" t="s">
        <v>54</v>
      </c>
      <c r="E306" s="2" t="str">
        <f>"－"</f>
        <v>－</v>
      </c>
      <c r="F306" s="10" t="s">
        <v>54</v>
      </c>
      <c r="G306" s="2" t="str">
        <f>"－"</f>
        <v>－</v>
      </c>
      <c r="H306" s="10" t="s">
        <v>54</v>
      </c>
      <c r="I306" s="2" t="str">
        <f>"－"</f>
        <v>－</v>
      </c>
      <c r="J306" s="10" t="s">
        <v>54</v>
      </c>
      <c r="K306" s="2" t="str">
        <f>"－"</f>
        <v>－</v>
      </c>
    </row>
    <row r="307">
      <c r="A307" s="8" t="s">
        <v>21</v>
      </c>
      <c r="B307" s="9" t="s">
        <v>69</v>
      </c>
      <c r="C307" s="9" t="s">
        <v>70</v>
      </c>
      <c r="D307" s="10"/>
      <c r="E307" s="2"/>
      <c r="F307" s="10"/>
      <c r="G307" s="2"/>
      <c r="H307" s="10"/>
      <c r="I307" s="2"/>
      <c r="J307" s="10"/>
      <c r="K307" s="2"/>
    </row>
    <row r="308">
      <c r="A308" s="8" t="s">
        <v>22</v>
      </c>
      <c r="B308" s="9" t="s">
        <v>69</v>
      </c>
      <c r="C308" s="9" t="s">
        <v>70</v>
      </c>
      <c r="D308" s="10"/>
      <c r="E308" s="2"/>
      <c r="F308" s="10"/>
      <c r="G308" s="2"/>
      <c r="H308" s="10"/>
      <c r="I308" s="2"/>
      <c r="J308" s="10"/>
      <c r="K308" s="2"/>
    </row>
    <row r="309">
      <c r="A309" s="8" t="s">
        <v>23</v>
      </c>
      <c r="B309" s="9" t="s">
        <v>69</v>
      </c>
      <c r="C309" s="9" t="s">
        <v>70</v>
      </c>
      <c r="D309" s="10"/>
      <c r="E309" s="2"/>
      <c r="F309" s="10"/>
      <c r="G309" s="2"/>
      <c r="H309" s="10"/>
      <c r="I309" s="2"/>
      <c r="J309" s="10"/>
      <c r="K309" s="2"/>
    </row>
    <row r="310">
      <c r="A310" s="8" t="s">
        <v>24</v>
      </c>
      <c r="B310" s="9" t="s">
        <v>69</v>
      </c>
      <c r="C310" s="9" t="s">
        <v>70</v>
      </c>
      <c r="D310" s="10"/>
      <c r="E310" s="2" t="str">
        <f>"－"</f>
        <v>－</v>
      </c>
      <c r="F310" s="10"/>
      <c r="G310" s="2" t="str">
        <f>"－"</f>
        <v>－</v>
      </c>
      <c r="H310" s="10"/>
      <c r="I310" s="2" t="str">
        <f>"－"</f>
        <v>－</v>
      </c>
      <c r="J310" s="10"/>
      <c r="K310" s="2" t="str">
        <f>"－"</f>
        <v>－</v>
      </c>
    </row>
    <row r="311">
      <c r="A311" s="8" t="s">
        <v>25</v>
      </c>
      <c r="B311" s="9" t="s">
        <v>69</v>
      </c>
      <c r="C311" s="9" t="s">
        <v>70</v>
      </c>
      <c r="D311" s="10"/>
      <c r="E311" s="2" t="str">
        <f>"－"</f>
        <v>－</v>
      </c>
      <c r="F311" s="10"/>
      <c r="G311" s="2" t="str">
        <f>"－"</f>
        <v>－</v>
      </c>
      <c r="H311" s="10"/>
      <c r="I311" s="2" t="str">
        <f>"－"</f>
        <v>－</v>
      </c>
      <c r="J311" s="10"/>
      <c r="K311" s="2" t="str">
        <f>"－"</f>
        <v>－</v>
      </c>
    </row>
    <row r="312">
      <c r="A312" s="8" t="s">
        <v>26</v>
      </c>
      <c r="B312" s="9" t="s">
        <v>69</v>
      </c>
      <c r="C312" s="9" t="s">
        <v>70</v>
      </c>
      <c r="D312" s="10"/>
      <c r="E312" s="2" t="str">
        <f>"－"</f>
        <v>－</v>
      </c>
      <c r="F312" s="10"/>
      <c r="G312" s="2" t="str">
        <f>"－"</f>
        <v>－</v>
      </c>
      <c r="H312" s="10"/>
      <c r="I312" s="2" t="str">
        <f>"－"</f>
        <v>－</v>
      </c>
      <c r="J312" s="10"/>
      <c r="K312" s="2" t="str">
        <f>"－"</f>
        <v>－</v>
      </c>
    </row>
    <row r="313">
      <c r="A313" s="8" t="s">
        <v>27</v>
      </c>
      <c r="B313" s="9" t="s">
        <v>69</v>
      </c>
      <c r="C313" s="9" t="s">
        <v>70</v>
      </c>
      <c r="D313" s="10"/>
      <c r="E313" s="2" t="str">
        <f>"－"</f>
        <v>－</v>
      </c>
      <c r="F313" s="10"/>
      <c r="G313" s="2" t="str">
        <f>"－"</f>
        <v>－</v>
      </c>
      <c r="H313" s="10"/>
      <c r="I313" s="2" t="str">
        <f>"－"</f>
        <v>－</v>
      </c>
      <c r="J313" s="10"/>
      <c r="K313" s="2" t="str">
        <f>"－"</f>
        <v>－</v>
      </c>
    </row>
    <row r="314">
      <c r="A314" s="8" t="s">
        <v>28</v>
      </c>
      <c r="B314" s="9" t="s">
        <v>69</v>
      </c>
      <c r="C314" s="9" t="s">
        <v>70</v>
      </c>
      <c r="D314" s="10"/>
      <c r="E314" s="2"/>
      <c r="F314" s="10"/>
      <c r="G314" s="2"/>
      <c r="H314" s="10"/>
      <c r="I314" s="2"/>
      <c r="J314" s="10"/>
      <c r="K314" s="2"/>
    </row>
    <row r="315">
      <c r="A315" s="8" t="s">
        <v>29</v>
      </c>
      <c r="B315" s="9" t="s">
        <v>69</v>
      </c>
      <c r="C315" s="9" t="s">
        <v>70</v>
      </c>
      <c r="D315" s="10"/>
      <c r="E315" s="2"/>
      <c r="F315" s="10"/>
      <c r="G315" s="2"/>
      <c r="H315" s="10"/>
      <c r="I315" s="2"/>
      <c r="J315" s="10"/>
      <c r="K315" s="2"/>
    </row>
    <row r="316">
      <c r="A316" s="8" t="s">
        <v>30</v>
      </c>
      <c r="B316" s="9" t="s">
        <v>69</v>
      </c>
      <c r="C316" s="9" t="s">
        <v>70</v>
      </c>
      <c r="D316" s="10"/>
      <c r="E316" s="2" t="str">
        <f>"－"</f>
        <v>－</v>
      </c>
      <c r="F316" s="10"/>
      <c r="G316" s="2" t="str">
        <f>"－"</f>
        <v>－</v>
      </c>
      <c r="H316" s="10"/>
      <c r="I316" s="2" t="str">
        <f>"－"</f>
        <v>－</v>
      </c>
      <c r="J316" s="10"/>
      <c r="K316" s="2" t="str">
        <f>"－"</f>
        <v>－</v>
      </c>
    </row>
    <row r="317">
      <c r="A317" s="8" t="s">
        <v>31</v>
      </c>
      <c r="B317" s="9" t="s">
        <v>69</v>
      </c>
      <c r="C317" s="9" t="s">
        <v>70</v>
      </c>
      <c r="D317" s="10"/>
      <c r="E317" s="2" t="str">
        <f>"－"</f>
        <v>－</v>
      </c>
      <c r="F317" s="10"/>
      <c r="G317" s="2" t="str">
        <f>"－"</f>
        <v>－</v>
      </c>
      <c r="H317" s="10"/>
      <c r="I317" s="2" t="str">
        <f>"－"</f>
        <v>－</v>
      </c>
      <c r="J317" s="10"/>
      <c r="K317" s="2" t="str">
        <f>"－"</f>
        <v>－</v>
      </c>
    </row>
    <row r="318">
      <c r="A318" s="8" t="s">
        <v>32</v>
      </c>
      <c r="B318" s="9" t="s">
        <v>69</v>
      </c>
      <c r="C318" s="9" t="s">
        <v>70</v>
      </c>
      <c r="D318" s="10"/>
      <c r="E318" s="2" t="str">
        <f>"－"</f>
        <v>－</v>
      </c>
      <c r="F318" s="10"/>
      <c r="G318" s="2" t="str">
        <f>"－"</f>
        <v>－</v>
      </c>
      <c r="H318" s="10"/>
      <c r="I318" s="2" t="str">
        <f>"－"</f>
        <v>－</v>
      </c>
      <c r="J318" s="10"/>
      <c r="K318" s="2" t="str">
        <f>"－"</f>
        <v>－</v>
      </c>
    </row>
    <row r="319">
      <c r="A319" s="8" t="s">
        <v>33</v>
      </c>
      <c r="B319" s="9" t="s">
        <v>69</v>
      </c>
      <c r="C319" s="9" t="s">
        <v>70</v>
      </c>
      <c r="D319" s="10"/>
      <c r="E319" s="2" t="str">
        <f>"－"</f>
        <v>－</v>
      </c>
      <c r="F319" s="10"/>
      <c r="G319" s="2" t="str">
        <f>"－"</f>
        <v>－</v>
      </c>
      <c r="H319" s="10"/>
      <c r="I319" s="2" t="str">
        <f>"－"</f>
        <v>－</v>
      </c>
      <c r="J319" s="10"/>
      <c r="K319" s="2" t="str">
        <f>"－"</f>
        <v>－</v>
      </c>
    </row>
    <row r="320">
      <c r="A320" s="8" t="s">
        <v>34</v>
      </c>
      <c r="B320" s="9" t="s">
        <v>69</v>
      </c>
      <c r="C320" s="9" t="s">
        <v>70</v>
      </c>
      <c r="D320" s="10"/>
      <c r="E320" s="2" t="str">
        <f>"－"</f>
        <v>－</v>
      </c>
      <c r="F320" s="10"/>
      <c r="G320" s="2" t="str">
        <f>"－"</f>
        <v>－</v>
      </c>
      <c r="H320" s="10"/>
      <c r="I320" s="2" t="str">
        <f>"－"</f>
        <v>－</v>
      </c>
      <c r="J320" s="10"/>
      <c r="K320" s="2" t="str">
        <f>"－"</f>
        <v>－</v>
      </c>
    </row>
    <row r="321">
      <c r="A321" s="8" t="s">
        <v>35</v>
      </c>
      <c r="B321" s="9" t="s">
        <v>69</v>
      </c>
      <c r="C321" s="9" t="s">
        <v>70</v>
      </c>
      <c r="D321" s="10"/>
      <c r="E321" s="2"/>
      <c r="F321" s="10"/>
      <c r="G321" s="2"/>
      <c r="H321" s="10"/>
      <c r="I321" s="2"/>
      <c r="J321" s="10"/>
      <c r="K321" s="2"/>
    </row>
    <row r="322">
      <c r="A322" s="8" t="s">
        <v>36</v>
      </c>
      <c r="B322" s="9" t="s">
        <v>69</v>
      </c>
      <c r="C322" s="9" t="s">
        <v>70</v>
      </c>
      <c r="D322" s="10"/>
      <c r="E322" s="2"/>
      <c r="F322" s="10"/>
      <c r="G322" s="2"/>
      <c r="H322" s="10"/>
      <c r="I322" s="2"/>
      <c r="J322" s="10"/>
      <c r="K322" s="2"/>
    </row>
    <row r="323">
      <c r="A323" s="8" t="s">
        <v>37</v>
      </c>
      <c r="B323" s="9" t="s">
        <v>69</v>
      </c>
      <c r="C323" s="9" t="s">
        <v>70</v>
      </c>
      <c r="D323" s="10"/>
      <c r="E323" s="2" t="str">
        <f>"－"</f>
        <v>－</v>
      </c>
      <c r="F323" s="10"/>
      <c r="G323" s="2" t="str">
        <f>"－"</f>
        <v>－</v>
      </c>
      <c r="H323" s="10"/>
      <c r="I323" s="2" t="str">
        <f>"－"</f>
        <v>－</v>
      </c>
      <c r="J323" s="10"/>
      <c r="K323" s="2" t="str">
        <f>"－"</f>
        <v>－</v>
      </c>
    </row>
    <row r="324">
      <c r="A324" s="8" t="s">
        <v>38</v>
      </c>
      <c r="B324" s="9" t="s">
        <v>69</v>
      </c>
      <c r="C324" s="9" t="s">
        <v>70</v>
      </c>
      <c r="D324" s="10"/>
      <c r="E324" s="2" t="str">
        <f>"－"</f>
        <v>－</v>
      </c>
      <c r="F324" s="10"/>
      <c r="G324" s="2" t="str">
        <f>"－"</f>
        <v>－</v>
      </c>
      <c r="H324" s="10"/>
      <c r="I324" s="2" t="str">
        <f>"－"</f>
        <v>－</v>
      </c>
      <c r="J324" s="10"/>
      <c r="K324" s="2" t="str">
        <f>"－"</f>
        <v>－</v>
      </c>
    </row>
    <row r="325">
      <c r="A325" s="8" t="s">
        <v>39</v>
      </c>
      <c r="B325" s="9" t="s">
        <v>69</v>
      </c>
      <c r="C325" s="9" t="s">
        <v>70</v>
      </c>
      <c r="D325" s="10"/>
      <c r="E325" s="2" t="str">
        <f>"－"</f>
        <v>－</v>
      </c>
      <c r="F325" s="10"/>
      <c r="G325" s="2" t="str">
        <f>"－"</f>
        <v>－</v>
      </c>
      <c r="H325" s="10"/>
      <c r="I325" s="2" t="str">
        <f>"－"</f>
        <v>－</v>
      </c>
      <c r="J325" s="10"/>
      <c r="K325" s="2" t="str">
        <f>"－"</f>
        <v>－</v>
      </c>
    </row>
    <row r="326">
      <c r="A326" s="8" t="s">
        <v>40</v>
      </c>
      <c r="B326" s="9" t="s">
        <v>69</v>
      </c>
      <c r="C326" s="9" t="s">
        <v>70</v>
      </c>
      <c r="D326" s="10"/>
      <c r="E326" s="2" t="str">
        <f>"－"</f>
        <v>－</v>
      </c>
      <c r="F326" s="10"/>
      <c r="G326" s="2" t="str">
        <f>"－"</f>
        <v>－</v>
      </c>
      <c r="H326" s="10"/>
      <c r="I326" s="2" t="str">
        <f>"－"</f>
        <v>－</v>
      </c>
      <c r="J326" s="10"/>
      <c r="K326" s="2" t="str">
        <f>"－"</f>
        <v>－</v>
      </c>
    </row>
    <row r="327">
      <c r="A327" s="8" t="s">
        <v>41</v>
      </c>
      <c r="B327" s="9" t="s">
        <v>69</v>
      </c>
      <c r="C327" s="9" t="s">
        <v>70</v>
      </c>
      <c r="D327" s="10"/>
      <c r="E327" s="2" t="str">
        <f>"－"</f>
        <v>－</v>
      </c>
      <c r="F327" s="10"/>
      <c r="G327" s="2" t="str">
        <f>"－"</f>
        <v>－</v>
      </c>
      <c r="H327" s="10"/>
      <c r="I327" s="2" t="str">
        <f>"－"</f>
        <v>－</v>
      </c>
      <c r="J327" s="10"/>
      <c r="K327" s="2" t="str">
        <f>"－"</f>
        <v>－</v>
      </c>
    </row>
    <row r="328">
      <c r="A328" s="8" t="s">
        <v>42</v>
      </c>
      <c r="B328" s="9" t="s">
        <v>69</v>
      </c>
      <c r="C328" s="9" t="s">
        <v>70</v>
      </c>
      <c r="D328" s="10"/>
      <c r="E328" s="2"/>
      <c r="F328" s="10"/>
      <c r="G328" s="2"/>
      <c r="H328" s="10"/>
      <c r="I328" s="2"/>
      <c r="J328" s="10"/>
      <c r="K328" s="2"/>
    </row>
    <row r="329">
      <c r="A329" s="8" t="s">
        <v>43</v>
      </c>
      <c r="B329" s="9" t="s">
        <v>69</v>
      </c>
      <c r="C329" s="9" t="s">
        <v>70</v>
      </c>
      <c r="D329" s="10"/>
      <c r="E329" s="2"/>
      <c r="F329" s="10"/>
      <c r="G329" s="2"/>
      <c r="H329" s="10"/>
      <c r="I329" s="2"/>
      <c r="J329" s="10"/>
      <c r="K329" s="2"/>
    </row>
    <row r="330">
      <c r="A330" s="8" t="s">
        <v>44</v>
      </c>
      <c r="B330" s="9" t="s">
        <v>69</v>
      </c>
      <c r="C330" s="9" t="s">
        <v>70</v>
      </c>
      <c r="D330" s="10"/>
      <c r="E330" s="2" t="str">
        <f>"－"</f>
        <v>－</v>
      </c>
      <c r="F330" s="10"/>
      <c r="G330" s="2" t="str">
        <f>"－"</f>
        <v>－</v>
      </c>
      <c r="H330" s="10"/>
      <c r="I330" s="2" t="str">
        <f>"－"</f>
        <v>－</v>
      </c>
      <c r="J330" s="10"/>
      <c r="K330" s="2" t="str">
        <f>"－"</f>
        <v>－</v>
      </c>
    </row>
    <row r="331">
      <c r="A331" s="8" t="s">
        <v>45</v>
      </c>
      <c r="B331" s="9" t="s">
        <v>69</v>
      </c>
      <c r="C331" s="9" t="s">
        <v>70</v>
      </c>
      <c r="D331" s="10"/>
      <c r="E331" s="2" t="str">
        <f>"－"</f>
        <v>－</v>
      </c>
      <c r="F331" s="10"/>
      <c r="G331" s="2" t="str">
        <f>"－"</f>
        <v>－</v>
      </c>
      <c r="H331" s="10"/>
      <c r="I331" s="2" t="str">
        <f>"－"</f>
        <v>－</v>
      </c>
      <c r="J331" s="10"/>
      <c r="K331" s="2" t="str">
        <f>"－"</f>
        <v>－</v>
      </c>
    </row>
    <row r="332">
      <c r="A332" s="8" t="s">
        <v>46</v>
      </c>
      <c r="B332" s="9" t="s">
        <v>69</v>
      </c>
      <c r="C332" s="9" t="s">
        <v>70</v>
      </c>
      <c r="D332" s="10"/>
      <c r="E332" s="2" t="str">
        <f>"－"</f>
        <v>－</v>
      </c>
      <c r="F332" s="10"/>
      <c r="G332" s="2" t="str">
        <f>"－"</f>
        <v>－</v>
      </c>
      <c r="H332" s="10"/>
      <c r="I332" s="2" t="str">
        <f>"－"</f>
        <v>－</v>
      </c>
      <c r="J332" s="10"/>
      <c r="K332" s="2" t="str">
        <f>"－"</f>
        <v>－</v>
      </c>
    </row>
    <row r="333">
      <c r="A333" s="8" t="s">
        <v>47</v>
      </c>
      <c r="B333" s="9" t="s">
        <v>69</v>
      </c>
      <c r="C333" s="9" t="s">
        <v>70</v>
      </c>
      <c r="D333" s="10"/>
      <c r="E333" s="2" t="str">
        <f>"－"</f>
        <v>－</v>
      </c>
      <c r="F333" s="10"/>
      <c r="G333" s="2" t="str">
        <f>"－"</f>
        <v>－</v>
      </c>
      <c r="H333" s="10"/>
      <c r="I333" s="2" t="str">
        <f>"－"</f>
        <v>－</v>
      </c>
      <c r="J333" s="10"/>
      <c r="K333" s="2" t="str">
        <f>"－"</f>
        <v>－</v>
      </c>
    </row>
    <row r="334">
      <c r="A334" s="8" t="s">
        <v>48</v>
      </c>
      <c r="B334" s="9" t="s">
        <v>69</v>
      </c>
      <c r="C334" s="9" t="s">
        <v>70</v>
      </c>
      <c r="D334" s="10"/>
      <c r="E334" s="2" t="str">
        <f>"－"</f>
        <v>－</v>
      </c>
      <c r="F334" s="10"/>
      <c r="G334" s="2" t="str">
        <f>"－"</f>
        <v>－</v>
      </c>
      <c r="H334" s="10"/>
      <c r="I334" s="2" t="str">
        <f>"－"</f>
        <v>－</v>
      </c>
      <c r="J334" s="10"/>
      <c r="K334" s="2" t="str">
        <f>"－"</f>
        <v>－</v>
      </c>
    </row>
    <row r="335">
      <c r="A335" s="8" t="s">
        <v>49</v>
      </c>
      <c r="B335" s="9" t="s">
        <v>69</v>
      </c>
      <c r="C335" s="9" t="s">
        <v>70</v>
      </c>
      <c r="D335" s="10"/>
      <c r="E335" s="2"/>
      <c r="F335" s="10"/>
      <c r="G335" s="2"/>
      <c r="H335" s="10"/>
      <c r="I335" s="2"/>
      <c r="J335" s="10"/>
      <c r="K335" s="2"/>
    </row>
    <row r="336">
      <c r="A336" s="8" t="s">
        <v>16</v>
      </c>
      <c r="B336" s="9" t="s">
        <v>71</v>
      </c>
      <c r="C336" s="9" t="s">
        <v>72</v>
      </c>
      <c r="D336" s="10"/>
      <c r="E336" s="2" t="n">
        <f>5506</f>
        <v>5506.0</v>
      </c>
      <c r="F336" s="10"/>
      <c r="G336" s="2" t="n">
        <f>3336089510</f>
        <v>3.33608951E9</v>
      </c>
      <c r="H336" s="10"/>
      <c r="I336" s="2" t="n">
        <f>847</f>
        <v>847.0</v>
      </c>
      <c r="J336" s="10"/>
      <c r="K336" s="2" t="n">
        <f>46193</f>
        <v>46193.0</v>
      </c>
    </row>
    <row r="337">
      <c r="A337" s="8" t="s">
        <v>21</v>
      </c>
      <c r="B337" s="9" t="s">
        <v>71</v>
      </c>
      <c r="C337" s="9" t="s">
        <v>72</v>
      </c>
      <c r="D337" s="10"/>
      <c r="E337" s="2"/>
      <c r="F337" s="10"/>
      <c r="G337" s="2"/>
      <c r="H337" s="10"/>
      <c r="I337" s="2"/>
      <c r="J337" s="10"/>
      <c r="K337" s="2"/>
    </row>
    <row r="338">
      <c r="A338" s="8" t="s">
        <v>22</v>
      </c>
      <c r="B338" s="9" t="s">
        <v>71</v>
      </c>
      <c r="C338" s="9" t="s">
        <v>72</v>
      </c>
      <c r="D338" s="10"/>
      <c r="E338" s="2"/>
      <c r="F338" s="10"/>
      <c r="G338" s="2"/>
      <c r="H338" s="10"/>
      <c r="I338" s="2"/>
      <c r="J338" s="10"/>
      <c r="K338" s="2"/>
    </row>
    <row r="339">
      <c r="A339" s="8" t="s">
        <v>23</v>
      </c>
      <c r="B339" s="9" t="s">
        <v>71</v>
      </c>
      <c r="C339" s="9" t="s">
        <v>72</v>
      </c>
      <c r="D339" s="10"/>
      <c r="E339" s="2"/>
      <c r="F339" s="10"/>
      <c r="G339" s="2"/>
      <c r="H339" s="10"/>
      <c r="I339" s="2"/>
      <c r="J339" s="10"/>
      <c r="K339" s="2"/>
    </row>
    <row r="340">
      <c r="A340" s="8" t="s">
        <v>24</v>
      </c>
      <c r="B340" s="9" t="s">
        <v>71</v>
      </c>
      <c r="C340" s="9" t="s">
        <v>72</v>
      </c>
      <c r="D340" s="10"/>
      <c r="E340" s="2" t="n">
        <f>4334</f>
        <v>4334.0</v>
      </c>
      <c r="F340" s="10"/>
      <c r="G340" s="2" t="n">
        <f>2629140450</f>
        <v>2.62914045E9</v>
      </c>
      <c r="H340" s="10"/>
      <c r="I340" s="2" t="n">
        <f>614</f>
        <v>614.0</v>
      </c>
      <c r="J340" s="10"/>
      <c r="K340" s="2" t="n">
        <f>46158</f>
        <v>46158.0</v>
      </c>
    </row>
    <row r="341">
      <c r="A341" s="8" t="s">
        <v>25</v>
      </c>
      <c r="B341" s="9" t="s">
        <v>71</v>
      </c>
      <c r="C341" s="9" t="s">
        <v>72</v>
      </c>
      <c r="D341" s="10"/>
      <c r="E341" s="2" t="n">
        <f>6204</f>
        <v>6204.0</v>
      </c>
      <c r="F341" s="10"/>
      <c r="G341" s="2" t="n">
        <f>3811044470</f>
        <v>3.81104447E9</v>
      </c>
      <c r="H341" s="10"/>
      <c r="I341" s="2" t="n">
        <f>332</f>
        <v>332.0</v>
      </c>
      <c r="J341" s="10"/>
      <c r="K341" s="2" t="n">
        <f>46935</f>
        <v>46935.0</v>
      </c>
    </row>
    <row r="342">
      <c r="A342" s="8" t="s">
        <v>26</v>
      </c>
      <c r="B342" s="9" t="s">
        <v>71</v>
      </c>
      <c r="C342" s="9" t="s">
        <v>72</v>
      </c>
      <c r="D342" s="10" t="s">
        <v>19</v>
      </c>
      <c r="E342" s="2" t="n">
        <f>8710</f>
        <v>8710.0</v>
      </c>
      <c r="F342" s="10" t="s">
        <v>19</v>
      </c>
      <c r="G342" s="2" t="n">
        <f>5380721640</f>
        <v>5.38072164E9</v>
      </c>
      <c r="H342" s="10"/>
      <c r="I342" s="2" t="n">
        <f>1499</f>
        <v>1499.0</v>
      </c>
      <c r="J342" s="10"/>
      <c r="K342" s="2" t="n">
        <f>45791</f>
        <v>45791.0</v>
      </c>
    </row>
    <row r="343">
      <c r="A343" s="8" t="s">
        <v>27</v>
      </c>
      <c r="B343" s="9" t="s">
        <v>71</v>
      </c>
      <c r="C343" s="9" t="s">
        <v>72</v>
      </c>
      <c r="D343" s="10"/>
      <c r="E343" s="2" t="n">
        <f>3637</f>
        <v>3637.0</v>
      </c>
      <c r="F343" s="10"/>
      <c r="G343" s="2" t="n">
        <f>2250846720</f>
        <v>2.25084672E9</v>
      </c>
      <c r="H343" s="10"/>
      <c r="I343" s="2" t="n">
        <f>358</f>
        <v>358.0</v>
      </c>
      <c r="J343" s="10"/>
      <c r="K343" s="2" t="n">
        <f>45823</f>
        <v>45823.0</v>
      </c>
    </row>
    <row r="344">
      <c r="A344" s="8" t="s">
        <v>28</v>
      </c>
      <c r="B344" s="9" t="s">
        <v>71</v>
      </c>
      <c r="C344" s="9" t="s">
        <v>72</v>
      </c>
      <c r="D344" s="10"/>
      <c r="E344" s="2"/>
      <c r="F344" s="10"/>
      <c r="G344" s="2"/>
      <c r="H344" s="10"/>
      <c r="I344" s="2"/>
      <c r="J344" s="10"/>
      <c r="K344" s="2"/>
    </row>
    <row r="345">
      <c r="A345" s="8" t="s">
        <v>29</v>
      </c>
      <c r="B345" s="9" t="s">
        <v>71</v>
      </c>
      <c r="C345" s="9" t="s">
        <v>72</v>
      </c>
      <c r="D345" s="10"/>
      <c r="E345" s="2"/>
      <c r="F345" s="10"/>
      <c r="G345" s="2"/>
      <c r="H345" s="10"/>
      <c r="I345" s="2"/>
      <c r="J345" s="10"/>
      <c r="K345" s="2"/>
    </row>
    <row r="346">
      <c r="A346" s="8" t="s">
        <v>30</v>
      </c>
      <c r="B346" s="9" t="s">
        <v>71</v>
      </c>
      <c r="C346" s="9" t="s">
        <v>72</v>
      </c>
      <c r="D346" s="10"/>
      <c r="E346" s="2" t="n">
        <f>3027</f>
        <v>3027.0</v>
      </c>
      <c r="F346" s="10"/>
      <c r="G346" s="2" t="n">
        <f>1866865450</f>
        <v>1.86686545E9</v>
      </c>
      <c r="H346" s="10"/>
      <c r="I346" s="2" t="n">
        <f>223</f>
        <v>223.0</v>
      </c>
      <c r="J346" s="10"/>
      <c r="K346" s="2" t="n">
        <f>46013</f>
        <v>46013.0</v>
      </c>
    </row>
    <row r="347">
      <c r="A347" s="8" t="s">
        <v>31</v>
      </c>
      <c r="B347" s="9" t="s">
        <v>71</v>
      </c>
      <c r="C347" s="9" t="s">
        <v>72</v>
      </c>
      <c r="D347" s="10"/>
      <c r="E347" s="2" t="n">
        <f>4268</f>
        <v>4268.0</v>
      </c>
      <c r="F347" s="10"/>
      <c r="G347" s="2" t="n">
        <f>2672975800</f>
        <v>2.6729758E9</v>
      </c>
      <c r="H347" s="10"/>
      <c r="I347" s="2" t="n">
        <f>725</f>
        <v>725.0</v>
      </c>
      <c r="J347" s="10"/>
      <c r="K347" s="2" t="n">
        <f>46246</f>
        <v>46246.0</v>
      </c>
    </row>
    <row r="348">
      <c r="A348" s="8" t="s">
        <v>32</v>
      </c>
      <c r="B348" s="9" t="s">
        <v>71</v>
      </c>
      <c r="C348" s="9" t="s">
        <v>72</v>
      </c>
      <c r="D348" s="10"/>
      <c r="E348" s="2" t="n">
        <f>6003</f>
        <v>6003.0</v>
      </c>
      <c r="F348" s="10"/>
      <c r="G348" s="2" t="n">
        <f>3750965620</f>
        <v>3.75096562E9</v>
      </c>
      <c r="H348" s="10"/>
      <c r="I348" s="2" t="n">
        <f>354</f>
        <v>354.0</v>
      </c>
      <c r="J348" s="10"/>
      <c r="K348" s="2" t="n">
        <f>45801</f>
        <v>45801.0</v>
      </c>
    </row>
    <row r="349">
      <c r="A349" s="8" t="s">
        <v>33</v>
      </c>
      <c r="B349" s="9" t="s">
        <v>71</v>
      </c>
      <c r="C349" s="9" t="s">
        <v>72</v>
      </c>
      <c r="D349" s="10"/>
      <c r="E349" s="2" t="n">
        <f>4105</f>
        <v>4105.0</v>
      </c>
      <c r="F349" s="10"/>
      <c r="G349" s="2" t="n">
        <f>2546986260</f>
        <v>2.54698626E9</v>
      </c>
      <c r="H349" s="10"/>
      <c r="I349" s="2" t="n">
        <f>336</f>
        <v>336.0</v>
      </c>
      <c r="J349" s="10"/>
      <c r="K349" s="2" t="n">
        <f>45802</f>
        <v>45802.0</v>
      </c>
    </row>
    <row r="350">
      <c r="A350" s="8" t="s">
        <v>34</v>
      </c>
      <c r="B350" s="9" t="s">
        <v>71</v>
      </c>
      <c r="C350" s="9" t="s">
        <v>72</v>
      </c>
      <c r="D350" s="10"/>
      <c r="E350" s="2" t="n">
        <f>3759</f>
        <v>3759.0</v>
      </c>
      <c r="F350" s="10"/>
      <c r="G350" s="2" t="n">
        <f>2320543100</f>
        <v>2.3205431E9</v>
      </c>
      <c r="H350" s="10" t="s">
        <v>20</v>
      </c>
      <c r="I350" s="2" t="n">
        <f>63</f>
        <v>63.0</v>
      </c>
      <c r="J350" s="10"/>
      <c r="K350" s="2" t="n">
        <f>46209</f>
        <v>46209.0</v>
      </c>
    </row>
    <row r="351">
      <c r="A351" s="8" t="s">
        <v>35</v>
      </c>
      <c r="B351" s="9" t="s">
        <v>71</v>
      </c>
      <c r="C351" s="9" t="s">
        <v>72</v>
      </c>
      <c r="D351" s="10"/>
      <c r="E351" s="2"/>
      <c r="F351" s="10"/>
      <c r="G351" s="2"/>
      <c r="H351" s="10"/>
      <c r="I351" s="2"/>
      <c r="J351" s="10"/>
      <c r="K351" s="2"/>
    </row>
    <row r="352">
      <c r="A352" s="8" t="s">
        <v>36</v>
      </c>
      <c r="B352" s="9" t="s">
        <v>71</v>
      </c>
      <c r="C352" s="9" t="s">
        <v>72</v>
      </c>
      <c r="D352" s="10"/>
      <c r="E352" s="2"/>
      <c r="F352" s="10"/>
      <c r="G352" s="2"/>
      <c r="H352" s="10"/>
      <c r="I352" s="2"/>
      <c r="J352" s="10"/>
      <c r="K352" s="2"/>
    </row>
    <row r="353">
      <c r="A353" s="8" t="s">
        <v>37</v>
      </c>
      <c r="B353" s="9" t="s">
        <v>71</v>
      </c>
      <c r="C353" s="9" t="s">
        <v>72</v>
      </c>
      <c r="D353" s="10"/>
      <c r="E353" s="2" t="n">
        <f>3578</f>
        <v>3578.0</v>
      </c>
      <c r="F353" s="10"/>
      <c r="G353" s="2" t="n">
        <f>2196629780</f>
        <v>2.19662978E9</v>
      </c>
      <c r="H353" s="10"/>
      <c r="I353" s="2" t="n">
        <f>133</f>
        <v>133.0</v>
      </c>
      <c r="J353" s="10" t="s">
        <v>19</v>
      </c>
      <c r="K353" s="2" t="n">
        <f>47229</f>
        <v>47229.0</v>
      </c>
    </row>
    <row r="354">
      <c r="A354" s="8" t="s">
        <v>38</v>
      </c>
      <c r="B354" s="9" t="s">
        <v>71</v>
      </c>
      <c r="C354" s="9" t="s">
        <v>72</v>
      </c>
      <c r="D354" s="10"/>
      <c r="E354" s="2" t="n">
        <f>4484</f>
        <v>4484.0</v>
      </c>
      <c r="F354" s="10"/>
      <c r="G354" s="2" t="n">
        <f>2792237590</f>
        <v>2.79223759E9</v>
      </c>
      <c r="H354" s="10"/>
      <c r="I354" s="2" t="n">
        <f>169</f>
        <v>169.0</v>
      </c>
      <c r="J354" s="10"/>
      <c r="K354" s="2" t="n">
        <f>46686</f>
        <v>46686.0</v>
      </c>
    </row>
    <row r="355">
      <c r="A355" s="8" t="s">
        <v>39</v>
      </c>
      <c r="B355" s="9" t="s">
        <v>71</v>
      </c>
      <c r="C355" s="9" t="s">
        <v>72</v>
      </c>
      <c r="D355" s="10"/>
      <c r="E355" s="2" t="n">
        <f>5347</f>
        <v>5347.0</v>
      </c>
      <c r="F355" s="10"/>
      <c r="G355" s="2" t="n">
        <f>3358720308</f>
        <v>3.358720308E9</v>
      </c>
      <c r="H355" s="10"/>
      <c r="I355" s="2" t="n">
        <f>648</f>
        <v>648.0</v>
      </c>
      <c r="J355" s="10"/>
      <c r="K355" s="2" t="n">
        <f>46251</f>
        <v>46251.0</v>
      </c>
    </row>
    <row r="356">
      <c r="A356" s="8" t="s">
        <v>40</v>
      </c>
      <c r="B356" s="9" t="s">
        <v>71</v>
      </c>
      <c r="C356" s="9" t="s">
        <v>72</v>
      </c>
      <c r="D356" s="10"/>
      <c r="E356" s="2" t="n">
        <f>4813</f>
        <v>4813.0</v>
      </c>
      <c r="F356" s="10"/>
      <c r="G356" s="2" t="n">
        <f>3035128700</f>
        <v>3.0351287E9</v>
      </c>
      <c r="H356" s="10"/>
      <c r="I356" s="2" t="n">
        <f>254</f>
        <v>254.0</v>
      </c>
      <c r="J356" s="10"/>
      <c r="K356" s="2" t="n">
        <f>45475</f>
        <v>45475.0</v>
      </c>
    </row>
    <row r="357">
      <c r="A357" s="8" t="s">
        <v>41</v>
      </c>
      <c r="B357" s="9" t="s">
        <v>71</v>
      </c>
      <c r="C357" s="9" t="s">
        <v>72</v>
      </c>
      <c r="D357" s="10"/>
      <c r="E357" s="2" t="n">
        <f>3779</f>
        <v>3779.0</v>
      </c>
      <c r="F357" s="10"/>
      <c r="G357" s="2" t="n">
        <f>2387533150</f>
        <v>2.38753315E9</v>
      </c>
      <c r="H357" s="10"/>
      <c r="I357" s="2" t="n">
        <f>178</f>
        <v>178.0</v>
      </c>
      <c r="J357" s="10"/>
      <c r="K357" s="2" t="n">
        <f>45680</f>
        <v>45680.0</v>
      </c>
    </row>
    <row r="358">
      <c r="A358" s="8" t="s">
        <v>42</v>
      </c>
      <c r="B358" s="9" t="s">
        <v>71</v>
      </c>
      <c r="C358" s="9" t="s">
        <v>72</v>
      </c>
      <c r="D358" s="10"/>
      <c r="E358" s="2"/>
      <c r="F358" s="10"/>
      <c r="G358" s="2"/>
      <c r="H358" s="10"/>
      <c r="I358" s="2"/>
      <c r="J358" s="10"/>
      <c r="K358" s="2"/>
    </row>
    <row r="359">
      <c r="A359" s="8" t="s">
        <v>43</v>
      </c>
      <c r="B359" s="9" t="s">
        <v>71</v>
      </c>
      <c r="C359" s="9" t="s">
        <v>72</v>
      </c>
      <c r="D359" s="10"/>
      <c r="E359" s="2"/>
      <c r="F359" s="10"/>
      <c r="G359" s="2"/>
      <c r="H359" s="10"/>
      <c r="I359" s="2"/>
      <c r="J359" s="10"/>
      <c r="K359" s="2"/>
    </row>
    <row r="360">
      <c r="A360" s="8" t="s">
        <v>44</v>
      </c>
      <c r="B360" s="9" t="s">
        <v>71</v>
      </c>
      <c r="C360" s="9" t="s">
        <v>72</v>
      </c>
      <c r="D360" s="10"/>
      <c r="E360" s="2" t="n">
        <f>3989</f>
        <v>3989.0</v>
      </c>
      <c r="F360" s="10"/>
      <c r="G360" s="2" t="n">
        <f>2539188620</f>
        <v>2.53918862E9</v>
      </c>
      <c r="H360" s="10"/>
      <c r="I360" s="2" t="n">
        <f>459</f>
        <v>459.0</v>
      </c>
      <c r="J360" s="10"/>
      <c r="K360" s="2" t="n">
        <f>45663</f>
        <v>45663.0</v>
      </c>
    </row>
    <row r="361">
      <c r="A361" s="8" t="s">
        <v>45</v>
      </c>
      <c r="B361" s="9" t="s">
        <v>71</v>
      </c>
      <c r="C361" s="9" t="s">
        <v>72</v>
      </c>
      <c r="D361" s="10"/>
      <c r="E361" s="2" t="n">
        <f>7322</f>
        <v>7322.0</v>
      </c>
      <c r="F361" s="10"/>
      <c r="G361" s="2" t="n">
        <f>4647296950</f>
        <v>4.64729695E9</v>
      </c>
      <c r="H361" s="10" t="s">
        <v>19</v>
      </c>
      <c r="I361" s="2" t="n">
        <f>1797</f>
        <v>1797.0</v>
      </c>
      <c r="J361" s="10" t="s">
        <v>20</v>
      </c>
      <c r="K361" s="2" t="n">
        <f>45348</f>
        <v>45348.0</v>
      </c>
    </row>
    <row r="362">
      <c r="A362" s="8" t="s">
        <v>46</v>
      </c>
      <c r="B362" s="9" t="s">
        <v>71</v>
      </c>
      <c r="C362" s="9" t="s">
        <v>72</v>
      </c>
      <c r="D362" s="10" t="s">
        <v>20</v>
      </c>
      <c r="E362" s="2" t="n">
        <f>2768</f>
        <v>2768.0</v>
      </c>
      <c r="F362" s="10" t="s">
        <v>20</v>
      </c>
      <c r="G362" s="2" t="n">
        <f>1740881200</f>
        <v>1.7408812E9</v>
      </c>
      <c r="H362" s="10"/>
      <c r="I362" s="2" t="n">
        <f>328</f>
        <v>328.0</v>
      </c>
      <c r="J362" s="10"/>
      <c r="K362" s="2" t="n">
        <f>45391</f>
        <v>45391.0</v>
      </c>
    </row>
    <row r="363">
      <c r="A363" s="8" t="s">
        <v>47</v>
      </c>
      <c r="B363" s="9" t="s">
        <v>71</v>
      </c>
      <c r="C363" s="9" t="s">
        <v>72</v>
      </c>
      <c r="D363" s="10"/>
      <c r="E363" s="2" t="n">
        <f>3886</f>
        <v>3886.0</v>
      </c>
      <c r="F363" s="10"/>
      <c r="G363" s="2" t="n">
        <f>2442561550</f>
        <v>2.44256155E9</v>
      </c>
      <c r="H363" s="10"/>
      <c r="I363" s="2" t="n">
        <f>352</f>
        <v>352.0</v>
      </c>
      <c r="J363" s="10"/>
      <c r="K363" s="2" t="n">
        <f>45863</f>
        <v>45863.0</v>
      </c>
    </row>
    <row r="364">
      <c r="A364" s="8" t="s">
        <v>48</v>
      </c>
      <c r="B364" s="9" t="s">
        <v>71</v>
      </c>
      <c r="C364" s="9" t="s">
        <v>72</v>
      </c>
      <c r="D364" s="10"/>
      <c r="E364" s="2" t="n">
        <f>4281</f>
        <v>4281.0</v>
      </c>
      <c r="F364" s="10"/>
      <c r="G364" s="2" t="n">
        <f>2707119480</f>
        <v>2.70711948E9</v>
      </c>
      <c r="H364" s="10"/>
      <c r="I364" s="2" t="n">
        <f>717</f>
        <v>717.0</v>
      </c>
      <c r="J364" s="10"/>
      <c r="K364" s="2" t="n">
        <f>45419</f>
        <v>45419.0</v>
      </c>
    </row>
    <row r="365">
      <c r="A365" s="8" t="s">
        <v>49</v>
      </c>
      <c r="B365" s="9" t="s">
        <v>71</v>
      </c>
      <c r="C365" s="9" t="s">
        <v>72</v>
      </c>
      <c r="D365" s="10"/>
      <c r="E365" s="2"/>
      <c r="F365" s="10"/>
      <c r="G365" s="2"/>
      <c r="H365" s="10"/>
      <c r="I365" s="2"/>
      <c r="J365" s="10"/>
      <c r="K365" s="2"/>
    </row>
    <row r="366">
      <c r="A366" s="8" t="s">
        <v>16</v>
      </c>
      <c r="B366" s="9" t="s">
        <v>73</v>
      </c>
      <c r="C366" s="9" t="s">
        <v>74</v>
      </c>
      <c r="D366" s="10"/>
      <c r="E366" s="2" t="n">
        <f>1271</f>
        <v>1271.0</v>
      </c>
      <c r="F366" s="10"/>
      <c r="G366" s="2" t="n">
        <f>5343284090</f>
        <v>5.34328409E9</v>
      </c>
      <c r="H366" s="10"/>
      <c r="I366" s="2" t="n">
        <f>115</f>
        <v>115.0</v>
      </c>
      <c r="J366" s="10"/>
      <c r="K366" s="2" t="n">
        <f>2238</f>
        <v>2238.0</v>
      </c>
    </row>
    <row r="367">
      <c r="A367" s="8" t="s">
        <v>21</v>
      </c>
      <c r="B367" s="9" t="s">
        <v>73</v>
      </c>
      <c r="C367" s="9" t="s">
        <v>74</v>
      </c>
      <c r="D367" s="10"/>
      <c r="E367" s="2"/>
      <c r="F367" s="10"/>
      <c r="G367" s="2"/>
      <c r="H367" s="10"/>
      <c r="I367" s="2"/>
      <c r="J367" s="10"/>
      <c r="K367" s="2"/>
    </row>
    <row r="368">
      <c r="A368" s="8" t="s">
        <v>22</v>
      </c>
      <c r="B368" s="9" t="s">
        <v>73</v>
      </c>
      <c r="C368" s="9" t="s">
        <v>74</v>
      </c>
      <c r="D368" s="10"/>
      <c r="E368" s="2"/>
      <c r="F368" s="10"/>
      <c r="G368" s="2"/>
      <c r="H368" s="10"/>
      <c r="I368" s="2"/>
      <c r="J368" s="10"/>
      <c r="K368" s="2"/>
    </row>
    <row r="369">
      <c r="A369" s="8" t="s">
        <v>23</v>
      </c>
      <c r="B369" s="9" t="s">
        <v>73</v>
      </c>
      <c r="C369" s="9" t="s">
        <v>74</v>
      </c>
      <c r="D369" s="10"/>
      <c r="E369" s="2"/>
      <c r="F369" s="10"/>
      <c r="G369" s="2"/>
      <c r="H369" s="10"/>
      <c r="I369" s="2"/>
      <c r="J369" s="10"/>
      <c r="K369" s="2"/>
    </row>
    <row r="370">
      <c r="A370" s="8" t="s">
        <v>24</v>
      </c>
      <c r="B370" s="9" t="s">
        <v>73</v>
      </c>
      <c r="C370" s="9" t="s">
        <v>74</v>
      </c>
      <c r="D370" s="10"/>
      <c r="E370" s="2" t="n">
        <f>1248</f>
        <v>1248.0</v>
      </c>
      <c r="F370" s="10"/>
      <c r="G370" s="2" t="n">
        <f>5265604510</f>
        <v>5.26560451E9</v>
      </c>
      <c r="H370" s="10"/>
      <c r="I370" s="2" t="n">
        <f>30</f>
        <v>30.0</v>
      </c>
      <c r="J370" s="10" t="s">
        <v>19</v>
      </c>
      <c r="K370" s="2" t="n">
        <f>2286</f>
        <v>2286.0</v>
      </c>
    </row>
    <row r="371">
      <c r="A371" s="8" t="s">
        <v>25</v>
      </c>
      <c r="B371" s="9" t="s">
        <v>73</v>
      </c>
      <c r="C371" s="9" t="s">
        <v>74</v>
      </c>
      <c r="D371" s="10"/>
      <c r="E371" s="2" t="n">
        <f>1385</f>
        <v>1385.0</v>
      </c>
      <c r="F371" s="10"/>
      <c r="G371" s="2" t="n">
        <f>5903843450</f>
        <v>5.90384345E9</v>
      </c>
      <c r="H371" s="10"/>
      <c r="I371" s="2" t="n">
        <f>52</f>
        <v>52.0</v>
      </c>
      <c r="J371" s="10"/>
      <c r="K371" s="2" t="n">
        <f>2180</f>
        <v>2180.0</v>
      </c>
    </row>
    <row r="372">
      <c r="A372" s="8" t="s">
        <v>26</v>
      </c>
      <c r="B372" s="9" t="s">
        <v>73</v>
      </c>
      <c r="C372" s="9" t="s">
        <v>74</v>
      </c>
      <c r="D372" s="10" t="s">
        <v>19</v>
      </c>
      <c r="E372" s="2" t="n">
        <f>2628</f>
        <v>2628.0</v>
      </c>
      <c r="F372" s="10" t="s">
        <v>19</v>
      </c>
      <c r="G372" s="2" t="n">
        <f>11476758170</f>
        <v>1.147675817E10</v>
      </c>
      <c r="H372" s="10" t="s">
        <v>19</v>
      </c>
      <c r="I372" s="2" t="n">
        <f>474</f>
        <v>474.0</v>
      </c>
      <c r="J372" s="10"/>
      <c r="K372" s="2" t="n">
        <f>1934</f>
        <v>1934.0</v>
      </c>
    </row>
    <row r="373">
      <c r="A373" s="8" t="s">
        <v>27</v>
      </c>
      <c r="B373" s="9" t="s">
        <v>73</v>
      </c>
      <c r="C373" s="9" t="s">
        <v>74</v>
      </c>
      <c r="D373" s="10"/>
      <c r="E373" s="2" t="n">
        <f>739</f>
        <v>739.0</v>
      </c>
      <c r="F373" s="10"/>
      <c r="G373" s="2" t="n">
        <f>3244477890</f>
        <v>3.24447789E9</v>
      </c>
      <c r="H373" s="10"/>
      <c r="I373" s="2" t="n">
        <f>12</f>
        <v>12.0</v>
      </c>
      <c r="J373" s="10"/>
      <c r="K373" s="2" t="n">
        <f>1939</f>
        <v>1939.0</v>
      </c>
    </row>
    <row r="374">
      <c r="A374" s="8" t="s">
        <v>28</v>
      </c>
      <c r="B374" s="9" t="s">
        <v>73</v>
      </c>
      <c r="C374" s="9" t="s">
        <v>74</v>
      </c>
      <c r="D374" s="10"/>
      <c r="E374" s="2"/>
      <c r="F374" s="10"/>
      <c r="G374" s="2"/>
      <c r="H374" s="10"/>
      <c r="I374" s="2"/>
      <c r="J374" s="10"/>
      <c r="K374" s="2"/>
    </row>
    <row r="375">
      <c r="A375" s="8" t="s">
        <v>29</v>
      </c>
      <c r="B375" s="9" t="s">
        <v>73</v>
      </c>
      <c r="C375" s="9" t="s">
        <v>74</v>
      </c>
      <c r="D375" s="10"/>
      <c r="E375" s="2"/>
      <c r="F375" s="10"/>
      <c r="G375" s="2"/>
      <c r="H375" s="10"/>
      <c r="I375" s="2"/>
      <c r="J375" s="10"/>
      <c r="K375" s="2"/>
    </row>
    <row r="376">
      <c r="A376" s="8" t="s">
        <v>30</v>
      </c>
      <c r="B376" s="9" t="s">
        <v>73</v>
      </c>
      <c r="C376" s="9" t="s">
        <v>74</v>
      </c>
      <c r="D376" s="10"/>
      <c r="E376" s="2" t="n">
        <f>882</f>
        <v>882.0</v>
      </c>
      <c r="F376" s="10"/>
      <c r="G376" s="2" t="n">
        <f>3888352530</f>
        <v>3.88835253E9</v>
      </c>
      <c r="H376" s="10"/>
      <c r="I376" s="2" t="n">
        <f>15</f>
        <v>15.0</v>
      </c>
      <c r="J376" s="10"/>
      <c r="K376" s="2" t="n">
        <f>1918</f>
        <v>1918.0</v>
      </c>
    </row>
    <row r="377">
      <c r="A377" s="8" t="s">
        <v>31</v>
      </c>
      <c r="B377" s="9" t="s">
        <v>73</v>
      </c>
      <c r="C377" s="9" t="s">
        <v>74</v>
      </c>
      <c r="D377" s="10"/>
      <c r="E377" s="2" t="n">
        <f>1101</f>
        <v>1101.0</v>
      </c>
      <c r="F377" s="10"/>
      <c r="G377" s="2" t="n">
        <f>4886546700</f>
        <v>4.8865467E9</v>
      </c>
      <c r="H377" s="10"/>
      <c r="I377" s="2" t="n">
        <f>183</f>
        <v>183.0</v>
      </c>
      <c r="J377" s="10"/>
      <c r="K377" s="2" t="n">
        <f>1679</f>
        <v>1679.0</v>
      </c>
    </row>
    <row r="378">
      <c r="A378" s="8" t="s">
        <v>32</v>
      </c>
      <c r="B378" s="9" t="s">
        <v>73</v>
      </c>
      <c r="C378" s="9" t="s">
        <v>74</v>
      </c>
      <c r="D378" s="10"/>
      <c r="E378" s="2" t="n">
        <f>1084</f>
        <v>1084.0</v>
      </c>
      <c r="F378" s="10"/>
      <c r="G378" s="2" t="n">
        <f>4792633570</f>
        <v>4.79263357E9</v>
      </c>
      <c r="H378" s="10"/>
      <c r="I378" s="2" t="n">
        <f>23</f>
        <v>23.0</v>
      </c>
      <c r="J378" s="10"/>
      <c r="K378" s="2" t="n">
        <f>1526</f>
        <v>1526.0</v>
      </c>
    </row>
    <row r="379">
      <c r="A379" s="8" t="s">
        <v>33</v>
      </c>
      <c r="B379" s="9" t="s">
        <v>73</v>
      </c>
      <c r="C379" s="9" t="s">
        <v>74</v>
      </c>
      <c r="D379" s="10"/>
      <c r="E379" s="2" t="n">
        <f>845</f>
        <v>845.0</v>
      </c>
      <c r="F379" s="10"/>
      <c r="G379" s="2" t="n">
        <f>3726733790</f>
        <v>3.72673379E9</v>
      </c>
      <c r="H379" s="10"/>
      <c r="I379" s="2" t="n">
        <f>17</f>
        <v>17.0</v>
      </c>
      <c r="J379" s="10"/>
      <c r="K379" s="2" t="n">
        <f>1456</f>
        <v>1456.0</v>
      </c>
    </row>
    <row r="380">
      <c r="A380" s="8" t="s">
        <v>34</v>
      </c>
      <c r="B380" s="9" t="s">
        <v>73</v>
      </c>
      <c r="C380" s="9" t="s">
        <v>74</v>
      </c>
      <c r="D380" s="10"/>
      <c r="E380" s="2" t="n">
        <f>997</f>
        <v>997.0</v>
      </c>
      <c r="F380" s="10"/>
      <c r="G380" s="2" t="n">
        <f>4383824790</f>
        <v>4.38382479E9</v>
      </c>
      <c r="H380" s="10"/>
      <c r="I380" s="2" t="n">
        <f>34</f>
        <v>34.0</v>
      </c>
      <c r="J380" s="10"/>
      <c r="K380" s="2" t="n">
        <f>1343</f>
        <v>1343.0</v>
      </c>
    </row>
    <row r="381">
      <c r="A381" s="8" t="s">
        <v>35</v>
      </c>
      <c r="B381" s="9" t="s">
        <v>73</v>
      </c>
      <c r="C381" s="9" t="s">
        <v>74</v>
      </c>
      <c r="D381" s="10"/>
      <c r="E381" s="2"/>
      <c r="F381" s="10"/>
      <c r="G381" s="2"/>
      <c r="H381" s="10"/>
      <c r="I381" s="2"/>
      <c r="J381" s="10"/>
      <c r="K381" s="2"/>
    </row>
    <row r="382">
      <c r="A382" s="8" t="s">
        <v>36</v>
      </c>
      <c r="B382" s="9" t="s">
        <v>73</v>
      </c>
      <c r="C382" s="9" t="s">
        <v>74</v>
      </c>
      <c r="D382" s="10"/>
      <c r="E382" s="2"/>
      <c r="F382" s="10"/>
      <c r="G382" s="2"/>
      <c r="H382" s="10"/>
      <c r="I382" s="2"/>
      <c r="J382" s="10"/>
      <c r="K382" s="2"/>
    </row>
    <row r="383">
      <c r="A383" s="8" t="s">
        <v>37</v>
      </c>
      <c r="B383" s="9" t="s">
        <v>73</v>
      </c>
      <c r="C383" s="9" t="s">
        <v>74</v>
      </c>
      <c r="D383" s="10"/>
      <c r="E383" s="2" t="n">
        <f>892</f>
        <v>892.0</v>
      </c>
      <c r="F383" s="10"/>
      <c r="G383" s="2" t="n">
        <f>3891428400</f>
        <v>3.8914284E9</v>
      </c>
      <c r="H383" s="10"/>
      <c r="I383" s="2" t="n">
        <f>24</f>
        <v>24.0</v>
      </c>
      <c r="J383" s="10"/>
      <c r="K383" s="2" t="n">
        <f>1521</f>
        <v>1521.0</v>
      </c>
    </row>
    <row r="384">
      <c r="A384" s="8" t="s">
        <v>38</v>
      </c>
      <c r="B384" s="9" t="s">
        <v>73</v>
      </c>
      <c r="C384" s="9" t="s">
        <v>74</v>
      </c>
      <c r="D384" s="10"/>
      <c r="E384" s="2" t="n">
        <f>307</f>
        <v>307.0</v>
      </c>
      <c r="F384" s="10"/>
      <c r="G384" s="2" t="n">
        <f>1335840080</f>
        <v>1.33584008E9</v>
      </c>
      <c r="H384" s="10" t="s">
        <v>20</v>
      </c>
      <c r="I384" s="2" t="n">
        <f>7</f>
        <v>7.0</v>
      </c>
      <c r="J384" s="10"/>
      <c r="K384" s="2" t="n">
        <f>1297</f>
        <v>1297.0</v>
      </c>
    </row>
    <row r="385">
      <c r="A385" s="8" t="s">
        <v>39</v>
      </c>
      <c r="B385" s="9" t="s">
        <v>73</v>
      </c>
      <c r="C385" s="9" t="s">
        <v>74</v>
      </c>
      <c r="D385" s="10"/>
      <c r="E385" s="2" t="n">
        <f>1185</f>
        <v>1185.0</v>
      </c>
      <c r="F385" s="10"/>
      <c r="G385" s="2" t="n">
        <f>5135932090</f>
        <v>5.13593209E9</v>
      </c>
      <c r="H385" s="10"/>
      <c r="I385" s="2" t="n">
        <f>24</f>
        <v>24.0</v>
      </c>
      <c r="J385" s="10"/>
      <c r="K385" s="2" t="n">
        <f>1406</f>
        <v>1406.0</v>
      </c>
    </row>
    <row r="386">
      <c r="A386" s="8" t="s">
        <v>40</v>
      </c>
      <c r="B386" s="9" t="s">
        <v>73</v>
      </c>
      <c r="C386" s="9" t="s">
        <v>74</v>
      </c>
      <c r="D386" s="10"/>
      <c r="E386" s="2" t="n">
        <f>999</f>
        <v>999.0</v>
      </c>
      <c r="F386" s="10"/>
      <c r="G386" s="2" t="n">
        <f>4341472030</f>
        <v>4.34147203E9</v>
      </c>
      <c r="H386" s="10"/>
      <c r="I386" s="2" t="n">
        <f>14</f>
        <v>14.0</v>
      </c>
      <c r="J386" s="10"/>
      <c r="K386" s="2" t="n">
        <f>1445</f>
        <v>1445.0</v>
      </c>
    </row>
    <row r="387">
      <c r="A387" s="8" t="s">
        <v>41</v>
      </c>
      <c r="B387" s="9" t="s">
        <v>73</v>
      </c>
      <c r="C387" s="9" t="s">
        <v>74</v>
      </c>
      <c r="D387" s="10"/>
      <c r="E387" s="2" t="n">
        <f>2195</f>
        <v>2195.0</v>
      </c>
      <c r="F387" s="10"/>
      <c r="G387" s="2" t="n">
        <f>9588097230</f>
        <v>9.58809723E9</v>
      </c>
      <c r="H387" s="10"/>
      <c r="I387" s="2" t="n">
        <f>58</f>
        <v>58.0</v>
      </c>
      <c r="J387" s="10"/>
      <c r="K387" s="2" t="n">
        <f>1579</f>
        <v>1579.0</v>
      </c>
    </row>
    <row r="388">
      <c r="A388" s="8" t="s">
        <v>42</v>
      </c>
      <c r="B388" s="9" t="s">
        <v>73</v>
      </c>
      <c r="C388" s="9" t="s">
        <v>74</v>
      </c>
      <c r="D388" s="10"/>
      <c r="E388" s="2"/>
      <c r="F388" s="10"/>
      <c r="G388" s="2"/>
      <c r="H388" s="10"/>
      <c r="I388" s="2"/>
      <c r="J388" s="10"/>
      <c r="K388" s="2"/>
    </row>
    <row r="389">
      <c r="A389" s="8" t="s">
        <v>43</v>
      </c>
      <c r="B389" s="9" t="s">
        <v>73</v>
      </c>
      <c r="C389" s="9" t="s">
        <v>74</v>
      </c>
      <c r="D389" s="10"/>
      <c r="E389" s="2"/>
      <c r="F389" s="10"/>
      <c r="G389" s="2"/>
      <c r="H389" s="10"/>
      <c r="I389" s="2"/>
      <c r="J389" s="10"/>
      <c r="K389" s="2"/>
    </row>
    <row r="390">
      <c r="A390" s="8" t="s">
        <v>44</v>
      </c>
      <c r="B390" s="9" t="s">
        <v>73</v>
      </c>
      <c r="C390" s="9" t="s">
        <v>74</v>
      </c>
      <c r="D390" s="10"/>
      <c r="E390" s="2" t="n">
        <f>928</f>
        <v>928.0</v>
      </c>
      <c r="F390" s="10"/>
      <c r="G390" s="2" t="n">
        <f>4111715910</f>
        <v>4.11171591E9</v>
      </c>
      <c r="H390" s="10"/>
      <c r="I390" s="2" t="n">
        <f>31</f>
        <v>31.0</v>
      </c>
      <c r="J390" s="10"/>
      <c r="K390" s="2" t="n">
        <f>1508</f>
        <v>1508.0</v>
      </c>
    </row>
    <row r="391">
      <c r="A391" s="8" t="s">
        <v>45</v>
      </c>
      <c r="B391" s="9" t="s">
        <v>73</v>
      </c>
      <c r="C391" s="9" t="s">
        <v>74</v>
      </c>
      <c r="D391" s="10"/>
      <c r="E391" s="2" t="n">
        <f>1001</f>
        <v>1001.0</v>
      </c>
      <c r="F391" s="10"/>
      <c r="G391" s="2" t="n">
        <f>4480983890</f>
        <v>4.48098389E9</v>
      </c>
      <c r="H391" s="10"/>
      <c r="I391" s="2" t="n">
        <f>23</f>
        <v>23.0</v>
      </c>
      <c r="J391" s="10"/>
      <c r="K391" s="2" t="n">
        <f>1433</f>
        <v>1433.0</v>
      </c>
    </row>
    <row r="392">
      <c r="A392" s="8" t="s">
        <v>46</v>
      </c>
      <c r="B392" s="9" t="s">
        <v>73</v>
      </c>
      <c r="C392" s="9" t="s">
        <v>74</v>
      </c>
      <c r="D392" s="10"/>
      <c r="E392" s="2" t="n">
        <f>1574</f>
        <v>1574.0</v>
      </c>
      <c r="F392" s="10"/>
      <c r="G392" s="2" t="n">
        <f>7051276020</f>
        <v>7.05127602E9</v>
      </c>
      <c r="H392" s="10"/>
      <c r="I392" s="2" t="n">
        <f>36</f>
        <v>36.0</v>
      </c>
      <c r="J392" s="10"/>
      <c r="K392" s="2" t="n">
        <f>1310</f>
        <v>1310.0</v>
      </c>
    </row>
    <row r="393">
      <c r="A393" s="8" t="s">
        <v>47</v>
      </c>
      <c r="B393" s="9" t="s">
        <v>73</v>
      </c>
      <c r="C393" s="9" t="s">
        <v>74</v>
      </c>
      <c r="D393" s="10"/>
      <c r="E393" s="2" t="n">
        <f>967</f>
        <v>967.0</v>
      </c>
      <c r="F393" s="10"/>
      <c r="G393" s="2" t="n">
        <f>4345797830</f>
        <v>4.34579783E9</v>
      </c>
      <c r="H393" s="10"/>
      <c r="I393" s="2" t="n">
        <f>25</f>
        <v>25.0</v>
      </c>
      <c r="J393" s="10"/>
      <c r="K393" s="2" t="n">
        <f>1385</f>
        <v>1385.0</v>
      </c>
    </row>
    <row r="394">
      <c r="A394" s="8" t="s">
        <v>48</v>
      </c>
      <c r="B394" s="9" t="s">
        <v>73</v>
      </c>
      <c r="C394" s="9" t="s">
        <v>74</v>
      </c>
      <c r="D394" s="10" t="s">
        <v>20</v>
      </c>
      <c r="E394" s="2" t="n">
        <f>284</f>
        <v>284.0</v>
      </c>
      <c r="F394" s="10" t="s">
        <v>20</v>
      </c>
      <c r="G394" s="2" t="n">
        <f>1275737100</f>
        <v>1.2757371E9</v>
      </c>
      <c r="H394" s="10"/>
      <c r="I394" s="2" t="n">
        <f>30</f>
        <v>30.0</v>
      </c>
      <c r="J394" s="10" t="s">
        <v>20</v>
      </c>
      <c r="K394" s="2" t="n">
        <f>1292</f>
        <v>1292.0</v>
      </c>
    </row>
    <row r="395">
      <c r="A395" s="8" t="s">
        <v>49</v>
      </c>
      <c r="B395" s="9" t="s">
        <v>73</v>
      </c>
      <c r="C395" s="9" t="s">
        <v>74</v>
      </c>
      <c r="D395" s="10"/>
      <c r="E395" s="2"/>
      <c r="F395" s="10"/>
      <c r="G395" s="2"/>
      <c r="H395" s="10"/>
      <c r="I395" s="2"/>
      <c r="J395" s="10"/>
      <c r="K395" s="2"/>
    </row>
    <row r="396">
      <c r="A396" s="8" t="s">
        <v>16</v>
      </c>
      <c r="B396" s="9" t="s">
        <v>75</v>
      </c>
      <c r="C396" s="9" t="s">
        <v>76</v>
      </c>
      <c r="D396" s="10" t="s">
        <v>54</v>
      </c>
      <c r="E396" s="2" t="str">
        <f>"－"</f>
        <v>－</v>
      </c>
      <c r="F396" s="10" t="s">
        <v>54</v>
      </c>
      <c r="G396" s="2" t="str">
        <f>"－"</f>
        <v>－</v>
      </c>
      <c r="H396" s="10" t="s">
        <v>54</v>
      </c>
      <c r="I396" s="2" t="str">
        <f>"－"</f>
        <v>－</v>
      </c>
      <c r="J396" s="10" t="s">
        <v>54</v>
      </c>
      <c r="K396" s="2" t="str">
        <f>"－"</f>
        <v>－</v>
      </c>
    </row>
    <row r="397">
      <c r="A397" s="8" t="s">
        <v>21</v>
      </c>
      <c r="B397" s="9" t="s">
        <v>75</v>
      </c>
      <c r="C397" s="9" t="s">
        <v>76</v>
      </c>
      <c r="D397" s="10"/>
      <c r="E397" s="2"/>
      <c r="F397" s="10"/>
      <c r="G397" s="2"/>
      <c r="H397" s="10"/>
      <c r="I397" s="2"/>
      <c r="J397" s="10"/>
      <c r="K397" s="2"/>
    </row>
    <row r="398">
      <c r="A398" s="8" t="s">
        <v>22</v>
      </c>
      <c r="B398" s="9" t="s">
        <v>75</v>
      </c>
      <c r="C398" s="9" t="s">
        <v>76</v>
      </c>
      <c r="D398" s="10"/>
      <c r="E398" s="2"/>
      <c r="F398" s="10"/>
      <c r="G398" s="2"/>
      <c r="H398" s="10"/>
      <c r="I398" s="2"/>
      <c r="J398" s="10"/>
      <c r="K398" s="2"/>
    </row>
    <row r="399">
      <c r="A399" s="8" t="s">
        <v>23</v>
      </c>
      <c r="B399" s="9" t="s">
        <v>75</v>
      </c>
      <c r="C399" s="9" t="s">
        <v>76</v>
      </c>
      <c r="D399" s="10"/>
      <c r="E399" s="2"/>
      <c r="F399" s="10"/>
      <c r="G399" s="2"/>
      <c r="H399" s="10"/>
      <c r="I399" s="2"/>
      <c r="J399" s="10"/>
      <c r="K399" s="2"/>
    </row>
    <row r="400">
      <c r="A400" s="8" t="s">
        <v>24</v>
      </c>
      <c r="B400" s="9" t="s">
        <v>75</v>
      </c>
      <c r="C400" s="9" t="s">
        <v>76</v>
      </c>
      <c r="D400" s="10"/>
      <c r="E400" s="2" t="str">
        <f>"－"</f>
        <v>－</v>
      </c>
      <c r="F400" s="10"/>
      <c r="G400" s="2" t="str">
        <f>"－"</f>
        <v>－</v>
      </c>
      <c r="H400" s="10"/>
      <c r="I400" s="2" t="str">
        <f>"－"</f>
        <v>－</v>
      </c>
      <c r="J400" s="10"/>
      <c r="K400" s="2" t="str">
        <f>"－"</f>
        <v>－</v>
      </c>
    </row>
    <row r="401">
      <c r="A401" s="8" t="s">
        <v>25</v>
      </c>
      <c r="B401" s="9" t="s">
        <v>75</v>
      </c>
      <c r="C401" s="9" t="s">
        <v>76</v>
      </c>
      <c r="D401" s="10"/>
      <c r="E401" s="2" t="str">
        <f>"－"</f>
        <v>－</v>
      </c>
      <c r="F401" s="10"/>
      <c r="G401" s="2" t="str">
        <f>"－"</f>
        <v>－</v>
      </c>
      <c r="H401" s="10"/>
      <c r="I401" s="2" t="str">
        <f>"－"</f>
        <v>－</v>
      </c>
      <c r="J401" s="10"/>
      <c r="K401" s="2" t="str">
        <f>"－"</f>
        <v>－</v>
      </c>
    </row>
    <row r="402">
      <c r="A402" s="8" t="s">
        <v>26</v>
      </c>
      <c r="B402" s="9" t="s">
        <v>75</v>
      </c>
      <c r="C402" s="9" t="s">
        <v>76</v>
      </c>
      <c r="D402" s="10"/>
      <c r="E402" s="2" t="str">
        <f>"－"</f>
        <v>－</v>
      </c>
      <c r="F402" s="10"/>
      <c r="G402" s="2" t="str">
        <f>"－"</f>
        <v>－</v>
      </c>
      <c r="H402" s="10"/>
      <c r="I402" s="2" t="str">
        <f>"－"</f>
        <v>－</v>
      </c>
      <c r="J402" s="10"/>
      <c r="K402" s="2" t="str">
        <f>"－"</f>
        <v>－</v>
      </c>
    </row>
    <row r="403">
      <c r="A403" s="8" t="s">
        <v>27</v>
      </c>
      <c r="B403" s="9" t="s">
        <v>75</v>
      </c>
      <c r="C403" s="9" t="s">
        <v>76</v>
      </c>
      <c r="D403" s="10"/>
      <c r="E403" s="2" t="str">
        <f>"－"</f>
        <v>－</v>
      </c>
      <c r="F403" s="10"/>
      <c r="G403" s="2" t="str">
        <f>"－"</f>
        <v>－</v>
      </c>
      <c r="H403" s="10"/>
      <c r="I403" s="2" t="str">
        <f>"－"</f>
        <v>－</v>
      </c>
      <c r="J403" s="10"/>
      <c r="K403" s="2" t="str">
        <f>"－"</f>
        <v>－</v>
      </c>
    </row>
    <row r="404">
      <c r="A404" s="8" t="s">
        <v>28</v>
      </c>
      <c r="B404" s="9" t="s">
        <v>75</v>
      </c>
      <c r="C404" s="9" t="s">
        <v>76</v>
      </c>
      <c r="D404" s="10"/>
      <c r="E404" s="2"/>
      <c r="F404" s="10"/>
      <c r="G404" s="2"/>
      <c r="H404" s="10"/>
      <c r="I404" s="2"/>
      <c r="J404" s="10"/>
      <c r="K404" s="2"/>
    </row>
    <row r="405">
      <c r="A405" s="8" t="s">
        <v>29</v>
      </c>
      <c r="B405" s="9" t="s">
        <v>75</v>
      </c>
      <c r="C405" s="9" t="s">
        <v>76</v>
      </c>
      <c r="D405" s="10"/>
      <c r="E405" s="2"/>
      <c r="F405" s="10"/>
      <c r="G405" s="2"/>
      <c r="H405" s="10"/>
      <c r="I405" s="2"/>
      <c r="J405" s="10"/>
      <c r="K405" s="2"/>
    </row>
    <row r="406">
      <c r="A406" s="8" t="s">
        <v>30</v>
      </c>
      <c r="B406" s="9" t="s">
        <v>75</v>
      </c>
      <c r="C406" s="9" t="s">
        <v>76</v>
      </c>
      <c r="D406" s="10"/>
      <c r="E406" s="2" t="str">
        <f>"－"</f>
        <v>－</v>
      </c>
      <c r="F406" s="10"/>
      <c r="G406" s="2" t="str">
        <f>"－"</f>
        <v>－</v>
      </c>
      <c r="H406" s="10"/>
      <c r="I406" s="2" t="str">
        <f>"－"</f>
        <v>－</v>
      </c>
      <c r="J406" s="10"/>
      <c r="K406" s="2" t="str">
        <f>"－"</f>
        <v>－</v>
      </c>
    </row>
    <row r="407">
      <c r="A407" s="8" t="s">
        <v>31</v>
      </c>
      <c r="B407" s="9" t="s">
        <v>75</v>
      </c>
      <c r="C407" s="9" t="s">
        <v>76</v>
      </c>
      <c r="D407" s="10"/>
      <c r="E407" s="2" t="str">
        <f>"－"</f>
        <v>－</v>
      </c>
      <c r="F407" s="10"/>
      <c r="G407" s="2" t="str">
        <f>"－"</f>
        <v>－</v>
      </c>
      <c r="H407" s="10"/>
      <c r="I407" s="2" t="str">
        <f>"－"</f>
        <v>－</v>
      </c>
      <c r="J407" s="10"/>
      <c r="K407" s="2" t="str">
        <f>"－"</f>
        <v>－</v>
      </c>
    </row>
    <row r="408">
      <c r="A408" s="8" t="s">
        <v>32</v>
      </c>
      <c r="B408" s="9" t="s">
        <v>75</v>
      </c>
      <c r="C408" s="9" t="s">
        <v>76</v>
      </c>
      <c r="D408" s="10"/>
      <c r="E408" s="2" t="str">
        <f>"－"</f>
        <v>－</v>
      </c>
      <c r="F408" s="10"/>
      <c r="G408" s="2" t="str">
        <f>"－"</f>
        <v>－</v>
      </c>
      <c r="H408" s="10"/>
      <c r="I408" s="2" t="str">
        <f>"－"</f>
        <v>－</v>
      </c>
      <c r="J408" s="10"/>
      <c r="K408" s="2" t="str">
        <f>"－"</f>
        <v>－</v>
      </c>
    </row>
    <row r="409">
      <c r="A409" s="8" t="s">
        <v>33</v>
      </c>
      <c r="B409" s="9" t="s">
        <v>75</v>
      </c>
      <c r="C409" s="9" t="s">
        <v>76</v>
      </c>
      <c r="D409" s="10"/>
      <c r="E409" s="2" t="str">
        <f>"－"</f>
        <v>－</v>
      </c>
      <c r="F409" s="10"/>
      <c r="G409" s="2" t="str">
        <f>"－"</f>
        <v>－</v>
      </c>
      <c r="H409" s="10"/>
      <c r="I409" s="2" t="str">
        <f>"－"</f>
        <v>－</v>
      </c>
      <c r="J409" s="10"/>
      <c r="K409" s="2" t="str">
        <f>"－"</f>
        <v>－</v>
      </c>
    </row>
    <row r="410">
      <c r="A410" s="8" t="s">
        <v>34</v>
      </c>
      <c r="B410" s="9" t="s">
        <v>75</v>
      </c>
      <c r="C410" s="9" t="s">
        <v>76</v>
      </c>
      <c r="D410" s="10"/>
      <c r="E410" s="2" t="str">
        <f>"－"</f>
        <v>－</v>
      </c>
      <c r="F410" s="10"/>
      <c r="G410" s="2" t="str">
        <f>"－"</f>
        <v>－</v>
      </c>
      <c r="H410" s="10"/>
      <c r="I410" s="2" t="str">
        <f>"－"</f>
        <v>－</v>
      </c>
      <c r="J410" s="10"/>
      <c r="K410" s="2" t="str">
        <f>"－"</f>
        <v>－</v>
      </c>
    </row>
    <row r="411">
      <c r="A411" s="8" t="s">
        <v>35</v>
      </c>
      <c r="B411" s="9" t="s">
        <v>75</v>
      </c>
      <c r="C411" s="9" t="s">
        <v>76</v>
      </c>
      <c r="D411" s="10"/>
      <c r="E411" s="2"/>
      <c r="F411" s="10"/>
      <c r="G411" s="2"/>
      <c r="H411" s="10"/>
      <c r="I411" s="2"/>
      <c r="J411" s="10"/>
      <c r="K411" s="2"/>
    </row>
    <row r="412">
      <c r="A412" s="8" t="s">
        <v>36</v>
      </c>
      <c r="B412" s="9" t="s">
        <v>75</v>
      </c>
      <c r="C412" s="9" t="s">
        <v>76</v>
      </c>
      <c r="D412" s="10"/>
      <c r="E412" s="2"/>
      <c r="F412" s="10"/>
      <c r="G412" s="2"/>
      <c r="H412" s="10"/>
      <c r="I412" s="2"/>
      <c r="J412" s="10"/>
      <c r="K412" s="2"/>
    </row>
    <row r="413">
      <c r="A413" s="8" t="s">
        <v>37</v>
      </c>
      <c r="B413" s="9" t="s">
        <v>75</v>
      </c>
      <c r="C413" s="9" t="s">
        <v>76</v>
      </c>
      <c r="D413" s="10"/>
      <c r="E413" s="2" t="str">
        <f>"－"</f>
        <v>－</v>
      </c>
      <c r="F413" s="10"/>
      <c r="G413" s="2" t="str">
        <f>"－"</f>
        <v>－</v>
      </c>
      <c r="H413" s="10"/>
      <c r="I413" s="2" t="str">
        <f>"－"</f>
        <v>－</v>
      </c>
      <c r="J413" s="10"/>
      <c r="K413" s="2" t="str">
        <f>"－"</f>
        <v>－</v>
      </c>
    </row>
    <row r="414">
      <c r="A414" s="8" t="s">
        <v>38</v>
      </c>
      <c r="B414" s="9" t="s">
        <v>75</v>
      </c>
      <c r="C414" s="9" t="s">
        <v>76</v>
      </c>
      <c r="D414" s="10"/>
      <c r="E414" s="2" t="str">
        <f>"－"</f>
        <v>－</v>
      </c>
      <c r="F414" s="10"/>
      <c r="G414" s="2" t="str">
        <f>"－"</f>
        <v>－</v>
      </c>
      <c r="H414" s="10"/>
      <c r="I414" s="2" t="str">
        <f>"－"</f>
        <v>－</v>
      </c>
      <c r="J414" s="10"/>
      <c r="K414" s="2" t="str">
        <f>"－"</f>
        <v>－</v>
      </c>
    </row>
    <row r="415">
      <c r="A415" s="8" t="s">
        <v>39</v>
      </c>
      <c r="B415" s="9" t="s">
        <v>75</v>
      </c>
      <c r="C415" s="9" t="s">
        <v>76</v>
      </c>
      <c r="D415" s="10"/>
      <c r="E415" s="2" t="str">
        <f>"－"</f>
        <v>－</v>
      </c>
      <c r="F415" s="10"/>
      <c r="G415" s="2" t="str">
        <f>"－"</f>
        <v>－</v>
      </c>
      <c r="H415" s="10"/>
      <c r="I415" s="2" t="str">
        <f>"－"</f>
        <v>－</v>
      </c>
      <c r="J415" s="10"/>
      <c r="K415" s="2" t="str">
        <f>"－"</f>
        <v>－</v>
      </c>
    </row>
    <row r="416">
      <c r="A416" s="8" t="s">
        <v>40</v>
      </c>
      <c r="B416" s="9" t="s">
        <v>75</v>
      </c>
      <c r="C416" s="9" t="s">
        <v>76</v>
      </c>
      <c r="D416" s="10"/>
      <c r="E416" s="2" t="str">
        <f>"－"</f>
        <v>－</v>
      </c>
      <c r="F416" s="10"/>
      <c r="G416" s="2" t="str">
        <f>"－"</f>
        <v>－</v>
      </c>
      <c r="H416" s="10"/>
      <c r="I416" s="2" t="str">
        <f>"－"</f>
        <v>－</v>
      </c>
      <c r="J416" s="10"/>
      <c r="K416" s="2" t="str">
        <f>"－"</f>
        <v>－</v>
      </c>
    </row>
    <row r="417">
      <c r="A417" s="8" t="s">
        <v>41</v>
      </c>
      <c r="B417" s="9" t="s">
        <v>75</v>
      </c>
      <c r="C417" s="9" t="s">
        <v>76</v>
      </c>
      <c r="D417" s="10"/>
      <c r="E417" s="2" t="str">
        <f>"－"</f>
        <v>－</v>
      </c>
      <c r="F417" s="10"/>
      <c r="G417" s="2" t="str">
        <f>"－"</f>
        <v>－</v>
      </c>
      <c r="H417" s="10"/>
      <c r="I417" s="2" t="str">
        <f>"－"</f>
        <v>－</v>
      </c>
      <c r="J417" s="10"/>
      <c r="K417" s="2" t="str">
        <f>"－"</f>
        <v>－</v>
      </c>
    </row>
    <row r="418">
      <c r="A418" s="8" t="s">
        <v>42</v>
      </c>
      <c r="B418" s="9" t="s">
        <v>75</v>
      </c>
      <c r="C418" s="9" t="s">
        <v>76</v>
      </c>
      <c r="D418" s="10"/>
      <c r="E418" s="2"/>
      <c r="F418" s="10"/>
      <c r="G418" s="2"/>
      <c r="H418" s="10"/>
      <c r="I418" s="2"/>
      <c r="J418" s="10"/>
      <c r="K418" s="2"/>
    </row>
    <row r="419">
      <c r="A419" s="8" t="s">
        <v>43</v>
      </c>
      <c r="B419" s="9" t="s">
        <v>75</v>
      </c>
      <c r="C419" s="9" t="s">
        <v>76</v>
      </c>
      <c r="D419" s="10"/>
      <c r="E419" s="2"/>
      <c r="F419" s="10"/>
      <c r="G419" s="2"/>
      <c r="H419" s="10"/>
      <c r="I419" s="2"/>
      <c r="J419" s="10"/>
      <c r="K419" s="2"/>
    </row>
    <row r="420">
      <c r="A420" s="8" t="s">
        <v>44</v>
      </c>
      <c r="B420" s="9" t="s">
        <v>75</v>
      </c>
      <c r="C420" s="9" t="s">
        <v>76</v>
      </c>
      <c r="D420" s="10"/>
      <c r="E420" s="2" t="str">
        <f>"－"</f>
        <v>－</v>
      </c>
      <c r="F420" s="10"/>
      <c r="G420" s="2" t="str">
        <f>"－"</f>
        <v>－</v>
      </c>
      <c r="H420" s="10"/>
      <c r="I420" s="2" t="str">
        <f>"－"</f>
        <v>－</v>
      </c>
      <c r="J420" s="10"/>
      <c r="K420" s="2" t="str">
        <f>"－"</f>
        <v>－</v>
      </c>
    </row>
    <row r="421">
      <c r="A421" s="8" t="s">
        <v>45</v>
      </c>
      <c r="B421" s="9" t="s">
        <v>75</v>
      </c>
      <c r="C421" s="9" t="s">
        <v>76</v>
      </c>
      <c r="D421" s="10"/>
      <c r="E421" s="2" t="str">
        <f>"－"</f>
        <v>－</v>
      </c>
      <c r="F421" s="10"/>
      <c r="G421" s="2" t="str">
        <f>"－"</f>
        <v>－</v>
      </c>
      <c r="H421" s="10"/>
      <c r="I421" s="2" t="str">
        <f>"－"</f>
        <v>－</v>
      </c>
      <c r="J421" s="10"/>
      <c r="K421" s="2" t="str">
        <f>"－"</f>
        <v>－</v>
      </c>
    </row>
    <row r="422">
      <c r="A422" s="8" t="s">
        <v>46</v>
      </c>
      <c r="B422" s="9" t="s">
        <v>75</v>
      </c>
      <c r="C422" s="9" t="s">
        <v>76</v>
      </c>
      <c r="D422" s="10"/>
      <c r="E422" s="2" t="str">
        <f>"－"</f>
        <v>－</v>
      </c>
      <c r="F422" s="10"/>
      <c r="G422" s="2" t="str">
        <f>"－"</f>
        <v>－</v>
      </c>
      <c r="H422" s="10"/>
      <c r="I422" s="2" t="str">
        <f>"－"</f>
        <v>－</v>
      </c>
      <c r="J422" s="10"/>
      <c r="K422" s="2" t="str">
        <f>"－"</f>
        <v>－</v>
      </c>
    </row>
    <row r="423">
      <c r="A423" s="8" t="s">
        <v>47</v>
      </c>
      <c r="B423" s="9" t="s">
        <v>75</v>
      </c>
      <c r="C423" s="9" t="s">
        <v>76</v>
      </c>
      <c r="D423" s="10"/>
      <c r="E423" s="2" t="str">
        <f>"－"</f>
        <v>－</v>
      </c>
      <c r="F423" s="10"/>
      <c r="G423" s="2" t="str">
        <f>"－"</f>
        <v>－</v>
      </c>
      <c r="H423" s="10"/>
      <c r="I423" s="2" t="str">
        <f>"－"</f>
        <v>－</v>
      </c>
      <c r="J423" s="10"/>
      <c r="K423" s="2" t="str">
        <f>"－"</f>
        <v>－</v>
      </c>
    </row>
    <row r="424">
      <c r="A424" s="8" t="s">
        <v>48</v>
      </c>
      <c r="B424" s="9" t="s">
        <v>75</v>
      </c>
      <c r="C424" s="9" t="s">
        <v>76</v>
      </c>
      <c r="D424" s="10"/>
      <c r="E424" s="2" t="str">
        <f>"－"</f>
        <v>－</v>
      </c>
      <c r="F424" s="10"/>
      <c r="G424" s="2" t="str">
        <f>"－"</f>
        <v>－</v>
      </c>
      <c r="H424" s="10"/>
      <c r="I424" s="2" t="str">
        <f>"－"</f>
        <v>－</v>
      </c>
      <c r="J424" s="10"/>
      <c r="K424" s="2" t="str">
        <f>"－"</f>
        <v>－</v>
      </c>
    </row>
    <row r="425">
      <c r="A425" s="8" t="s">
        <v>49</v>
      </c>
      <c r="B425" s="9" t="s">
        <v>75</v>
      </c>
      <c r="C425" s="9" t="s">
        <v>76</v>
      </c>
      <c r="D425" s="10"/>
      <c r="E425" s="2"/>
      <c r="F425" s="10"/>
      <c r="G425" s="2"/>
      <c r="H425" s="10"/>
      <c r="I425" s="2"/>
      <c r="J425" s="10"/>
      <c r="K425" s="2"/>
    </row>
    <row r="426">
      <c r="A426" s="8" t="s">
        <v>16</v>
      </c>
      <c r="B426" s="9" t="s">
        <v>77</v>
      </c>
      <c r="C426" s="9" t="s">
        <v>78</v>
      </c>
      <c r="D426" s="10" t="s">
        <v>54</v>
      </c>
      <c r="E426" s="2" t="str">
        <f>"－"</f>
        <v>－</v>
      </c>
      <c r="F426" s="10" t="s">
        <v>54</v>
      </c>
      <c r="G426" s="2" t="str">
        <f>"－"</f>
        <v>－</v>
      </c>
      <c r="H426" s="10" t="s">
        <v>54</v>
      </c>
      <c r="I426" s="2" t="str">
        <f>"－"</f>
        <v>－</v>
      </c>
      <c r="J426" s="10" t="s">
        <v>54</v>
      </c>
      <c r="K426" s="2" t="str">
        <f>"－"</f>
        <v>－</v>
      </c>
    </row>
    <row r="427">
      <c r="A427" s="8" t="s">
        <v>21</v>
      </c>
      <c r="B427" s="9" t="s">
        <v>77</v>
      </c>
      <c r="C427" s="9" t="s">
        <v>78</v>
      </c>
      <c r="D427" s="10"/>
      <c r="E427" s="2"/>
      <c r="F427" s="10"/>
      <c r="G427" s="2"/>
      <c r="H427" s="10"/>
      <c r="I427" s="2"/>
      <c r="J427" s="10"/>
      <c r="K427" s="2"/>
    </row>
    <row r="428">
      <c r="A428" s="8" t="s">
        <v>22</v>
      </c>
      <c r="B428" s="9" t="s">
        <v>77</v>
      </c>
      <c r="C428" s="9" t="s">
        <v>78</v>
      </c>
      <c r="D428" s="10"/>
      <c r="E428" s="2"/>
      <c r="F428" s="10"/>
      <c r="G428" s="2"/>
      <c r="H428" s="10"/>
      <c r="I428" s="2"/>
      <c r="J428" s="10"/>
      <c r="K428" s="2"/>
    </row>
    <row r="429">
      <c r="A429" s="8" t="s">
        <v>23</v>
      </c>
      <c r="B429" s="9" t="s">
        <v>77</v>
      </c>
      <c r="C429" s="9" t="s">
        <v>78</v>
      </c>
      <c r="D429" s="10"/>
      <c r="E429" s="2"/>
      <c r="F429" s="10"/>
      <c r="G429" s="2"/>
      <c r="H429" s="10"/>
      <c r="I429" s="2"/>
      <c r="J429" s="10"/>
      <c r="K429" s="2"/>
    </row>
    <row r="430">
      <c r="A430" s="8" t="s">
        <v>24</v>
      </c>
      <c r="B430" s="9" t="s">
        <v>77</v>
      </c>
      <c r="C430" s="9" t="s">
        <v>78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25</v>
      </c>
      <c r="B431" s="9" t="s">
        <v>77</v>
      </c>
      <c r="C431" s="9" t="s">
        <v>78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str">
        <f>"－"</f>
        <v>－</v>
      </c>
    </row>
    <row r="432">
      <c r="A432" s="8" t="s">
        <v>26</v>
      </c>
      <c r="B432" s="9" t="s">
        <v>77</v>
      </c>
      <c r="C432" s="9" t="s">
        <v>78</v>
      </c>
      <c r="D432" s="10"/>
      <c r="E432" s="2" t="str">
        <f>"－"</f>
        <v>－</v>
      </c>
      <c r="F432" s="10"/>
      <c r="G432" s="2" t="str">
        <f>"－"</f>
        <v>－</v>
      </c>
      <c r="H432" s="10"/>
      <c r="I432" s="2" t="str">
        <f>"－"</f>
        <v>－</v>
      </c>
      <c r="J432" s="10"/>
      <c r="K432" s="2" t="str">
        <f>"－"</f>
        <v>－</v>
      </c>
    </row>
    <row r="433">
      <c r="A433" s="8" t="s">
        <v>27</v>
      </c>
      <c r="B433" s="9" t="s">
        <v>77</v>
      </c>
      <c r="C433" s="9" t="s">
        <v>78</v>
      </c>
      <c r="D433" s="10"/>
      <c r="E433" s="2" t="str">
        <f>"－"</f>
        <v>－</v>
      </c>
      <c r="F433" s="10"/>
      <c r="G433" s="2" t="str">
        <f>"－"</f>
        <v>－</v>
      </c>
      <c r="H433" s="10"/>
      <c r="I433" s="2" t="str">
        <f>"－"</f>
        <v>－</v>
      </c>
      <c r="J433" s="10"/>
      <c r="K433" s="2" t="str">
        <f>"－"</f>
        <v>－</v>
      </c>
    </row>
    <row r="434">
      <c r="A434" s="8" t="s">
        <v>28</v>
      </c>
      <c r="B434" s="9" t="s">
        <v>77</v>
      </c>
      <c r="C434" s="9" t="s">
        <v>78</v>
      </c>
      <c r="D434" s="10"/>
      <c r="E434" s="2"/>
      <c r="F434" s="10"/>
      <c r="G434" s="2"/>
      <c r="H434" s="10"/>
      <c r="I434" s="2"/>
      <c r="J434" s="10"/>
      <c r="K434" s="2"/>
    </row>
    <row r="435">
      <c r="A435" s="8" t="s">
        <v>29</v>
      </c>
      <c r="B435" s="9" t="s">
        <v>77</v>
      </c>
      <c r="C435" s="9" t="s">
        <v>78</v>
      </c>
      <c r="D435" s="10"/>
      <c r="E435" s="2"/>
      <c r="F435" s="10"/>
      <c r="G435" s="2"/>
      <c r="H435" s="10"/>
      <c r="I435" s="2"/>
      <c r="J435" s="10"/>
      <c r="K435" s="2"/>
    </row>
    <row r="436">
      <c r="A436" s="8" t="s">
        <v>30</v>
      </c>
      <c r="B436" s="9" t="s">
        <v>77</v>
      </c>
      <c r="C436" s="9" t="s">
        <v>78</v>
      </c>
      <c r="D436" s="10"/>
      <c r="E436" s="2" t="str">
        <f>"－"</f>
        <v>－</v>
      </c>
      <c r="F436" s="10"/>
      <c r="G436" s="2" t="str">
        <f>"－"</f>
        <v>－</v>
      </c>
      <c r="H436" s="10"/>
      <c r="I436" s="2" t="str">
        <f>"－"</f>
        <v>－</v>
      </c>
      <c r="J436" s="10"/>
      <c r="K436" s="2" t="str">
        <f>"－"</f>
        <v>－</v>
      </c>
    </row>
    <row r="437">
      <c r="A437" s="8" t="s">
        <v>31</v>
      </c>
      <c r="B437" s="9" t="s">
        <v>77</v>
      </c>
      <c r="C437" s="9" t="s">
        <v>78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32</v>
      </c>
      <c r="B438" s="9" t="s">
        <v>77</v>
      </c>
      <c r="C438" s="9" t="s">
        <v>78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str">
        <f>"－"</f>
        <v>－</v>
      </c>
    </row>
    <row r="439">
      <c r="A439" s="8" t="s">
        <v>33</v>
      </c>
      <c r="B439" s="9" t="s">
        <v>77</v>
      </c>
      <c r="C439" s="9" t="s">
        <v>78</v>
      </c>
      <c r="D439" s="10"/>
      <c r="E439" s="2" t="str">
        <f>"－"</f>
        <v>－</v>
      </c>
      <c r="F439" s="10"/>
      <c r="G439" s="2" t="str">
        <f>"－"</f>
        <v>－</v>
      </c>
      <c r="H439" s="10"/>
      <c r="I439" s="2" t="str">
        <f>"－"</f>
        <v>－</v>
      </c>
      <c r="J439" s="10"/>
      <c r="K439" s="2" t="str">
        <f>"－"</f>
        <v>－</v>
      </c>
    </row>
    <row r="440">
      <c r="A440" s="8" t="s">
        <v>34</v>
      </c>
      <c r="B440" s="9" t="s">
        <v>77</v>
      </c>
      <c r="C440" s="9" t="s">
        <v>78</v>
      </c>
      <c r="D440" s="10"/>
      <c r="E440" s="2" t="str">
        <f>"－"</f>
        <v>－</v>
      </c>
      <c r="F440" s="10"/>
      <c r="G440" s="2" t="str">
        <f>"－"</f>
        <v>－</v>
      </c>
      <c r="H440" s="10"/>
      <c r="I440" s="2" t="str">
        <f>"－"</f>
        <v>－</v>
      </c>
      <c r="J440" s="10"/>
      <c r="K440" s="2" t="str">
        <f>"－"</f>
        <v>－</v>
      </c>
    </row>
    <row r="441">
      <c r="A441" s="8" t="s">
        <v>35</v>
      </c>
      <c r="B441" s="9" t="s">
        <v>77</v>
      </c>
      <c r="C441" s="9" t="s">
        <v>78</v>
      </c>
      <c r="D441" s="10"/>
      <c r="E441" s="2"/>
      <c r="F441" s="10"/>
      <c r="G441" s="2"/>
      <c r="H441" s="10"/>
      <c r="I441" s="2"/>
      <c r="J441" s="10"/>
      <c r="K441" s="2"/>
    </row>
    <row r="442">
      <c r="A442" s="8" t="s">
        <v>36</v>
      </c>
      <c r="B442" s="9" t="s">
        <v>77</v>
      </c>
      <c r="C442" s="9" t="s">
        <v>78</v>
      </c>
      <c r="D442" s="10"/>
      <c r="E442" s="2"/>
      <c r="F442" s="10"/>
      <c r="G442" s="2"/>
      <c r="H442" s="10"/>
      <c r="I442" s="2"/>
      <c r="J442" s="10"/>
      <c r="K442" s="2"/>
    </row>
    <row r="443">
      <c r="A443" s="8" t="s">
        <v>37</v>
      </c>
      <c r="B443" s="9" t="s">
        <v>77</v>
      </c>
      <c r="C443" s="9" t="s">
        <v>78</v>
      </c>
      <c r="D443" s="10"/>
      <c r="E443" s="2" t="str">
        <f>"－"</f>
        <v>－</v>
      </c>
      <c r="F443" s="10"/>
      <c r="G443" s="2" t="str">
        <f>"－"</f>
        <v>－</v>
      </c>
      <c r="H443" s="10"/>
      <c r="I443" s="2" t="str">
        <f>"－"</f>
        <v>－</v>
      </c>
      <c r="J443" s="10"/>
      <c r="K443" s="2" t="str">
        <f>"－"</f>
        <v>－</v>
      </c>
    </row>
    <row r="444">
      <c r="A444" s="8" t="s">
        <v>38</v>
      </c>
      <c r="B444" s="9" t="s">
        <v>77</v>
      </c>
      <c r="C444" s="9" t="s">
        <v>78</v>
      </c>
      <c r="D444" s="10"/>
      <c r="E444" s="2" t="str">
        <f>"－"</f>
        <v>－</v>
      </c>
      <c r="F444" s="10"/>
      <c r="G444" s="2" t="str">
        <f>"－"</f>
        <v>－</v>
      </c>
      <c r="H444" s="10"/>
      <c r="I444" s="2" t="str">
        <f>"－"</f>
        <v>－</v>
      </c>
      <c r="J444" s="10"/>
      <c r="K444" s="2" t="str">
        <f>"－"</f>
        <v>－</v>
      </c>
    </row>
    <row r="445">
      <c r="A445" s="8" t="s">
        <v>39</v>
      </c>
      <c r="B445" s="9" t="s">
        <v>77</v>
      </c>
      <c r="C445" s="9" t="s">
        <v>78</v>
      </c>
      <c r="D445" s="10"/>
      <c r="E445" s="2" t="str">
        <f>"－"</f>
        <v>－</v>
      </c>
      <c r="F445" s="10"/>
      <c r="G445" s="2" t="str">
        <f>"－"</f>
        <v>－</v>
      </c>
      <c r="H445" s="10"/>
      <c r="I445" s="2" t="str">
        <f>"－"</f>
        <v>－</v>
      </c>
      <c r="J445" s="10"/>
      <c r="K445" s="2" t="str">
        <f>"－"</f>
        <v>－</v>
      </c>
    </row>
    <row r="446">
      <c r="A446" s="8" t="s">
        <v>40</v>
      </c>
      <c r="B446" s="9" t="s">
        <v>77</v>
      </c>
      <c r="C446" s="9" t="s">
        <v>78</v>
      </c>
      <c r="D446" s="10"/>
      <c r="E446" s="2" t="str">
        <f>"－"</f>
        <v>－</v>
      </c>
      <c r="F446" s="10"/>
      <c r="G446" s="2" t="str">
        <f>"－"</f>
        <v>－</v>
      </c>
      <c r="H446" s="10"/>
      <c r="I446" s="2" t="str">
        <f>"－"</f>
        <v>－</v>
      </c>
      <c r="J446" s="10"/>
      <c r="K446" s="2" t="str">
        <f>"－"</f>
        <v>－</v>
      </c>
    </row>
    <row r="447">
      <c r="A447" s="8" t="s">
        <v>41</v>
      </c>
      <c r="B447" s="9" t="s">
        <v>77</v>
      </c>
      <c r="C447" s="9" t="s">
        <v>78</v>
      </c>
      <c r="D447" s="10"/>
      <c r="E447" s="2" t="str">
        <f>"－"</f>
        <v>－</v>
      </c>
      <c r="F447" s="10"/>
      <c r="G447" s="2" t="str">
        <f>"－"</f>
        <v>－</v>
      </c>
      <c r="H447" s="10"/>
      <c r="I447" s="2" t="str">
        <f>"－"</f>
        <v>－</v>
      </c>
      <c r="J447" s="10"/>
      <c r="K447" s="2" t="str">
        <f>"－"</f>
        <v>－</v>
      </c>
    </row>
    <row r="448">
      <c r="A448" s="8" t="s">
        <v>42</v>
      </c>
      <c r="B448" s="9" t="s">
        <v>77</v>
      </c>
      <c r="C448" s="9" t="s">
        <v>78</v>
      </c>
      <c r="D448" s="10"/>
      <c r="E448" s="2"/>
      <c r="F448" s="10"/>
      <c r="G448" s="2"/>
      <c r="H448" s="10"/>
      <c r="I448" s="2"/>
      <c r="J448" s="10"/>
      <c r="K448" s="2"/>
    </row>
    <row r="449">
      <c r="A449" s="8" t="s">
        <v>43</v>
      </c>
      <c r="B449" s="9" t="s">
        <v>77</v>
      </c>
      <c r="C449" s="9" t="s">
        <v>78</v>
      </c>
      <c r="D449" s="10"/>
      <c r="E449" s="2"/>
      <c r="F449" s="10"/>
      <c r="G449" s="2"/>
      <c r="H449" s="10"/>
      <c r="I449" s="2"/>
      <c r="J449" s="10"/>
      <c r="K449" s="2"/>
    </row>
    <row r="450">
      <c r="A450" s="8" t="s">
        <v>44</v>
      </c>
      <c r="B450" s="9" t="s">
        <v>77</v>
      </c>
      <c r="C450" s="9" t="s">
        <v>78</v>
      </c>
      <c r="D450" s="10"/>
      <c r="E450" s="2" t="str">
        <f>"－"</f>
        <v>－</v>
      </c>
      <c r="F450" s="10"/>
      <c r="G450" s="2" t="str">
        <f>"－"</f>
        <v>－</v>
      </c>
      <c r="H450" s="10"/>
      <c r="I450" s="2" t="str">
        <f>"－"</f>
        <v>－</v>
      </c>
      <c r="J450" s="10"/>
      <c r="K450" s="2" t="str">
        <f>"－"</f>
        <v>－</v>
      </c>
    </row>
    <row r="451">
      <c r="A451" s="8" t="s">
        <v>45</v>
      </c>
      <c r="B451" s="9" t="s">
        <v>77</v>
      </c>
      <c r="C451" s="9" t="s">
        <v>78</v>
      </c>
      <c r="D451" s="10"/>
      <c r="E451" s="2" t="str">
        <f>"－"</f>
        <v>－</v>
      </c>
      <c r="F451" s="10"/>
      <c r="G451" s="2" t="str">
        <f>"－"</f>
        <v>－</v>
      </c>
      <c r="H451" s="10"/>
      <c r="I451" s="2" t="str">
        <f>"－"</f>
        <v>－</v>
      </c>
      <c r="J451" s="10"/>
      <c r="K451" s="2" t="str">
        <f>"－"</f>
        <v>－</v>
      </c>
    </row>
    <row r="452">
      <c r="A452" s="8" t="s">
        <v>46</v>
      </c>
      <c r="B452" s="9" t="s">
        <v>77</v>
      </c>
      <c r="C452" s="9" t="s">
        <v>78</v>
      </c>
      <c r="D452" s="10"/>
      <c r="E452" s="2" t="str">
        <f>"－"</f>
        <v>－</v>
      </c>
      <c r="F452" s="10"/>
      <c r="G452" s="2" t="str">
        <f>"－"</f>
        <v>－</v>
      </c>
      <c r="H452" s="10"/>
      <c r="I452" s="2" t="str">
        <f>"－"</f>
        <v>－</v>
      </c>
      <c r="J452" s="10"/>
      <c r="K452" s="2" t="str">
        <f>"－"</f>
        <v>－</v>
      </c>
    </row>
    <row r="453">
      <c r="A453" s="8" t="s">
        <v>47</v>
      </c>
      <c r="B453" s="9" t="s">
        <v>77</v>
      </c>
      <c r="C453" s="9" t="s">
        <v>78</v>
      </c>
      <c r="D453" s="10"/>
      <c r="E453" s="2" t="str">
        <f>"－"</f>
        <v>－</v>
      </c>
      <c r="F453" s="10"/>
      <c r="G453" s="2" t="str">
        <f>"－"</f>
        <v>－</v>
      </c>
      <c r="H453" s="10"/>
      <c r="I453" s="2" t="str">
        <f>"－"</f>
        <v>－</v>
      </c>
      <c r="J453" s="10"/>
      <c r="K453" s="2" t="str">
        <f>"－"</f>
        <v>－</v>
      </c>
    </row>
    <row r="454">
      <c r="A454" s="8" t="s">
        <v>48</v>
      </c>
      <c r="B454" s="9" t="s">
        <v>77</v>
      </c>
      <c r="C454" s="9" t="s">
        <v>78</v>
      </c>
      <c r="D454" s="10"/>
      <c r="E454" s="2" t="str">
        <f>"－"</f>
        <v>－</v>
      </c>
      <c r="F454" s="10"/>
      <c r="G454" s="2" t="str">
        <f>"－"</f>
        <v>－</v>
      </c>
      <c r="H454" s="10"/>
      <c r="I454" s="2" t="str">
        <f>"－"</f>
        <v>－</v>
      </c>
      <c r="J454" s="10"/>
      <c r="K454" s="2" t="str">
        <f>"－"</f>
        <v>－</v>
      </c>
    </row>
    <row r="455">
      <c r="A455" s="8" t="s">
        <v>49</v>
      </c>
      <c r="B455" s="9" t="s">
        <v>77</v>
      </c>
      <c r="C455" s="9" t="s">
        <v>78</v>
      </c>
      <c r="D455" s="10"/>
      <c r="E455" s="2"/>
      <c r="F455" s="10"/>
      <c r="G455" s="2"/>
      <c r="H455" s="10"/>
      <c r="I455" s="2"/>
      <c r="J455" s="10"/>
      <c r="K455" s="2"/>
    </row>
    <row r="456">
      <c r="A456" s="8" t="s">
        <v>16</v>
      </c>
      <c r="B456" s="9" t="s">
        <v>79</v>
      </c>
      <c r="C456" s="9" t="s">
        <v>80</v>
      </c>
      <c r="D456" s="10" t="s">
        <v>54</v>
      </c>
      <c r="E456" s="2" t="str">
        <f>"－"</f>
        <v>－</v>
      </c>
      <c r="F456" s="10" t="s">
        <v>54</v>
      </c>
      <c r="G456" s="2" t="str">
        <f>"－"</f>
        <v>－</v>
      </c>
      <c r="H456" s="10" t="s">
        <v>54</v>
      </c>
      <c r="I456" s="2" t="str">
        <f>"－"</f>
        <v>－</v>
      </c>
      <c r="J456" s="10" t="s">
        <v>54</v>
      </c>
      <c r="K456" s="2" t="n">
        <f>9062</f>
        <v>9062.0</v>
      </c>
    </row>
    <row r="457">
      <c r="A457" s="8" t="s">
        <v>21</v>
      </c>
      <c r="B457" s="9" t="s">
        <v>79</v>
      </c>
      <c r="C457" s="9" t="s">
        <v>80</v>
      </c>
      <c r="D457" s="10"/>
      <c r="E457" s="2"/>
      <c r="F457" s="10"/>
      <c r="G457" s="2"/>
      <c r="H457" s="10"/>
      <c r="I457" s="2"/>
      <c r="J457" s="10"/>
      <c r="K457" s="2"/>
    </row>
    <row r="458">
      <c r="A458" s="8" t="s">
        <v>22</v>
      </c>
      <c r="B458" s="9" t="s">
        <v>79</v>
      </c>
      <c r="C458" s="9" t="s">
        <v>80</v>
      </c>
      <c r="D458" s="10"/>
      <c r="E458" s="2"/>
      <c r="F458" s="10"/>
      <c r="G458" s="2"/>
      <c r="H458" s="10"/>
      <c r="I458" s="2"/>
      <c r="J458" s="10"/>
      <c r="K458" s="2"/>
    </row>
    <row r="459">
      <c r="A459" s="8" t="s">
        <v>23</v>
      </c>
      <c r="B459" s="9" t="s">
        <v>79</v>
      </c>
      <c r="C459" s="9" t="s">
        <v>80</v>
      </c>
      <c r="D459" s="10"/>
      <c r="E459" s="2"/>
      <c r="F459" s="10"/>
      <c r="G459" s="2"/>
      <c r="H459" s="10"/>
      <c r="I459" s="2"/>
      <c r="J459" s="10"/>
      <c r="K459" s="2"/>
    </row>
    <row r="460">
      <c r="A460" s="8" t="s">
        <v>24</v>
      </c>
      <c r="B460" s="9" t="s">
        <v>79</v>
      </c>
      <c r="C460" s="9" t="s">
        <v>80</v>
      </c>
      <c r="D460" s="10"/>
      <c r="E460" s="2" t="str">
        <f>"－"</f>
        <v>－</v>
      </c>
      <c r="F460" s="10"/>
      <c r="G460" s="2" t="str">
        <f>"－"</f>
        <v>－</v>
      </c>
      <c r="H460" s="10"/>
      <c r="I460" s="2" t="str">
        <f>"－"</f>
        <v>－</v>
      </c>
      <c r="J460" s="10"/>
      <c r="K460" s="2" t="n">
        <f>9062</f>
        <v>9062.0</v>
      </c>
    </row>
    <row r="461">
      <c r="A461" s="8" t="s">
        <v>25</v>
      </c>
      <c r="B461" s="9" t="s">
        <v>79</v>
      </c>
      <c r="C461" s="9" t="s">
        <v>80</v>
      </c>
      <c r="D461" s="10"/>
      <c r="E461" s="2" t="str">
        <f>"－"</f>
        <v>－</v>
      </c>
      <c r="F461" s="10"/>
      <c r="G461" s="2" t="str">
        <f>"－"</f>
        <v>－</v>
      </c>
      <c r="H461" s="10"/>
      <c r="I461" s="2" t="str">
        <f>"－"</f>
        <v>－</v>
      </c>
      <c r="J461" s="10"/>
      <c r="K461" s="2" t="n">
        <f>9062</f>
        <v>9062.0</v>
      </c>
    </row>
    <row r="462">
      <c r="A462" s="8" t="s">
        <v>26</v>
      </c>
      <c r="B462" s="9" t="s">
        <v>79</v>
      </c>
      <c r="C462" s="9" t="s">
        <v>80</v>
      </c>
      <c r="D462" s="10"/>
      <c r="E462" s="2" t="str">
        <f>"－"</f>
        <v>－</v>
      </c>
      <c r="F462" s="10"/>
      <c r="G462" s="2" t="str">
        <f>"－"</f>
        <v>－</v>
      </c>
      <c r="H462" s="10"/>
      <c r="I462" s="2" t="str">
        <f>"－"</f>
        <v>－</v>
      </c>
      <c r="J462" s="10"/>
      <c r="K462" s="2" t="n">
        <f>9062</f>
        <v>9062.0</v>
      </c>
    </row>
    <row r="463">
      <c r="A463" s="8" t="s">
        <v>27</v>
      </c>
      <c r="B463" s="9" t="s">
        <v>79</v>
      </c>
      <c r="C463" s="9" t="s">
        <v>80</v>
      </c>
      <c r="D463" s="10"/>
      <c r="E463" s="2" t="str">
        <f>"－"</f>
        <v>－</v>
      </c>
      <c r="F463" s="10"/>
      <c r="G463" s="2" t="str">
        <f>"－"</f>
        <v>－</v>
      </c>
      <c r="H463" s="10"/>
      <c r="I463" s="2" t="str">
        <f>"－"</f>
        <v>－</v>
      </c>
      <c r="J463" s="10"/>
      <c r="K463" s="2" t="n">
        <f>9062</f>
        <v>9062.0</v>
      </c>
    </row>
    <row r="464">
      <c r="A464" s="8" t="s">
        <v>28</v>
      </c>
      <c r="B464" s="9" t="s">
        <v>79</v>
      </c>
      <c r="C464" s="9" t="s">
        <v>80</v>
      </c>
      <c r="D464" s="10"/>
      <c r="E464" s="2"/>
      <c r="F464" s="10"/>
      <c r="G464" s="2"/>
      <c r="H464" s="10"/>
      <c r="I464" s="2"/>
      <c r="J464" s="10"/>
      <c r="K464" s="2"/>
    </row>
    <row r="465">
      <c r="A465" s="8" t="s">
        <v>29</v>
      </c>
      <c r="B465" s="9" t="s">
        <v>79</v>
      </c>
      <c r="C465" s="9" t="s">
        <v>80</v>
      </c>
      <c r="D465" s="10"/>
      <c r="E465" s="2"/>
      <c r="F465" s="10"/>
      <c r="G465" s="2"/>
      <c r="H465" s="10"/>
      <c r="I465" s="2"/>
      <c r="J465" s="10"/>
      <c r="K465" s="2"/>
    </row>
    <row r="466">
      <c r="A466" s="8" t="s">
        <v>30</v>
      </c>
      <c r="B466" s="9" t="s">
        <v>79</v>
      </c>
      <c r="C466" s="9" t="s">
        <v>80</v>
      </c>
      <c r="D466" s="10"/>
      <c r="E466" s="2" t="str">
        <f>"－"</f>
        <v>－</v>
      </c>
      <c r="F466" s="10"/>
      <c r="G466" s="2" t="str">
        <f>"－"</f>
        <v>－</v>
      </c>
      <c r="H466" s="10"/>
      <c r="I466" s="2" t="str">
        <f>"－"</f>
        <v>－</v>
      </c>
      <c r="J466" s="10"/>
      <c r="K466" s="2" t="n">
        <f>9062</f>
        <v>9062.0</v>
      </c>
    </row>
    <row r="467">
      <c r="A467" s="8" t="s">
        <v>31</v>
      </c>
      <c r="B467" s="9" t="s">
        <v>79</v>
      </c>
      <c r="C467" s="9" t="s">
        <v>80</v>
      </c>
      <c r="D467" s="10"/>
      <c r="E467" s="2" t="str">
        <f>"－"</f>
        <v>－</v>
      </c>
      <c r="F467" s="10"/>
      <c r="G467" s="2" t="str">
        <f>"－"</f>
        <v>－</v>
      </c>
      <c r="H467" s="10"/>
      <c r="I467" s="2" t="str">
        <f>"－"</f>
        <v>－</v>
      </c>
      <c r="J467" s="10"/>
      <c r="K467" s="2" t="n">
        <f>9062</f>
        <v>9062.0</v>
      </c>
    </row>
    <row r="468">
      <c r="A468" s="8" t="s">
        <v>32</v>
      </c>
      <c r="B468" s="9" t="s">
        <v>79</v>
      </c>
      <c r="C468" s="9" t="s">
        <v>80</v>
      </c>
      <c r="D468" s="10"/>
      <c r="E468" s="2" t="str">
        <f>"－"</f>
        <v>－</v>
      </c>
      <c r="F468" s="10"/>
      <c r="G468" s="2" t="str">
        <f>"－"</f>
        <v>－</v>
      </c>
      <c r="H468" s="10"/>
      <c r="I468" s="2" t="str">
        <f>"－"</f>
        <v>－</v>
      </c>
      <c r="J468" s="10"/>
      <c r="K468" s="2" t="n">
        <f>9062</f>
        <v>9062.0</v>
      </c>
    </row>
    <row r="469">
      <c r="A469" s="8" t="s">
        <v>33</v>
      </c>
      <c r="B469" s="9" t="s">
        <v>79</v>
      </c>
      <c r="C469" s="9" t="s">
        <v>80</v>
      </c>
      <c r="D469" s="10"/>
      <c r="E469" s="2" t="str">
        <f>"－"</f>
        <v>－</v>
      </c>
      <c r="F469" s="10"/>
      <c r="G469" s="2" t="str">
        <f>"－"</f>
        <v>－</v>
      </c>
      <c r="H469" s="10"/>
      <c r="I469" s="2" t="str">
        <f>"－"</f>
        <v>－</v>
      </c>
      <c r="J469" s="10"/>
      <c r="K469" s="2" t="n">
        <f>9062</f>
        <v>9062.0</v>
      </c>
    </row>
    <row r="470">
      <c r="A470" s="8" t="s">
        <v>34</v>
      </c>
      <c r="B470" s="9" t="s">
        <v>79</v>
      </c>
      <c r="C470" s="9" t="s">
        <v>80</v>
      </c>
      <c r="D470" s="10"/>
      <c r="E470" s="2" t="str">
        <f>"－"</f>
        <v>－</v>
      </c>
      <c r="F470" s="10"/>
      <c r="G470" s="2" t="str">
        <f>"－"</f>
        <v>－</v>
      </c>
      <c r="H470" s="10"/>
      <c r="I470" s="2" t="str">
        <f>"－"</f>
        <v>－</v>
      </c>
      <c r="J470" s="10"/>
      <c r="K470" s="2" t="n">
        <f>9062</f>
        <v>9062.0</v>
      </c>
    </row>
    <row r="471">
      <c r="A471" s="8" t="s">
        <v>35</v>
      </c>
      <c r="B471" s="9" t="s">
        <v>79</v>
      </c>
      <c r="C471" s="9" t="s">
        <v>80</v>
      </c>
      <c r="D471" s="10"/>
      <c r="E471" s="2"/>
      <c r="F471" s="10"/>
      <c r="G471" s="2"/>
      <c r="H471" s="10"/>
      <c r="I471" s="2"/>
      <c r="J471" s="10"/>
      <c r="K471" s="2"/>
    </row>
    <row r="472">
      <c r="A472" s="8" t="s">
        <v>36</v>
      </c>
      <c r="B472" s="9" t="s">
        <v>79</v>
      </c>
      <c r="C472" s="9" t="s">
        <v>80</v>
      </c>
      <c r="D472" s="10"/>
      <c r="E472" s="2"/>
      <c r="F472" s="10"/>
      <c r="G472" s="2"/>
      <c r="H472" s="10"/>
      <c r="I472" s="2"/>
      <c r="J472" s="10"/>
      <c r="K472" s="2"/>
    </row>
    <row r="473">
      <c r="A473" s="8" t="s">
        <v>37</v>
      </c>
      <c r="B473" s="9" t="s">
        <v>79</v>
      </c>
      <c r="C473" s="9" t="s">
        <v>80</v>
      </c>
      <c r="D473" s="10"/>
      <c r="E473" s="2" t="str">
        <f>"－"</f>
        <v>－</v>
      </c>
      <c r="F473" s="10"/>
      <c r="G473" s="2" t="str">
        <f>"－"</f>
        <v>－</v>
      </c>
      <c r="H473" s="10"/>
      <c r="I473" s="2" t="str">
        <f>"－"</f>
        <v>－</v>
      </c>
      <c r="J473" s="10"/>
      <c r="K473" s="2" t="n">
        <f>9062</f>
        <v>9062.0</v>
      </c>
    </row>
    <row r="474">
      <c r="A474" s="8" t="s">
        <v>38</v>
      </c>
      <c r="B474" s="9" t="s">
        <v>79</v>
      </c>
      <c r="C474" s="9" t="s">
        <v>80</v>
      </c>
      <c r="D474" s="10"/>
      <c r="E474" s="2" t="str">
        <f>"－"</f>
        <v>－</v>
      </c>
      <c r="F474" s="10"/>
      <c r="G474" s="2" t="str">
        <f>"－"</f>
        <v>－</v>
      </c>
      <c r="H474" s="10"/>
      <c r="I474" s="2" t="str">
        <f>"－"</f>
        <v>－</v>
      </c>
      <c r="J474" s="10"/>
      <c r="K474" s="2" t="n">
        <f>9062</f>
        <v>9062.0</v>
      </c>
    </row>
    <row r="475">
      <c r="A475" s="8" t="s">
        <v>39</v>
      </c>
      <c r="B475" s="9" t="s">
        <v>79</v>
      </c>
      <c r="C475" s="9" t="s">
        <v>80</v>
      </c>
      <c r="D475" s="10"/>
      <c r="E475" s="2" t="str">
        <f>"－"</f>
        <v>－</v>
      </c>
      <c r="F475" s="10"/>
      <c r="G475" s="2" t="str">
        <f>"－"</f>
        <v>－</v>
      </c>
      <c r="H475" s="10"/>
      <c r="I475" s="2" t="str">
        <f>"－"</f>
        <v>－</v>
      </c>
      <c r="J475" s="10"/>
      <c r="K475" s="2" t="n">
        <f>9062</f>
        <v>9062.0</v>
      </c>
    </row>
    <row r="476">
      <c r="A476" s="8" t="s">
        <v>40</v>
      </c>
      <c r="B476" s="9" t="s">
        <v>79</v>
      </c>
      <c r="C476" s="9" t="s">
        <v>80</v>
      </c>
      <c r="D476" s="10"/>
      <c r="E476" s="2" t="str">
        <f>"－"</f>
        <v>－</v>
      </c>
      <c r="F476" s="10"/>
      <c r="G476" s="2" t="str">
        <f>"－"</f>
        <v>－</v>
      </c>
      <c r="H476" s="10"/>
      <c r="I476" s="2" t="str">
        <f>"－"</f>
        <v>－</v>
      </c>
      <c r="J476" s="10"/>
      <c r="K476" s="2" t="n">
        <f>9062</f>
        <v>9062.0</v>
      </c>
    </row>
    <row r="477">
      <c r="A477" s="8" t="s">
        <v>41</v>
      </c>
      <c r="B477" s="9" t="s">
        <v>79</v>
      </c>
      <c r="C477" s="9" t="s">
        <v>80</v>
      </c>
      <c r="D477" s="10"/>
      <c r="E477" s="2" t="str">
        <f>"－"</f>
        <v>－</v>
      </c>
      <c r="F477" s="10"/>
      <c r="G477" s="2" t="str">
        <f>"－"</f>
        <v>－</v>
      </c>
      <c r="H477" s="10"/>
      <c r="I477" s="2" t="str">
        <f>"－"</f>
        <v>－</v>
      </c>
      <c r="J477" s="10"/>
      <c r="K477" s="2" t="n">
        <f>9062</f>
        <v>9062.0</v>
      </c>
    </row>
    <row r="478">
      <c r="A478" s="8" t="s">
        <v>42</v>
      </c>
      <c r="B478" s="9" t="s">
        <v>79</v>
      </c>
      <c r="C478" s="9" t="s">
        <v>80</v>
      </c>
      <c r="D478" s="10"/>
      <c r="E478" s="2"/>
      <c r="F478" s="10"/>
      <c r="G478" s="2"/>
      <c r="H478" s="10"/>
      <c r="I478" s="2"/>
      <c r="J478" s="10"/>
      <c r="K478" s="2"/>
    </row>
    <row r="479">
      <c r="A479" s="8" t="s">
        <v>43</v>
      </c>
      <c r="B479" s="9" t="s">
        <v>79</v>
      </c>
      <c r="C479" s="9" t="s">
        <v>80</v>
      </c>
      <c r="D479" s="10"/>
      <c r="E479" s="2"/>
      <c r="F479" s="10"/>
      <c r="G479" s="2"/>
      <c r="H479" s="10"/>
      <c r="I479" s="2"/>
      <c r="J479" s="10"/>
      <c r="K479" s="2"/>
    </row>
    <row r="480">
      <c r="A480" s="8" t="s">
        <v>44</v>
      </c>
      <c r="B480" s="9" t="s">
        <v>79</v>
      </c>
      <c r="C480" s="9" t="s">
        <v>80</v>
      </c>
      <c r="D480" s="10"/>
      <c r="E480" s="2" t="str">
        <f>"－"</f>
        <v>－</v>
      </c>
      <c r="F480" s="10"/>
      <c r="G480" s="2" t="str">
        <f>"－"</f>
        <v>－</v>
      </c>
      <c r="H480" s="10"/>
      <c r="I480" s="2" t="str">
        <f>"－"</f>
        <v>－</v>
      </c>
      <c r="J480" s="10"/>
      <c r="K480" s="2" t="n">
        <f>9062</f>
        <v>9062.0</v>
      </c>
    </row>
    <row r="481">
      <c r="A481" s="8" t="s">
        <v>45</v>
      </c>
      <c r="B481" s="9" t="s">
        <v>79</v>
      </c>
      <c r="C481" s="9" t="s">
        <v>80</v>
      </c>
      <c r="D481" s="10"/>
      <c r="E481" s="2" t="str">
        <f>"－"</f>
        <v>－</v>
      </c>
      <c r="F481" s="10"/>
      <c r="G481" s="2" t="str">
        <f>"－"</f>
        <v>－</v>
      </c>
      <c r="H481" s="10"/>
      <c r="I481" s="2" t="str">
        <f>"－"</f>
        <v>－</v>
      </c>
      <c r="J481" s="10"/>
      <c r="K481" s="2" t="n">
        <f>9062</f>
        <v>9062.0</v>
      </c>
    </row>
    <row r="482">
      <c r="A482" s="8" t="s">
        <v>46</v>
      </c>
      <c r="B482" s="9" t="s">
        <v>79</v>
      </c>
      <c r="C482" s="9" t="s">
        <v>80</v>
      </c>
      <c r="D482" s="10"/>
      <c r="E482" s="2" t="str">
        <f>"－"</f>
        <v>－</v>
      </c>
      <c r="F482" s="10"/>
      <c r="G482" s="2" t="str">
        <f>"－"</f>
        <v>－</v>
      </c>
      <c r="H482" s="10"/>
      <c r="I482" s="2" t="str">
        <f>"－"</f>
        <v>－</v>
      </c>
      <c r="J482" s="10"/>
      <c r="K482" s="2" t="n">
        <f>9062</f>
        <v>9062.0</v>
      </c>
    </row>
    <row r="483">
      <c r="A483" s="8" t="s">
        <v>47</v>
      </c>
      <c r="B483" s="9" t="s">
        <v>79</v>
      </c>
      <c r="C483" s="9" t="s">
        <v>80</v>
      </c>
      <c r="D483" s="10"/>
      <c r="E483" s="2" t="str">
        <f>"－"</f>
        <v>－</v>
      </c>
      <c r="F483" s="10"/>
      <c r="G483" s="2" t="str">
        <f>"－"</f>
        <v>－</v>
      </c>
      <c r="H483" s="10"/>
      <c r="I483" s="2" t="str">
        <f>"－"</f>
        <v>－</v>
      </c>
      <c r="J483" s="10"/>
      <c r="K483" s="2" t="n">
        <f>9062</f>
        <v>9062.0</v>
      </c>
    </row>
    <row r="484">
      <c r="A484" s="8" t="s">
        <v>48</v>
      </c>
      <c r="B484" s="9" t="s">
        <v>79</v>
      </c>
      <c r="C484" s="9" t="s">
        <v>80</v>
      </c>
      <c r="D484" s="10"/>
      <c r="E484" s="2" t="str">
        <f>"－"</f>
        <v>－</v>
      </c>
      <c r="F484" s="10"/>
      <c r="G484" s="2" t="str">
        <f>"－"</f>
        <v>－</v>
      </c>
      <c r="H484" s="10"/>
      <c r="I484" s="2" t="str">
        <f>"－"</f>
        <v>－</v>
      </c>
      <c r="J484" s="10"/>
      <c r="K484" s="2" t="n">
        <f>9062</f>
        <v>9062.0</v>
      </c>
    </row>
    <row r="485">
      <c r="A485" s="8" t="s">
        <v>49</v>
      </c>
      <c r="B485" s="9" t="s">
        <v>79</v>
      </c>
      <c r="C485" s="9" t="s">
        <v>80</v>
      </c>
      <c r="D485" s="10"/>
      <c r="E485" s="2"/>
      <c r="F485" s="10"/>
      <c r="G485" s="2"/>
      <c r="H485" s="10"/>
      <c r="I485" s="2"/>
      <c r="J485" s="10"/>
      <c r="K485" s="2"/>
    </row>
    <row r="486">
      <c r="A486" s="8" t="s">
        <v>16</v>
      </c>
      <c r="B486" s="9" t="s">
        <v>81</v>
      </c>
      <c r="C486" s="9" t="s">
        <v>82</v>
      </c>
      <c r="D486" s="10"/>
      <c r="E486" s="2" t="n">
        <f>3</f>
        <v>3.0</v>
      </c>
      <c r="F486" s="10"/>
      <c r="G486" s="2" t="n">
        <f>799000</f>
        <v>799000.0</v>
      </c>
      <c r="H486" s="10" t="s">
        <v>54</v>
      </c>
      <c r="I486" s="2" t="str">
        <f>"－"</f>
        <v>－</v>
      </c>
      <c r="J486" s="10"/>
      <c r="K486" s="2" t="n">
        <f>35</f>
        <v>35.0</v>
      </c>
    </row>
    <row r="487">
      <c r="A487" s="8" t="s">
        <v>21</v>
      </c>
      <c r="B487" s="9" t="s">
        <v>81</v>
      </c>
      <c r="C487" s="9" t="s">
        <v>82</v>
      </c>
      <c r="D487" s="10"/>
      <c r="E487" s="2"/>
      <c r="F487" s="10"/>
      <c r="G487" s="2"/>
      <c r="H487" s="10"/>
      <c r="I487" s="2"/>
      <c r="J487" s="10"/>
      <c r="K487" s="2"/>
    </row>
    <row r="488">
      <c r="A488" s="8" t="s">
        <v>22</v>
      </c>
      <c r="B488" s="9" t="s">
        <v>81</v>
      </c>
      <c r="C488" s="9" t="s">
        <v>82</v>
      </c>
      <c r="D488" s="10"/>
      <c r="E488" s="2"/>
      <c r="F488" s="10"/>
      <c r="G488" s="2"/>
      <c r="H488" s="10"/>
      <c r="I488" s="2"/>
      <c r="J488" s="10"/>
      <c r="K488" s="2"/>
    </row>
    <row r="489">
      <c r="A489" s="8" t="s">
        <v>23</v>
      </c>
      <c r="B489" s="9" t="s">
        <v>81</v>
      </c>
      <c r="C489" s="9" t="s">
        <v>82</v>
      </c>
      <c r="D489" s="10"/>
      <c r="E489" s="2"/>
      <c r="F489" s="10"/>
      <c r="G489" s="2"/>
      <c r="H489" s="10"/>
      <c r="I489" s="2"/>
      <c r="J489" s="10"/>
      <c r="K489" s="2"/>
    </row>
    <row r="490">
      <c r="A490" s="8" t="s">
        <v>24</v>
      </c>
      <c r="B490" s="9" t="s">
        <v>81</v>
      </c>
      <c r="C490" s="9" t="s">
        <v>82</v>
      </c>
      <c r="D490" s="10"/>
      <c r="E490" s="2" t="n">
        <f>3</f>
        <v>3.0</v>
      </c>
      <c r="F490" s="10"/>
      <c r="G490" s="2" t="n">
        <f>821500</f>
        <v>821500.0</v>
      </c>
      <c r="H490" s="10"/>
      <c r="I490" s="2" t="str">
        <f>"－"</f>
        <v>－</v>
      </c>
      <c r="J490" s="10"/>
      <c r="K490" s="2" t="n">
        <f>37</f>
        <v>37.0</v>
      </c>
    </row>
    <row r="491">
      <c r="A491" s="8" t="s">
        <v>25</v>
      </c>
      <c r="B491" s="9" t="s">
        <v>81</v>
      </c>
      <c r="C491" s="9" t="s">
        <v>82</v>
      </c>
      <c r="D491" s="10"/>
      <c r="E491" s="2" t="n">
        <f>20</f>
        <v>20.0</v>
      </c>
      <c r="F491" s="10"/>
      <c r="G491" s="2" t="n">
        <f>5081500</f>
        <v>5081500.0</v>
      </c>
      <c r="H491" s="10"/>
      <c r="I491" s="2" t="str">
        <f>"－"</f>
        <v>－</v>
      </c>
      <c r="J491" s="10"/>
      <c r="K491" s="2" t="n">
        <f>47</f>
        <v>47.0</v>
      </c>
    </row>
    <row r="492">
      <c r="A492" s="8" t="s">
        <v>26</v>
      </c>
      <c r="B492" s="9" t="s">
        <v>81</v>
      </c>
      <c r="C492" s="9" t="s">
        <v>82</v>
      </c>
      <c r="D492" s="10" t="s">
        <v>20</v>
      </c>
      <c r="E492" s="2" t="str">
        <f>"－"</f>
        <v>－</v>
      </c>
      <c r="F492" s="10" t="s">
        <v>20</v>
      </c>
      <c r="G492" s="2" t="str">
        <f>"－"</f>
        <v>－</v>
      </c>
      <c r="H492" s="10"/>
      <c r="I492" s="2" t="str">
        <f>"－"</f>
        <v>－</v>
      </c>
      <c r="J492" s="10"/>
      <c r="K492" s="2" t="n">
        <f>47</f>
        <v>47.0</v>
      </c>
    </row>
    <row r="493">
      <c r="A493" s="8" t="s">
        <v>27</v>
      </c>
      <c r="B493" s="9" t="s">
        <v>81</v>
      </c>
      <c r="C493" s="9" t="s">
        <v>82</v>
      </c>
      <c r="D493" s="10"/>
      <c r="E493" s="2" t="n">
        <f>7</f>
        <v>7.0</v>
      </c>
      <c r="F493" s="10"/>
      <c r="G493" s="2" t="n">
        <f>1621000</f>
        <v>1621000.0</v>
      </c>
      <c r="H493" s="10"/>
      <c r="I493" s="2" t="str">
        <f>"－"</f>
        <v>－</v>
      </c>
      <c r="J493" s="10"/>
      <c r="K493" s="2" t="n">
        <f>52</f>
        <v>52.0</v>
      </c>
    </row>
    <row r="494">
      <c r="A494" s="8" t="s">
        <v>28</v>
      </c>
      <c r="B494" s="9" t="s">
        <v>81</v>
      </c>
      <c r="C494" s="9" t="s">
        <v>82</v>
      </c>
      <c r="D494" s="10"/>
      <c r="E494" s="2"/>
      <c r="F494" s="10"/>
      <c r="G494" s="2"/>
      <c r="H494" s="10"/>
      <c r="I494" s="2"/>
      <c r="J494" s="10"/>
      <c r="K494" s="2"/>
    </row>
    <row r="495">
      <c r="A495" s="8" t="s">
        <v>29</v>
      </c>
      <c r="B495" s="9" t="s">
        <v>81</v>
      </c>
      <c r="C495" s="9" t="s">
        <v>82</v>
      </c>
      <c r="D495" s="10"/>
      <c r="E495" s="2"/>
      <c r="F495" s="10"/>
      <c r="G495" s="2"/>
      <c r="H495" s="10"/>
      <c r="I495" s="2"/>
      <c r="J495" s="10"/>
      <c r="K495" s="2"/>
    </row>
    <row r="496">
      <c r="A496" s="8" t="s">
        <v>30</v>
      </c>
      <c r="B496" s="9" t="s">
        <v>81</v>
      </c>
      <c r="C496" s="9" t="s">
        <v>82</v>
      </c>
      <c r="D496" s="10" t="s">
        <v>19</v>
      </c>
      <c r="E496" s="2" t="n">
        <f>32</f>
        <v>32.0</v>
      </c>
      <c r="F496" s="10" t="s">
        <v>19</v>
      </c>
      <c r="G496" s="2" t="n">
        <f>7118500</f>
        <v>7118500.0</v>
      </c>
      <c r="H496" s="10"/>
      <c r="I496" s="2" t="str">
        <f>"－"</f>
        <v>－</v>
      </c>
      <c r="J496" s="10"/>
      <c r="K496" s="2" t="n">
        <f>55</f>
        <v>55.0</v>
      </c>
    </row>
    <row r="497">
      <c r="A497" s="8" t="s">
        <v>31</v>
      </c>
      <c r="B497" s="9" t="s">
        <v>81</v>
      </c>
      <c r="C497" s="9" t="s">
        <v>82</v>
      </c>
      <c r="D497" s="10"/>
      <c r="E497" s="2" t="n">
        <f>27</f>
        <v>27.0</v>
      </c>
      <c r="F497" s="10"/>
      <c r="G497" s="2" t="n">
        <f>5800000</f>
        <v>5800000.0</v>
      </c>
      <c r="H497" s="10"/>
      <c r="I497" s="2" t="str">
        <f>"－"</f>
        <v>－</v>
      </c>
      <c r="J497" s="10"/>
      <c r="K497" s="2" t="n">
        <f>71</f>
        <v>71.0</v>
      </c>
    </row>
    <row r="498">
      <c r="A498" s="8" t="s">
        <v>32</v>
      </c>
      <c r="B498" s="9" t="s">
        <v>81</v>
      </c>
      <c r="C498" s="9" t="s">
        <v>82</v>
      </c>
      <c r="D498" s="10"/>
      <c r="E498" s="2" t="n">
        <f>3</f>
        <v>3.0</v>
      </c>
      <c r="F498" s="10"/>
      <c r="G498" s="2" t="n">
        <f>695000</f>
        <v>695000.0</v>
      </c>
      <c r="H498" s="10"/>
      <c r="I498" s="2" t="str">
        <f>"－"</f>
        <v>－</v>
      </c>
      <c r="J498" s="10" t="s">
        <v>19</v>
      </c>
      <c r="K498" s="2" t="n">
        <f>72</f>
        <v>72.0</v>
      </c>
    </row>
    <row r="499">
      <c r="A499" s="8" t="s">
        <v>33</v>
      </c>
      <c r="B499" s="9" t="s">
        <v>81</v>
      </c>
      <c r="C499" s="9" t="s">
        <v>82</v>
      </c>
      <c r="D499" s="10"/>
      <c r="E499" s="2" t="n">
        <f>13</f>
        <v>13.0</v>
      </c>
      <c r="F499" s="10"/>
      <c r="G499" s="2" t="n">
        <f>3010000</f>
        <v>3010000.0</v>
      </c>
      <c r="H499" s="10"/>
      <c r="I499" s="2" t="str">
        <f>"－"</f>
        <v>－</v>
      </c>
      <c r="J499" s="10" t="s">
        <v>20</v>
      </c>
      <c r="K499" s="2" t="n">
        <f>29</f>
        <v>29.0</v>
      </c>
    </row>
    <row r="500">
      <c r="A500" s="8" t="s">
        <v>34</v>
      </c>
      <c r="B500" s="9" t="s">
        <v>81</v>
      </c>
      <c r="C500" s="9" t="s">
        <v>82</v>
      </c>
      <c r="D500" s="10"/>
      <c r="E500" s="2" t="n">
        <f>6</f>
        <v>6.0</v>
      </c>
      <c r="F500" s="10"/>
      <c r="G500" s="2" t="n">
        <f>1380000</f>
        <v>1380000.0</v>
      </c>
      <c r="H500" s="10"/>
      <c r="I500" s="2" t="str">
        <f>"－"</f>
        <v>－</v>
      </c>
      <c r="J500" s="10"/>
      <c r="K500" s="2" t="n">
        <f>35</f>
        <v>35.0</v>
      </c>
    </row>
    <row r="501">
      <c r="A501" s="8" t="s">
        <v>35</v>
      </c>
      <c r="B501" s="9" t="s">
        <v>81</v>
      </c>
      <c r="C501" s="9" t="s">
        <v>82</v>
      </c>
      <c r="D501" s="10"/>
      <c r="E501" s="2"/>
      <c r="F501" s="10"/>
      <c r="G501" s="2"/>
      <c r="H501" s="10"/>
      <c r="I501" s="2"/>
      <c r="J501" s="10"/>
      <c r="K501" s="2"/>
    </row>
    <row r="502">
      <c r="A502" s="8" t="s">
        <v>36</v>
      </c>
      <c r="B502" s="9" t="s">
        <v>81</v>
      </c>
      <c r="C502" s="9" t="s">
        <v>82</v>
      </c>
      <c r="D502" s="10"/>
      <c r="E502" s="2"/>
      <c r="F502" s="10"/>
      <c r="G502" s="2"/>
      <c r="H502" s="10"/>
      <c r="I502" s="2"/>
      <c r="J502" s="10"/>
      <c r="K502" s="2"/>
    </row>
    <row r="503">
      <c r="A503" s="8" t="s">
        <v>37</v>
      </c>
      <c r="B503" s="9" t="s">
        <v>81</v>
      </c>
      <c r="C503" s="9" t="s">
        <v>82</v>
      </c>
      <c r="D503" s="10"/>
      <c r="E503" s="2" t="str">
        <f>"－"</f>
        <v>－</v>
      </c>
      <c r="F503" s="10"/>
      <c r="G503" s="2" t="str">
        <f>"－"</f>
        <v>－</v>
      </c>
      <c r="H503" s="10"/>
      <c r="I503" s="2" t="str">
        <f>"－"</f>
        <v>－</v>
      </c>
      <c r="J503" s="10"/>
      <c r="K503" s="2" t="n">
        <f>35</f>
        <v>35.0</v>
      </c>
    </row>
    <row r="504">
      <c r="A504" s="8" t="s">
        <v>38</v>
      </c>
      <c r="B504" s="9" t="s">
        <v>81</v>
      </c>
      <c r="C504" s="9" t="s">
        <v>82</v>
      </c>
      <c r="D504" s="10"/>
      <c r="E504" s="2" t="n">
        <f>6</f>
        <v>6.0</v>
      </c>
      <c r="F504" s="10"/>
      <c r="G504" s="2" t="n">
        <f>1407000</f>
        <v>1407000.0</v>
      </c>
      <c r="H504" s="10"/>
      <c r="I504" s="2" t="str">
        <f>"－"</f>
        <v>－</v>
      </c>
      <c r="J504" s="10"/>
      <c r="K504" s="2" t="n">
        <f>38</f>
        <v>38.0</v>
      </c>
    </row>
    <row r="505">
      <c r="A505" s="8" t="s">
        <v>39</v>
      </c>
      <c r="B505" s="9" t="s">
        <v>81</v>
      </c>
      <c r="C505" s="9" t="s">
        <v>82</v>
      </c>
      <c r="D505" s="10"/>
      <c r="E505" s="2" t="n">
        <f>1</f>
        <v>1.0</v>
      </c>
      <c r="F505" s="10"/>
      <c r="G505" s="2" t="n">
        <f>236000</f>
        <v>236000.0</v>
      </c>
      <c r="H505" s="10"/>
      <c r="I505" s="2" t="str">
        <f>"－"</f>
        <v>－</v>
      </c>
      <c r="J505" s="10"/>
      <c r="K505" s="2" t="n">
        <f>38</f>
        <v>38.0</v>
      </c>
    </row>
    <row r="506">
      <c r="A506" s="8" t="s">
        <v>40</v>
      </c>
      <c r="B506" s="9" t="s">
        <v>81</v>
      </c>
      <c r="C506" s="9" t="s">
        <v>82</v>
      </c>
      <c r="D506" s="10"/>
      <c r="E506" s="2" t="n">
        <f>2</f>
        <v>2.0</v>
      </c>
      <c r="F506" s="10"/>
      <c r="G506" s="2" t="n">
        <f>474500</f>
        <v>474500.0</v>
      </c>
      <c r="H506" s="10"/>
      <c r="I506" s="2" t="str">
        <f>"－"</f>
        <v>－</v>
      </c>
      <c r="J506" s="10"/>
      <c r="K506" s="2" t="n">
        <f>36</f>
        <v>36.0</v>
      </c>
    </row>
    <row r="507">
      <c r="A507" s="8" t="s">
        <v>41</v>
      </c>
      <c r="B507" s="9" t="s">
        <v>81</v>
      </c>
      <c r="C507" s="9" t="s">
        <v>82</v>
      </c>
      <c r="D507" s="10"/>
      <c r="E507" s="2" t="n">
        <f>1</f>
        <v>1.0</v>
      </c>
      <c r="F507" s="10"/>
      <c r="G507" s="2" t="n">
        <f>232000</f>
        <v>232000.0</v>
      </c>
      <c r="H507" s="10"/>
      <c r="I507" s="2" t="str">
        <f>"－"</f>
        <v>－</v>
      </c>
      <c r="J507" s="10"/>
      <c r="K507" s="2" t="n">
        <f>37</f>
        <v>37.0</v>
      </c>
    </row>
    <row r="508">
      <c r="A508" s="8" t="s">
        <v>42</v>
      </c>
      <c r="B508" s="9" t="s">
        <v>81</v>
      </c>
      <c r="C508" s="9" t="s">
        <v>82</v>
      </c>
      <c r="D508" s="10"/>
      <c r="E508" s="2"/>
      <c r="F508" s="10"/>
      <c r="G508" s="2"/>
      <c r="H508" s="10"/>
      <c r="I508" s="2"/>
      <c r="J508" s="10"/>
      <c r="K508" s="2"/>
    </row>
    <row r="509">
      <c r="A509" s="8" t="s">
        <v>43</v>
      </c>
      <c r="B509" s="9" t="s">
        <v>81</v>
      </c>
      <c r="C509" s="9" t="s">
        <v>82</v>
      </c>
      <c r="D509" s="10"/>
      <c r="E509" s="2"/>
      <c r="F509" s="10"/>
      <c r="G509" s="2"/>
      <c r="H509" s="10"/>
      <c r="I509" s="2"/>
      <c r="J509" s="10"/>
      <c r="K509" s="2"/>
    </row>
    <row r="510">
      <c r="A510" s="8" t="s">
        <v>44</v>
      </c>
      <c r="B510" s="9" t="s">
        <v>81</v>
      </c>
      <c r="C510" s="9" t="s">
        <v>82</v>
      </c>
      <c r="D510" s="10"/>
      <c r="E510" s="2" t="n">
        <f>2</f>
        <v>2.0</v>
      </c>
      <c r="F510" s="10"/>
      <c r="G510" s="2" t="n">
        <f>455500</f>
        <v>455500.0</v>
      </c>
      <c r="H510" s="10"/>
      <c r="I510" s="2" t="str">
        <f>"－"</f>
        <v>－</v>
      </c>
      <c r="J510" s="10"/>
      <c r="K510" s="2" t="n">
        <f>39</f>
        <v>39.0</v>
      </c>
    </row>
    <row r="511">
      <c r="A511" s="8" t="s">
        <v>45</v>
      </c>
      <c r="B511" s="9" t="s">
        <v>81</v>
      </c>
      <c r="C511" s="9" t="s">
        <v>82</v>
      </c>
      <c r="D511" s="10"/>
      <c r="E511" s="2" t="n">
        <f>4</f>
        <v>4.0</v>
      </c>
      <c r="F511" s="10"/>
      <c r="G511" s="2" t="n">
        <f>940500</f>
        <v>940500.0</v>
      </c>
      <c r="H511" s="10"/>
      <c r="I511" s="2" t="str">
        <f>"－"</f>
        <v>－</v>
      </c>
      <c r="J511" s="10"/>
      <c r="K511" s="2" t="n">
        <f>40</f>
        <v>40.0</v>
      </c>
    </row>
    <row r="512">
      <c r="A512" s="8" t="s">
        <v>46</v>
      </c>
      <c r="B512" s="9" t="s">
        <v>81</v>
      </c>
      <c r="C512" s="9" t="s">
        <v>82</v>
      </c>
      <c r="D512" s="10"/>
      <c r="E512" s="2" t="n">
        <f>1</f>
        <v>1.0</v>
      </c>
      <c r="F512" s="10"/>
      <c r="G512" s="2" t="n">
        <f>237500</f>
        <v>237500.0</v>
      </c>
      <c r="H512" s="10"/>
      <c r="I512" s="2" t="str">
        <f>"－"</f>
        <v>－</v>
      </c>
      <c r="J512" s="10"/>
      <c r="K512" s="2" t="n">
        <f>41</f>
        <v>41.0</v>
      </c>
    </row>
    <row r="513">
      <c r="A513" s="8" t="s">
        <v>47</v>
      </c>
      <c r="B513" s="9" t="s">
        <v>81</v>
      </c>
      <c r="C513" s="9" t="s">
        <v>82</v>
      </c>
      <c r="D513" s="10"/>
      <c r="E513" s="2" t="n">
        <f>9</f>
        <v>9.0</v>
      </c>
      <c r="F513" s="10"/>
      <c r="G513" s="2" t="n">
        <f>2120500</f>
        <v>2120500.0</v>
      </c>
      <c r="H513" s="10"/>
      <c r="I513" s="2" t="str">
        <f>"－"</f>
        <v>－</v>
      </c>
      <c r="J513" s="10"/>
      <c r="K513" s="2" t="n">
        <f>48</f>
        <v>48.0</v>
      </c>
    </row>
    <row r="514">
      <c r="A514" s="8" t="s">
        <v>48</v>
      </c>
      <c r="B514" s="9" t="s">
        <v>81</v>
      </c>
      <c r="C514" s="9" t="s">
        <v>82</v>
      </c>
      <c r="D514" s="10"/>
      <c r="E514" s="2" t="n">
        <f>1</f>
        <v>1.0</v>
      </c>
      <c r="F514" s="10"/>
      <c r="G514" s="2" t="n">
        <f>245500</f>
        <v>245500.0</v>
      </c>
      <c r="H514" s="10"/>
      <c r="I514" s="2" t="str">
        <f>"－"</f>
        <v>－</v>
      </c>
      <c r="J514" s="10"/>
      <c r="K514" s="2" t="n">
        <f>48</f>
        <v>48.0</v>
      </c>
    </row>
    <row r="515">
      <c r="A515" s="8" t="s">
        <v>49</v>
      </c>
      <c r="B515" s="9" t="s">
        <v>81</v>
      </c>
      <c r="C515" s="9" t="s">
        <v>82</v>
      </c>
      <c r="D515" s="10"/>
      <c r="E515" s="2"/>
      <c r="F515" s="10"/>
      <c r="G515" s="2"/>
      <c r="H515" s="10"/>
      <c r="I515" s="2"/>
      <c r="J515" s="10"/>
      <c r="K515" s="2"/>
    </row>
    <row r="516">
      <c r="A516" s="8" t="s">
        <v>16</v>
      </c>
      <c r="B516" s="9" t="s">
        <v>83</v>
      </c>
      <c r="C516" s="9" t="s">
        <v>84</v>
      </c>
      <c r="D516" s="10"/>
      <c r="E516" s="2"/>
      <c r="F516" s="10"/>
      <c r="G516" s="2"/>
      <c r="H516" s="10"/>
      <c r="I516" s="2"/>
      <c r="J516" s="10"/>
      <c r="K516" s="2"/>
    </row>
    <row r="517">
      <c r="A517" s="8" t="s">
        <v>21</v>
      </c>
      <c r="B517" s="9" t="s">
        <v>83</v>
      </c>
      <c r="C517" s="9" t="s">
        <v>84</v>
      </c>
      <c r="D517" s="10"/>
      <c r="E517" s="2"/>
      <c r="F517" s="10"/>
      <c r="G517" s="2"/>
      <c r="H517" s="10"/>
      <c r="I517" s="2"/>
      <c r="J517" s="10"/>
      <c r="K517" s="2"/>
    </row>
    <row r="518">
      <c r="A518" s="8" t="s">
        <v>22</v>
      </c>
      <c r="B518" s="9" t="s">
        <v>83</v>
      </c>
      <c r="C518" s="9" t="s">
        <v>84</v>
      </c>
      <c r="D518" s="10"/>
      <c r="E518" s="2"/>
      <c r="F518" s="10"/>
      <c r="G518" s="2"/>
      <c r="H518" s="10"/>
      <c r="I518" s="2"/>
      <c r="J518" s="10"/>
      <c r="K518" s="2"/>
    </row>
    <row r="519">
      <c r="A519" s="8" t="s">
        <v>23</v>
      </c>
      <c r="B519" s="9" t="s">
        <v>83</v>
      </c>
      <c r="C519" s="9" t="s">
        <v>84</v>
      </c>
      <c r="D519" s="10"/>
      <c r="E519" s="2"/>
      <c r="F519" s="10"/>
      <c r="G519" s="2"/>
      <c r="H519" s="10"/>
      <c r="I519" s="2"/>
      <c r="J519" s="10"/>
      <c r="K519" s="2"/>
    </row>
    <row r="520">
      <c r="A520" s="8" t="s">
        <v>24</v>
      </c>
      <c r="B520" s="9" t="s">
        <v>83</v>
      </c>
      <c r="C520" s="9" t="s">
        <v>84</v>
      </c>
      <c r="D520" s="10"/>
      <c r="E520" s="2"/>
      <c r="F520" s="10"/>
      <c r="G520" s="2"/>
      <c r="H520" s="10"/>
      <c r="I520" s="2"/>
      <c r="J520" s="10"/>
      <c r="K520" s="2"/>
    </row>
    <row r="521">
      <c r="A521" s="8" t="s">
        <v>25</v>
      </c>
      <c r="B521" s="9" t="s">
        <v>83</v>
      </c>
      <c r="C521" s="9" t="s">
        <v>84</v>
      </c>
      <c r="D521" s="10"/>
      <c r="E521" s="2"/>
      <c r="F521" s="10"/>
      <c r="G521" s="2"/>
      <c r="H521" s="10"/>
      <c r="I521" s="2"/>
      <c r="J521" s="10"/>
      <c r="K521" s="2"/>
    </row>
    <row r="522">
      <c r="A522" s="8" t="s">
        <v>26</v>
      </c>
      <c r="B522" s="9" t="s">
        <v>83</v>
      </c>
      <c r="C522" s="9" t="s">
        <v>84</v>
      </c>
      <c r="D522" s="10"/>
      <c r="E522" s="2"/>
      <c r="F522" s="10"/>
      <c r="G522" s="2"/>
      <c r="H522" s="10"/>
      <c r="I522" s="2"/>
      <c r="J522" s="10"/>
      <c r="K522" s="2"/>
    </row>
    <row r="523">
      <c r="A523" s="8" t="s">
        <v>27</v>
      </c>
      <c r="B523" s="9" t="s">
        <v>83</v>
      </c>
      <c r="C523" s="9" t="s">
        <v>84</v>
      </c>
      <c r="D523" s="10"/>
      <c r="E523" s="2"/>
      <c r="F523" s="10"/>
      <c r="G523" s="2"/>
      <c r="H523" s="10"/>
      <c r="I523" s="2"/>
      <c r="J523" s="10"/>
      <c r="K523" s="2"/>
    </row>
    <row r="524">
      <c r="A524" s="8" t="s">
        <v>28</v>
      </c>
      <c r="B524" s="9" t="s">
        <v>83</v>
      </c>
      <c r="C524" s="9" t="s">
        <v>84</v>
      </c>
      <c r="D524" s="10"/>
      <c r="E524" s="2"/>
      <c r="F524" s="10"/>
      <c r="G524" s="2"/>
      <c r="H524" s="10"/>
      <c r="I524" s="2"/>
      <c r="J524" s="10"/>
      <c r="K524" s="2"/>
    </row>
    <row r="525">
      <c r="A525" s="8" t="s">
        <v>29</v>
      </c>
      <c r="B525" s="9" t="s">
        <v>83</v>
      </c>
      <c r="C525" s="9" t="s">
        <v>84</v>
      </c>
      <c r="D525" s="10"/>
      <c r="E525" s="2"/>
      <c r="F525" s="10"/>
      <c r="G525" s="2"/>
      <c r="H525" s="10"/>
      <c r="I525" s="2"/>
      <c r="J525" s="10"/>
      <c r="K525" s="2"/>
    </row>
    <row r="526">
      <c r="A526" s="8" t="s">
        <v>30</v>
      </c>
      <c r="B526" s="9" t="s">
        <v>83</v>
      </c>
      <c r="C526" s="9" t="s">
        <v>84</v>
      </c>
      <c r="D526" s="10"/>
      <c r="E526" s="2"/>
      <c r="F526" s="10"/>
      <c r="G526" s="2"/>
      <c r="H526" s="10"/>
      <c r="I526" s="2"/>
      <c r="J526" s="10"/>
      <c r="K526" s="2"/>
    </row>
    <row r="527">
      <c r="A527" s="8" t="s">
        <v>31</v>
      </c>
      <c r="B527" s="9" t="s">
        <v>83</v>
      </c>
      <c r="C527" s="9" t="s">
        <v>84</v>
      </c>
      <c r="D527" s="10"/>
      <c r="E527" s="2"/>
      <c r="F527" s="10"/>
      <c r="G527" s="2"/>
      <c r="H527" s="10"/>
      <c r="I527" s="2"/>
      <c r="J527" s="10"/>
      <c r="K527" s="2"/>
    </row>
    <row r="528">
      <c r="A528" s="8" t="s">
        <v>32</v>
      </c>
      <c r="B528" s="9" t="s">
        <v>83</v>
      </c>
      <c r="C528" s="9" t="s">
        <v>84</v>
      </c>
      <c r="D528" s="10"/>
      <c r="E528" s="2"/>
      <c r="F528" s="10"/>
      <c r="G528" s="2"/>
      <c r="H528" s="10"/>
      <c r="I528" s="2"/>
      <c r="J528" s="10"/>
      <c r="K528" s="2"/>
    </row>
    <row r="529">
      <c r="A529" s="8" t="s">
        <v>33</v>
      </c>
      <c r="B529" s="9" t="s">
        <v>83</v>
      </c>
      <c r="C529" s="9" t="s">
        <v>84</v>
      </c>
      <c r="D529" s="10"/>
      <c r="E529" s="2"/>
      <c r="F529" s="10"/>
      <c r="G529" s="2"/>
      <c r="H529" s="10"/>
      <c r="I529" s="2"/>
      <c r="J529" s="10"/>
      <c r="K529" s="2"/>
    </row>
    <row r="530">
      <c r="A530" s="8" t="s">
        <v>34</v>
      </c>
      <c r="B530" s="9" t="s">
        <v>83</v>
      </c>
      <c r="C530" s="9" t="s">
        <v>84</v>
      </c>
      <c r="D530" s="10"/>
      <c r="E530" s="2"/>
      <c r="F530" s="10"/>
      <c r="G530" s="2"/>
      <c r="H530" s="10"/>
      <c r="I530" s="2"/>
      <c r="J530" s="10"/>
      <c r="K530" s="2"/>
    </row>
    <row r="531">
      <c r="A531" s="8" t="s">
        <v>35</v>
      </c>
      <c r="B531" s="9" t="s">
        <v>83</v>
      </c>
      <c r="C531" s="9" t="s">
        <v>84</v>
      </c>
      <c r="D531" s="10"/>
      <c r="E531" s="2"/>
      <c r="F531" s="10"/>
      <c r="G531" s="2"/>
      <c r="H531" s="10"/>
      <c r="I531" s="2"/>
      <c r="J531" s="10"/>
      <c r="K531" s="2"/>
    </row>
    <row r="532">
      <c r="A532" s="8" t="s">
        <v>36</v>
      </c>
      <c r="B532" s="9" t="s">
        <v>83</v>
      </c>
      <c r="C532" s="9" t="s">
        <v>84</v>
      </c>
      <c r="D532" s="10"/>
      <c r="E532" s="2"/>
      <c r="F532" s="10"/>
      <c r="G532" s="2"/>
      <c r="H532" s="10"/>
      <c r="I532" s="2"/>
      <c r="J532" s="10"/>
      <c r="K532" s="2"/>
    </row>
    <row r="533">
      <c r="A533" s="8" t="s">
        <v>37</v>
      </c>
      <c r="B533" s="9" t="s">
        <v>83</v>
      </c>
      <c r="C533" s="9" t="s">
        <v>84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38</v>
      </c>
      <c r="B534" s="9" t="s">
        <v>83</v>
      </c>
      <c r="C534" s="9" t="s">
        <v>84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39</v>
      </c>
      <c r="B535" s="9" t="s">
        <v>83</v>
      </c>
      <c r="C535" s="9" t="s">
        <v>84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40</v>
      </c>
      <c r="B536" s="9" t="s">
        <v>83</v>
      </c>
      <c r="C536" s="9" t="s">
        <v>84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41</v>
      </c>
      <c r="B537" s="9" t="s">
        <v>83</v>
      </c>
      <c r="C537" s="9" t="s">
        <v>84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42</v>
      </c>
      <c r="B538" s="9" t="s">
        <v>83</v>
      </c>
      <c r="C538" s="9" t="s">
        <v>84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43</v>
      </c>
      <c r="B539" s="9" t="s">
        <v>83</v>
      </c>
      <c r="C539" s="9" t="s">
        <v>84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44</v>
      </c>
      <c r="B540" s="9" t="s">
        <v>83</v>
      </c>
      <c r="C540" s="9" t="s">
        <v>84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45</v>
      </c>
      <c r="B541" s="9" t="s">
        <v>83</v>
      </c>
      <c r="C541" s="9" t="s">
        <v>84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46</v>
      </c>
      <c r="B542" s="9" t="s">
        <v>83</v>
      </c>
      <c r="C542" s="9" t="s">
        <v>84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47</v>
      </c>
      <c r="B543" s="9" t="s">
        <v>83</v>
      </c>
      <c r="C543" s="9" t="s">
        <v>84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48</v>
      </c>
      <c r="B544" s="9" t="s">
        <v>83</v>
      </c>
      <c r="C544" s="9" t="s">
        <v>84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49</v>
      </c>
      <c r="B545" s="9" t="s">
        <v>83</v>
      </c>
      <c r="C545" s="9" t="s">
        <v>84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16</v>
      </c>
      <c r="B546" s="9" t="s">
        <v>85</v>
      </c>
      <c r="C546" s="9" t="s">
        <v>86</v>
      </c>
      <c r="D546" s="10" t="s">
        <v>54</v>
      </c>
      <c r="E546" s="2" t="str">
        <f>"－"</f>
        <v>－</v>
      </c>
      <c r="F546" s="10" t="s">
        <v>54</v>
      </c>
      <c r="G546" s="2" t="str">
        <f>"－"</f>
        <v>－</v>
      </c>
      <c r="H546" s="10" t="s">
        <v>54</v>
      </c>
      <c r="I546" s="2" t="str">
        <f>"－"</f>
        <v>－</v>
      </c>
      <c r="J546" s="10" t="s">
        <v>54</v>
      </c>
      <c r="K546" s="2" t="str">
        <f>"－"</f>
        <v>－</v>
      </c>
    </row>
    <row r="547">
      <c r="A547" s="8" t="s">
        <v>21</v>
      </c>
      <c r="B547" s="9" t="s">
        <v>85</v>
      </c>
      <c r="C547" s="9" t="s">
        <v>86</v>
      </c>
      <c r="D547" s="10"/>
      <c r="E547" s="2"/>
      <c r="F547" s="10"/>
      <c r="G547" s="2"/>
      <c r="H547" s="10"/>
      <c r="I547" s="2"/>
      <c r="J547" s="10"/>
      <c r="K547" s="2"/>
    </row>
    <row r="548">
      <c r="A548" s="8" t="s">
        <v>22</v>
      </c>
      <c r="B548" s="9" t="s">
        <v>85</v>
      </c>
      <c r="C548" s="9" t="s">
        <v>86</v>
      </c>
      <c r="D548" s="10"/>
      <c r="E548" s="2"/>
      <c r="F548" s="10"/>
      <c r="G548" s="2"/>
      <c r="H548" s="10"/>
      <c r="I548" s="2"/>
      <c r="J548" s="10"/>
      <c r="K548" s="2"/>
    </row>
    <row r="549">
      <c r="A549" s="8" t="s">
        <v>23</v>
      </c>
      <c r="B549" s="9" t="s">
        <v>85</v>
      </c>
      <c r="C549" s="9" t="s">
        <v>86</v>
      </c>
      <c r="D549" s="10"/>
      <c r="E549" s="2"/>
      <c r="F549" s="10"/>
      <c r="G549" s="2"/>
      <c r="H549" s="10"/>
      <c r="I549" s="2"/>
      <c r="J549" s="10"/>
      <c r="K549" s="2"/>
    </row>
    <row r="550">
      <c r="A550" s="8" t="s">
        <v>24</v>
      </c>
      <c r="B550" s="9" t="s">
        <v>85</v>
      </c>
      <c r="C550" s="9" t="s">
        <v>86</v>
      </c>
      <c r="D550" s="10"/>
      <c r="E550" s="2" t="str">
        <f>"－"</f>
        <v>－</v>
      </c>
      <c r="F550" s="10"/>
      <c r="G550" s="2" t="str">
        <f>"－"</f>
        <v>－</v>
      </c>
      <c r="H550" s="10"/>
      <c r="I550" s="2" t="str">
        <f>"－"</f>
        <v>－</v>
      </c>
      <c r="J550" s="10"/>
      <c r="K550" s="2" t="str">
        <f>"－"</f>
        <v>－</v>
      </c>
    </row>
    <row r="551">
      <c r="A551" s="8" t="s">
        <v>25</v>
      </c>
      <c r="B551" s="9" t="s">
        <v>85</v>
      </c>
      <c r="C551" s="9" t="s">
        <v>86</v>
      </c>
      <c r="D551" s="10"/>
      <c r="E551" s="2" t="str">
        <f>"－"</f>
        <v>－</v>
      </c>
      <c r="F551" s="10"/>
      <c r="G551" s="2" t="str">
        <f>"－"</f>
        <v>－</v>
      </c>
      <c r="H551" s="10"/>
      <c r="I551" s="2" t="str">
        <f>"－"</f>
        <v>－</v>
      </c>
      <c r="J551" s="10"/>
      <c r="K551" s="2" t="str">
        <f>"－"</f>
        <v>－</v>
      </c>
    </row>
    <row r="552">
      <c r="A552" s="8" t="s">
        <v>26</v>
      </c>
      <c r="B552" s="9" t="s">
        <v>85</v>
      </c>
      <c r="C552" s="9" t="s">
        <v>86</v>
      </c>
      <c r="D552" s="10"/>
      <c r="E552" s="2" t="str">
        <f>"－"</f>
        <v>－</v>
      </c>
      <c r="F552" s="10"/>
      <c r="G552" s="2" t="str">
        <f>"－"</f>
        <v>－</v>
      </c>
      <c r="H552" s="10"/>
      <c r="I552" s="2" t="str">
        <f>"－"</f>
        <v>－</v>
      </c>
      <c r="J552" s="10"/>
      <c r="K552" s="2" t="str">
        <f>"－"</f>
        <v>－</v>
      </c>
    </row>
    <row r="553">
      <c r="A553" s="8" t="s">
        <v>27</v>
      </c>
      <c r="B553" s="9" t="s">
        <v>85</v>
      </c>
      <c r="C553" s="9" t="s">
        <v>86</v>
      </c>
      <c r="D553" s="10"/>
      <c r="E553" s="2" t="str">
        <f>"－"</f>
        <v>－</v>
      </c>
      <c r="F553" s="10"/>
      <c r="G553" s="2" t="str">
        <f>"－"</f>
        <v>－</v>
      </c>
      <c r="H553" s="10"/>
      <c r="I553" s="2" t="str">
        <f>"－"</f>
        <v>－</v>
      </c>
      <c r="J553" s="10"/>
      <c r="K553" s="2" t="str">
        <f>"－"</f>
        <v>－</v>
      </c>
    </row>
    <row r="554">
      <c r="A554" s="8" t="s">
        <v>28</v>
      </c>
      <c r="B554" s="9" t="s">
        <v>85</v>
      </c>
      <c r="C554" s="9" t="s">
        <v>86</v>
      </c>
      <c r="D554" s="10"/>
      <c r="E554" s="2"/>
      <c r="F554" s="10"/>
      <c r="G554" s="2"/>
      <c r="H554" s="10"/>
      <c r="I554" s="2"/>
      <c r="J554" s="10"/>
      <c r="K554" s="2"/>
    </row>
    <row r="555">
      <c r="A555" s="8" t="s">
        <v>29</v>
      </c>
      <c r="B555" s="9" t="s">
        <v>85</v>
      </c>
      <c r="C555" s="9" t="s">
        <v>86</v>
      </c>
      <c r="D555" s="10"/>
      <c r="E555" s="2"/>
      <c r="F555" s="10"/>
      <c r="G555" s="2"/>
      <c r="H555" s="10"/>
      <c r="I555" s="2"/>
      <c r="J555" s="10"/>
      <c r="K555" s="2"/>
    </row>
    <row r="556">
      <c r="A556" s="8" t="s">
        <v>30</v>
      </c>
      <c r="B556" s="9" t="s">
        <v>85</v>
      </c>
      <c r="C556" s="9" t="s">
        <v>86</v>
      </c>
      <c r="D556" s="10"/>
      <c r="E556" s="2" t="str">
        <f>"－"</f>
        <v>－</v>
      </c>
      <c r="F556" s="10"/>
      <c r="G556" s="2" t="str">
        <f>"－"</f>
        <v>－</v>
      </c>
      <c r="H556" s="10"/>
      <c r="I556" s="2" t="str">
        <f>"－"</f>
        <v>－</v>
      </c>
      <c r="J556" s="10"/>
      <c r="K556" s="2" t="str">
        <f>"－"</f>
        <v>－</v>
      </c>
    </row>
    <row r="557">
      <c r="A557" s="8" t="s">
        <v>31</v>
      </c>
      <c r="B557" s="9" t="s">
        <v>85</v>
      </c>
      <c r="C557" s="9" t="s">
        <v>86</v>
      </c>
      <c r="D557" s="10"/>
      <c r="E557" s="2" t="str">
        <f>"－"</f>
        <v>－</v>
      </c>
      <c r="F557" s="10"/>
      <c r="G557" s="2" t="str">
        <f>"－"</f>
        <v>－</v>
      </c>
      <c r="H557" s="10"/>
      <c r="I557" s="2" t="str">
        <f>"－"</f>
        <v>－</v>
      </c>
      <c r="J557" s="10"/>
      <c r="K557" s="2" t="str">
        <f>"－"</f>
        <v>－</v>
      </c>
    </row>
    <row r="558">
      <c r="A558" s="8" t="s">
        <v>32</v>
      </c>
      <c r="B558" s="9" t="s">
        <v>85</v>
      </c>
      <c r="C558" s="9" t="s">
        <v>86</v>
      </c>
      <c r="D558" s="10"/>
      <c r="E558" s="2" t="str">
        <f>"－"</f>
        <v>－</v>
      </c>
      <c r="F558" s="10"/>
      <c r="G558" s="2" t="str">
        <f>"－"</f>
        <v>－</v>
      </c>
      <c r="H558" s="10"/>
      <c r="I558" s="2" t="str">
        <f>"－"</f>
        <v>－</v>
      </c>
      <c r="J558" s="10"/>
      <c r="K558" s="2" t="str">
        <f>"－"</f>
        <v>－</v>
      </c>
    </row>
    <row r="559">
      <c r="A559" s="8" t="s">
        <v>33</v>
      </c>
      <c r="B559" s="9" t="s">
        <v>85</v>
      </c>
      <c r="C559" s="9" t="s">
        <v>86</v>
      </c>
      <c r="D559" s="10"/>
      <c r="E559" s="2" t="str">
        <f>"－"</f>
        <v>－</v>
      </c>
      <c r="F559" s="10"/>
      <c r="G559" s="2" t="str">
        <f>"－"</f>
        <v>－</v>
      </c>
      <c r="H559" s="10"/>
      <c r="I559" s="2" t="str">
        <f>"－"</f>
        <v>－</v>
      </c>
      <c r="J559" s="10"/>
      <c r="K559" s="2" t="str">
        <f>"－"</f>
        <v>－</v>
      </c>
    </row>
    <row r="560">
      <c r="A560" s="8" t="s">
        <v>34</v>
      </c>
      <c r="B560" s="9" t="s">
        <v>85</v>
      </c>
      <c r="C560" s="9" t="s">
        <v>86</v>
      </c>
      <c r="D560" s="10"/>
      <c r="E560" s="2" t="str">
        <f>"－"</f>
        <v>－</v>
      </c>
      <c r="F560" s="10"/>
      <c r="G560" s="2" t="str">
        <f>"－"</f>
        <v>－</v>
      </c>
      <c r="H560" s="10"/>
      <c r="I560" s="2" t="str">
        <f>"－"</f>
        <v>－</v>
      </c>
      <c r="J560" s="10"/>
      <c r="K560" s="2" t="str">
        <f>"－"</f>
        <v>－</v>
      </c>
    </row>
    <row r="561">
      <c r="A561" s="8" t="s">
        <v>35</v>
      </c>
      <c r="B561" s="9" t="s">
        <v>85</v>
      </c>
      <c r="C561" s="9" t="s">
        <v>86</v>
      </c>
      <c r="D561" s="10"/>
      <c r="E561" s="2"/>
      <c r="F561" s="10"/>
      <c r="G561" s="2"/>
      <c r="H561" s="10"/>
      <c r="I561" s="2"/>
      <c r="J561" s="10"/>
      <c r="K561" s="2"/>
    </row>
    <row r="562">
      <c r="A562" s="8" t="s">
        <v>36</v>
      </c>
      <c r="B562" s="9" t="s">
        <v>85</v>
      </c>
      <c r="C562" s="9" t="s">
        <v>86</v>
      </c>
      <c r="D562" s="10"/>
      <c r="E562" s="2"/>
      <c r="F562" s="10"/>
      <c r="G562" s="2"/>
      <c r="H562" s="10"/>
      <c r="I562" s="2"/>
      <c r="J562" s="10"/>
      <c r="K562" s="2"/>
    </row>
    <row r="563">
      <c r="A563" s="8" t="s">
        <v>37</v>
      </c>
      <c r="B563" s="9" t="s">
        <v>85</v>
      </c>
      <c r="C563" s="9" t="s">
        <v>86</v>
      </c>
      <c r="D563" s="10"/>
      <c r="E563" s="2" t="str">
        <f>"－"</f>
        <v>－</v>
      </c>
      <c r="F563" s="10"/>
      <c r="G563" s="2" t="str">
        <f>"－"</f>
        <v>－</v>
      </c>
      <c r="H563" s="10"/>
      <c r="I563" s="2" t="str">
        <f>"－"</f>
        <v>－</v>
      </c>
      <c r="J563" s="10"/>
      <c r="K563" s="2" t="str">
        <f>"－"</f>
        <v>－</v>
      </c>
    </row>
    <row r="564">
      <c r="A564" s="8" t="s">
        <v>38</v>
      </c>
      <c r="B564" s="9" t="s">
        <v>85</v>
      </c>
      <c r="C564" s="9" t="s">
        <v>86</v>
      </c>
      <c r="D564" s="10"/>
      <c r="E564" s="2" t="str">
        <f>"－"</f>
        <v>－</v>
      </c>
      <c r="F564" s="10"/>
      <c r="G564" s="2" t="str">
        <f>"－"</f>
        <v>－</v>
      </c>
      <c r="H564" s="10"/>
      <c r="I564" s="2" t="str">
        <f>"－"</f>
        <v>－</v>
      </c>
      <c r="J564" s="10"/>
      <c r="K564" s="2" t="str">
        <f>"－"</f>
        <v>－</v>
      </c>
    </row>
    <row r="565">
      <c r="A565" s="8" t="s">
        <v>39</v>
      </c>
      <c r="B565" s="9" t="s">
        <v>85</v>
      </c>
      <c r="C565" s="9" t="s">
        <v>86</v>
      </c>
      <c r="D565" s="10"/>
      <c r="E565" s="2" t="str">
        <f>"－"</f>
        <v>－</v>
      </c>
      <c r="F565" s="10"/>
      <c r="G565" s="2" t="str">
        <f>"－"</f>
        <v>－</v>
      </c>
      <c r="H565" s="10"/>
      <c r="I565" s="2" t="str">
        <f>"－"</f>
        <v>－</v>
      </c>
      <c r="J565" s="10"/>
      <c r="K565" s="2" t="str">
        <f>"－"</f>
        <v>－</v>
      </c>
    </row>
    <row r="566">
      <c r="A566" s="8" t="s">
        <v>40</v>
      </c>
      <c r="B566" s="9" t="s">
        <v>85</v>
      </c>
      <c r="C566" s="9" t="s">
        <v>86</v>
      </c>
      <c r="D566" s="10"/>
      <c r="E566" s="2" t="str">
        <f>"－"</f>
        <v>－</v>
      </c>
      <c r="F566" s="10"/>
      <c r="G566" s="2" t="str">
        <f>"－"</f>
        <v>－</v>
      </c>
      <c r="H566" s="10"/>
      <c r="I566" s="2" t="str">
        <f>"－"</f>
        <v>－</v>
      </c>
      <c r="J566" s="10"/>
      <c r="K566" s="2" t="str">
        <f>"－"</f>
        <v>－</v>
      </c>
    </row>
    <row r="567">
      <c r="A567" s="8" t="s">
        <v>41</v>
      </c>
      <c r="B567" s="9" t="s">
        <v>85</v>
      </c>
      <c r="C567" s="9" t="s">
        <v>86</v>
      </c>
      <c r="D567" s="10"/>
      <c r="E567" s="2" t="str">
        <f>"－"</f>
        <v>－</v>
      </c>
      <c r="F567" s="10"/>
      <c r="G567" s="2" t="str">
        <f>"－"</f>
        <v>－</v>
      </c>
      <c r="H567" s="10"/>
      <c r="I567" s="2" t="str">
        <f>"－"</f>
        <v>－</v>
      </c>
      <c r="J567" s="10"/>
      <c r="K567" s="2" t="str">
        <f>"－"</f>
        <v>－</v>
      </c>
    </row>
    <row r="568">
      <c r="A568" s="8" t="s">
        <v>42</v>
      </c>
      <c r="B568" s="9" t="s">
        <v>85</v>
      </c>
      <c r="C568" s="9" t="s">
        <v>86</v>
      </c>
      <c r="D568" s="10"/>
      <c r="E568" s="2"/>
      <c r="F568" s="10"/>
      <c r="G568" s="2"/>
      <c r="H568" s="10"/>
      <c r="I568" s="2"/>
      <c r="J568" s="10"/>
      <c r="K568" s="2"/>
    </row>
    <row r="569">
      <c r="A569" s="8" t="s">
        <v>43</v>
      </c>
      <c r="B569" s="9" t="s">
        <v>85</v>
      </c>
      <c r="C569" s="9" t="s">
        <v>86</v>
      </c>
      <c r="D569" s="10"/>
      <c r="E569" s="2"/>
      <c r="F569" s="10"/>
      <c r="G569" s="2"/>
      <c r="H569" s="10"/>
      <c r="I569" s="2"/>
      <c r="J569" s="10"/>
      <c r="K569" s="2"/>
    </row>
    <row r="570">
      <c r="A570" s="8" t="s">
        <v>44</v>
      </c>
      <c r="B570" s="9" t="s">
        <v>85</v>
      </c>
      <c r="C570" s="9" t="s">
        <v>86</v>
      </c>
      <c r="D570" s="10"/>
      <c r="E570" s="2" t="str">
        <f>"－"</f>
        <v>－</v>
      </c>
      <c r="F570" s="10"/>
      <c r="G570" s="2" t="str">
        <f>"－"</f>
        <v>－</v>
      </c>
      <c r="H570" s="10"/>
      <c r="I570" s="2" t="str">
        <f>"－"</f>
        <v>－</v>
      </c>
      <c r="J570" s="10"/>
      <c r="K570" s="2" t="str">
        <f>"－"</f>
        <v>－</v>
      </c>
    </row>
    <row r="571">
      <c r="A571" s="8" t="s">
        <v>45</v>
      </c>
      <c r="B571" s="9" t="s">
        <v>85</v>
      </c>
      <c r="C571" s="9" t="s">
        <v>86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46</v>
      </c>
      <c r="B572" s="9" t="s">
        <v>85</v>
      </c>
      <c r="C572" s="9" t="s">
        <v>86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47</v>
      </c>
      <c r="B573" s="9" t="s">
        <v>85</v>
      </c>
      <c r="C573" s="9" t="s">
        <v>86</v>
      </c>
      <c r="D573" s="10"/>
      <c r="E573" s="2" t="str">
        <f>"－"</f>
        <v>－</v>
      </c>
      <c r="F573" s="10"/>
      <c r="G573" s="2" t="str">
        <f>"－"</f>
        <v>－</v>
      </c>
      <c r="H573" s="10"/>
      <c r="I573" s="2" t="str">
        <f>"－"</f>
        <v>－</v>
      </c>
      <c r="J573" s="10"/>
      <c r="K573" s="2" t="str">
        <f>"－"</f>
        <v>－</v>
      </c>
    </row>
    <row r="574">
      <c r="A574" s="8" t="s">
        <v>48</v>
      </c>
      <c r="B574" s="9" t="s">
        <v>85</v>
      </c>
      <c r="C574" s="9" t="s">
        <v>86</v>
      </c>
      <c r="D574" s="10"/>
      <c r="E574" s="2" t="str">
        <f>"－"</f>
        <v>－</v>
      </c>
      <c r="F574" s="10"/>
      <c r="G574" s="2" t="str">
        <f>"－"</f>
        <v>－</v>
      </c>
      <c r="H574" s="10"/>
      <c r="I574" s="2" t="str">
        <f>"－"</f>
        <v>－</v>
      </c>
      <c r="J574" s="10"/>
      <c r="K574" s="2" t="str">
        <f>"－"</f>
        <v>－</v>
      </c>
    </row>
    <row r="575">
      <c r="A575" s="8" t="s">
        <v>49</v>
      </c>
      <c r="B575" s="9" t="s">
        <v>85</v>
      </c>
      <c r="C575" s="9" t="s">
        <v>86</v>
      </c>
      <c r="D575" s="10"/>
      <c r="E575" s="2"/>
      <c r="F575" s="10"/>
      <c r="G575" s="2"/>
      <c r="H575" s="10"/>
      <c r="I575" s="2"/>
      <c r="J575" s="10"/>
      <c r="K575" s="2"/>
    </row>
    <row r="576">
      <c r="A576" s="8" t="s">
        <v>16</v>
      </c>
      <c r="B576" s="9" t="s">
        <v>87</v>
      </c>
      <c r="C576" s="9" t="s">
        <v>88</v>
      </c>
      <c r="D576" s="10" t="s">
        <v>54</v>
      </c>
      <c r="E576" s="2" t="str">
        <f>"－"</f>
        <v>－</v>
      </c>
      <c r="F576" s="10" t="s">
        <v>54</v>
      </c>
      <c r="G576" s="2" t="str">
        <f>"－"</f>
        <v>－</v>
      </c>
      <c r="H576" s="10" t="s">
        <v>54</v>
      </c>
      <c r="I576" s="2" t="str">
        <f>"－"</f>
        <v>－</v>
      </c>
      <c r="J576" s="10" t="s">
        <v>54</v>
      </c>
      <c r="K576" s="2" t="str">
        <f>"－"</f>
        <v>－</v>
      </c>
    </row>
    <row r="577">
      <c r="A577" s="8" t="s">
        <v>21</v>
      </c>
      <c r="B577" s="9" t="s">
        <v>87</v>
      </c>
      <c r="C577" s="9" t="s">
        <v>88</v>
      </c>
      <c r="D577" s="10"/>
      <c r="E577" s="2"/>
      <c r="F577" s="10"/>
      <c r="G577" s="2"/>
      <c r="H577" s="10"/>
      <c r="I577" s="2"/>
      <c r="J577" s="10"/>
      <c r="K577" s="2"/>
    </row>
    <row r="578">
      <c r="A578" s="8" t="s">
        <v>22</v>
      </c>
      <c r="B578" s="9" t="s">
        <v>87</v>
      </c>
      <c r="C578" s="9" t="s">
        <v>88</v>
      </c>
      <c r="D578" s="10"/>
      <c r="E578" s="2"/>
      <c r="F578" s="10"/>
      <c r="G578" s="2"/>
      <c r="H578" s="10"/>
      <c r="I578" s="2"/>
      <c r="J578" s="10"/>
      <c r="K578" s="2"/>
    </row>
    <row r="579">
      <c r="A579" s="8" t="s">
        <v>23</v>
      </c>
      <c r="B579" s="9" t="s">
        <v>87</v>
      </c>
      <c r="C579" s="9" t="s">
        <v>88</v>
      </c>
      <c r="D579" s="10"/>
      <c r="E579" s="2"/>
      <c r="F579" s="10"/>
      <c r="G579" s="2"/>
      <c r="H579" s="10"/>
      <c r="I579" s="2"/>
      <c r="J579" s="10"/>
      <c r="K579" s="2"/>
    </row>
    <row r="580">
      <c r="A580" s="8" t="s">
        <v>24</v>
      </c>
      <c r="B580" s="9" t="s">
        <v>87</v>
      </c>
      <c r="C580" s="9" t="s">
        <v>88</v>
      </c>
      <c r="D580" s="10"/>
      <c r="E580" s="2" t="str">
        <f>"－"</f>
        <v>－</v>
      </c>
      <c r="F580" s="10"/>
      <c r="G580" s="2" t="str">
        <f>"－"</f>
        <v>－</v>
      </c>
      <c r="H580" s="10"/>
      <c r="I580" s="2" t="str">
        <f>"－"</f>
        <v>－</v>
      </c>
      <c r="J580" s="10"/>
      <c r="K580" s="2" t="str">
        <f>"－"</f>
        <v>－</v>
      </c>
    </row>
    <row r="581">
      <c r="A581" s="8" t="s">
        <v>25</v>
      </c>
      <c r="B581" s="9" t="s">
        <v>87</v>
      </c>
      <c r="C581" s="9" t="s">
        <v>88</v>
      </c>
      <c r="D581" s="10"/>
      <c r="E581" s="2" t="str">
        <f>"－"</f>
        <v>－</v>
      </c>
      <c r="F581" s="10"/>
      <c r="G581" s="2" t="str">
        <f>"－"</f>
        <v>－</v>
      </c>
      <c r="H581" s="10"/>
      <c r="I581" s="2" t="str">
        <f>"－"</f>
        <v>－</v>
      </c>
      <c r="J581" s="10"/>
      <c r="K581" s="2" t="str">
        <f>"－"</f>
        <v>－</v>
      </c>
    </row>
    <row r="582">
      <c r="A582" s="8" t="s">
        <v>26</v>
      </c>
      <c r="B582" s="9" t="s">
        <v>87</v>
      </c>
      <c r="C582" s="9" t="s">
        <v>88</v>
      </c>
      <c r="D582" s="10"/>
      <c r="E582" s="2" t="str">
        <f>"－"</f>
        <v>－</v>
      </c>
      <c r="F582" s="10"/>
      <c r="G582" s="2" t="str">
        <f>"－"</f>
        <v>－</v>
      </c>
      <c r="H582" s="10"/>
      <c r="I582" s="2" t="str">
        <f>"－"</f>
        <v>－</v>
      </c>
      <c r="J582" s="10"/>
      <c r="K582" s="2" t="str">
        <f>"－"</f>
        <v>－</v>
      </c>
    </row>
    <row r="583">
      <c r="A583" s="8" t="s">
        <v>27</v>
      </c>
      <c r="B583" s="9" t="s">
        <v>87</v>
      </c>
      <c r="C583" s="9" t="s">
        <v>88</v>
      </c>
      <c r="D583" s="10"/>
      <c r="E583" s="2" t="str">
        <f>"－"</f>
        <v>－</v>
      </c>
      <c r="F583" s="10"/>
      <c r="G583" s="2" t="str">
        <f>"－"</f>
        <v>－</v>
      </c>
      <c r="H583" s="10"/>
      <c r="I583" s="2" t="str">
        <f>"－"</f>
        <v>－</v>
      </c>
      <c r="J583" s="10"/>
      <c r="K583" s="2" t="str">
        <f>"－"</f>
        <v>－</v>
      </c>
    </row>
    <row r="584">
      <c r="A584" s="8" t="s">
        <v>28</v>
      </c>
      <c r="B584" s="9" t="s">
        <v>87</v>
      </c>
      <c r="C584" s="9" t="s">
        <v>88</v>
      </c>
      <c r="D584" s="10"/>
      <c r="E584" s="2"/>
      <c r="F584" s="10"/>
      <c r="G584" s="2"/>
      <c r="H584" s="10"/>
      <c r="I584" s="2"/>
      <c r="J584" s="10"/>
      <c r="K584" s="2"/>
    </row>
    <row r="585">
      <c r="A585" s="8" t="s">
        <v>29</v>
      </c>
      <c r="B585" s="9" t="s">
        <v>87</v>
      </c>
      <c r="C585" s="9" t="s">
        <v>88</v>
      </c>
      <c r="D585" s="10"/>
      <c r="E585" s="2"/>
      <c r="F585" s="10"/>
      <c r="G585" s="2"/>
      <c r="H585" s="10"/>
      <c r="I585" s="2"/>
      <c r="J585" s="10"/>
      <c r="K585" s="2"/>
    </row>
    <row r="586">
      <c r="A586" s="8" t="s">
        <v>30</v>
      </c>
      <c r="B586" s="9" t="s">
        <v>87</v>
      </c>
      <c r="C586" s="9" t="s">
        <v>88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31</v>
      </c>
      <c r="B587" s="9" t="s">
        <v>87</v>
      </c>
      <c r="C587" s="9" t="s">
        <v>88</v>
      </c>
      <c r="D587" s="10"/>
      <c r="E587" s="2" t="str">
        <f>"－"</f>
        <v>－</v>
      </c>
      <c r="F587" s="10"/>
      <c r="G587" s="2" t="str">
        <f>"－"</f>
        <v>－</v>
      </c>
      <c r="H587" s="10"/>
      <c r="I587" s="2" t="str">
        <f>"－"</f>
        <v>－</v>
      </c>
      <c r="J587" s="10"/>
      <c r="K587" s="2" t="str">
        <f>"－"</f>
        <v>－</v>
      </c>
    </row>
    <row r="588">
      <c r="A588" s="8" t="s">
        <v>32</v>
      </c>
      <c r="B588" s="9" t="s">
        <v>87</v>
      </c>
      <c r="C588" s="9" t="s">
        <v>88</v>
      </c>
      <c r="D588" s="10"/>
      <c r="E588" s="2" t="str">
        <f>"－"</f>
        <v>－</v>
      </c>
      <c r="F588" s="10"/>
      <c r="G588" s="2" t="str">
        <f>"－"</f>
        <v>－</v>
      </c>
      <c r="H588" s="10"/>
      <c r="I588" s="2" t="str">
        <f>"－"</f>
        <v>－</v>
      </c>
      <c r="J588" s="10"/>
      <c r="K588" s="2" t="str">
        <f>"－"</f>
        <v>－</v>
      </c>
    </row>
    <row r="589">
      <c r="A589" s="8" t="s">
        <v>33</v>
      </c>
      <c r="B589" s="9" t="s">
        <v>87</v>
      </c>
      <c r="C589" s="9" t="s">
        <v>88</v>
      </c>
      <c r="D589" s="10"/>
      <c r="E589" s="2" t="str">
        <f>"－"</f>
        <v>－</v>
      </c>
      <c r="F589" s="10"/>
      <c r="G589" s="2" t="str">
        <f>"－"</f>
        <v>－</v>
      </c>
      <c r="H589" s="10"/>
      <c r="I589" s="2" t="str">
        <f>"－"</f>
        <v>－</v>
      </c>
      <c r="J589" s="10"/>
      <c r="K589" s="2" t="str">
        <f>"－"</f>
        <v>－</v>
      </c>
    </row>
    <row r="590">
      <c r="A590" s="8" t="s">
        <v>34</v>
      </c>
      <c r="B590" s="9" t="s">
        <v>87</v>
      </c>
      <c r="C590" s="9" t="s">
        <v>88</v>
      </c>
      <c r="D590" s="10"/>
      <c r="E590" s="2" t="str">
        <f>"－"</f>
        <v>－</v>
      </c>
      <c r="F590" s="10"/>
      <c r="G590" s="2" t="str">
        <f>"－"</f>
        <v>－</v>
      </c>
      <c r="H590" s="10"/>
      <c r="I590" s="2" t="str">
        <f>"－"</f>
        <v>－</v>
      </c>
      <c r="J590" s="10"/>
      <c r="K590" s="2" t="str">
        <f>"－"</f>
        <v>－</v>
      </c>
    </row>
    <row r="591">
      <c r="A591" s="8" t="s">
        <v>35</v>
      </c>
      <c r="B591" s="9" t="s">
        <v>87</v>
      </c>
      <c r="C591" s="9" t="s">
        <v>88</v>
      </c>
      <c r="D591" s="10"/>
      <c r="E591" s="2"/>
      <c r="F591" s="10"/>
      <c r="G591" s="2"/>
      <c r="H591" s="10"/>
      <c r="I591" s="2"/>
      <c r="J591" s="10"/>
      <c r="K591" s="2"/>
    </row>
    <row r="592">
      <c r="A592" s="8" t="s">
        <v>36</v>
      </c>
      <c r="B592" s="9" t="s">
        <v>87</v>
      </c>
      <c r="C592" s="9" t="s">
        <v>88</v>
      </c>
      <c r="D592" s="10"/>
      <c r="E592" s="2"/>
      <c r="F592" s="10"/>
      <c r="G592" s="2"/>
      <c r="H592" s="10"/>
      <c r="I592" s="2"/>
      <c r="J592" s="10"/>
      <c r="K592" s="2"/>
    </row>
    <row r="593">
      <c r="A593" s="8" t="s">
        <v>37</v>
      </c>
      <c r="B593" s="9" t="s">
        <v>87</v>
      </c>
      <c r="C593" s="9" t="s">
        <v>88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38</v>
      </c>
      <c r="B594" s="9" t="s">
        <v>87</v>
      </c>
      <c r="C594" s="9" t="s">
        <v>88</v>
      </c>
      <c r="D594" s="10"/>
      <c r="E594" s="2" t="str">
        <f>"－"</f>
        <v>－</v>
      </c>
      <c r="F594" s="10"/>
      <c r="G594" s="2" t="str">
        <f>"－"</f>
        <v>－</v>
      </c>
      <c r="H594" s="10"/>
      <c r="I594" s="2" t="str">
        <f>"－"</f>
        <v>－</v>
      </c>
      <c r="J594" s="10"/>
      <c r="K594" s="2" t="str">
        <f>"－"</f>
        <v>－</v>
      </c>
    </row>
    <row r="595">
      <c r="A595" s="8" t="s">
        <v>39</v>
      </c>
      <c r="B595" s="9" t="s">
        <v>87</v>
      </c>
      <c r="C595" s="9" t="s">
        <v>88</v>
      </c>
      <c r="D595" s="10"/>
      <c r="E595" s="2" t="str">
        <f>"－"</f>
        <v>－</v>
      </c>
      <c r="F595" s="10"/>
      <c r="G595" s="2" t="str">
        <f>"－"</f>
        <v>－</v>
      </c>
      <c r="H595" s="10"/>
      <c r="I595" s="2" t="str">
        <f>"－"</f>
        <v>－</v>
      </c>
      <c r="J595" s="10"/>
      <c r="K595" s="2" t="str">
        <f>"－"</f>
        <v>－</v>
      </c>
    </row>
    <row r="596">
      <c r="A596" s="8" t="s">
        <v>40</v>
      </c>
      <c r="B596" s="9" t="s">
        <v>87</v>
      </c>
      <c r="C596" s="9" t="s">
        <v>88</v>
      </c>
      <c r="D596" s="10"/>
      <c r="E596" s="2" t="str">
        <f>"－"</f>
        <v>－</v>
      </c>
      <c r="F596" s="10"/>
      <c r="G596" s="2" t="str">
        <f>"－"</f>
        <v>－</v>
      </c>
      <c r="H596" s="10"/>
      <c r="I596" s="2" t="str">
        <f>"－"</f>
        <v>－</v>
      </c>
      <c r="J596" s="10"/>
      <c r="K596" s="2" t="str">
        <f>"－"</f>
        <v>－</v>
      </c>
    </row>
    <row r="597">
      <c r="A597" s="8" t="s">
        <v>41</v>
      </c>
      <c r="B597" s="9" t="s">
        <v>87</v>
      </c>
      <c r="C597" s="9" t="s">
        <v>88</v>
      </c>
      <c r="D597" s="10"/>
      <c r="E597" s="2" t="str">
        <f>"－"</f>
        <v>－</v>
      </c>
      <c r="F597" s="10"/>
      <c r="G597" s="2" t="str">
        <f>"－"</f>
        <v>－</v>
      </c>
      <c r="H597" s="10"/>
      <c r="I597" s="2" t="str">
        <f>"－"</f>
        <v>－</v>
      </c>
      <c r="J597" s="10"/>
      <c r="K597" s="2" t="str">
        <f>"－"</f>
        <v>－</v>
      </c>
    </row>
    <row r="598">
      <c r="A598" s="8" t="s">
        <v>42</v>
      </c>
      <c r="B598" s="9" t="s">
        <v>87</v>
      </c>
      <c r="C598" s="9" t="s">
        <v>88</v>
      </c>
      <c r="D598" s="10"/>
      <c r="E598" s="2"/>
      <c r="F598" s="10"/>
      <c r="G598" s="2"/>
      <c r="H598" s="10"/>
      <c r="I598" s="2"/>
      <c r="J598" s="10"/>
      <c r="K598" s="2"/>
    </row>
    <row r="599">
      <c r="A599" s="8" t="s">
        <v>43</v>
      </c>
      <c r="B599" s="9" t="s">
        <v>87</v>
      </c>
      <c r="C599" s="9" t="s">
        <v>88</v>
      </c>
      <c r="D599" s="10"/>
      <c r="E599" s="2"/>
      <c r="F599" s="10"/>
      <c r="G599" s="2"/>
      <c r="H599" s="10"/>
      <c r="I599" s="2"/>
      <c r="J599" s="10"/>
      <c r="K599" s="2"/>
    </row>
    <row r="600">
      <c r="A600" s="8" t="s">
        <v>44</v>
      </c>
      <c r="B600" s="9" t="s">
        <v>87</v>
      </c>
      <c r="C600" s="9" t="s">
        <v>88</v>
      </c>
      <c r="D600" s="10"/>
      <c r="E600" s="2" t="str">
        <f>"－"</f>
        <v>－</v>
      </c>
      <c r="F600" s="10"/>
      <c r="G600" s="2" t="str">
        <f>"－"</f>
        <v>－</v>
      </c>
      <c r="H600" s="10"/>
      <c r="I600" s="2" t="str">
        <f>"－"</f>
        <v>－</v>
      </c>
      <c r="J600" s="10"/>
      <c r="K600" s="2" t="str">
        <f>"－"</f>
        <v>－</v>
      </c>
    </row>
    <row r="601">
      <c r="A601" s="8" t="s">
        <v>45</v>
      </c>
      <c r="B601" s="9" t="s">
        <v>87</v>
      </c>
      <c r="C601" s="9" t="s">
        <v>88</v>
      </c>
      <c r="D601" s="10"/>
      <c r="E601" s="2" t="str">
        <f>"－"</f>
        <v>－</v>
      </c>
      <c r="F601" s="10"/>
      <c r="G601" s="2" t="str">
        <f>"－"</f>
        <v>－</v>
      </c>
      <c r="H601" s="10"/>
      <c r="I601" s="2" t="str">
        <f>"－"</f>
        <v>－</v>
      </c>
      <c r="J601" s="10"/>
      <c r="K601" s="2" t="str">
        <f>"－"</f>
        <v>－</v>
      </c>
    </row>
    <row r="602">
      <c r="A602" s="8" t="s">
        <v>46</v>
      </c>
      <c r="B602" s="9" t="s">
        <v>87</v>
      </c>
      <c r="C602" s="9" t="s">
        <v>88</v>
      </c>
      <c r="D602" s="10"/>
      <c r="E602" s="2" t="str">
        <f>"－"</f>
        <v>－</v>
      </c>
      <c r="F602" s="10"/>
      <c r="G602" s="2" t="str">
        <f>"－"</f>
        <v>－</v>
      </c>
      <c r="H602" s="10"/>
      <c r="I602" s="2" t="str">
        <f>"－"</f>
        <v>－</v>
      </c>
      <c r="J602" s="10"/>
      <c r="K602" s="2" t="str">
        <f>"－"</f>
        <v>－</v>
      </c>
    </row>
    <row r="603">
      <c r="A603" s="8" t="s">
        <v>47</v>
      </c>
      <c r="B603" s="9" t="s">
        <v>87</v>
      </c>
      <c r="C603" s="9" t="s">
        <v>88</v>
      </c>
      <c r="D603" s="10"/>
      <c r="E603" s="2" t="str">
        <f>"－"</f>
        <v>－</v>
      </c>
      <c r="F603" s="10"/>
      <c r="G603" s="2" t="str">
        <f>"－"</f>
        <v>－</v>
      </c>
      <c r="H603" s="10"/>
      <c r="I603" s="2" t="str">
        <f>"－"</f>
        <v>－</v>
      </c>
      <c r="J603" s="10"/>
      <c r="K603" s="2" t="str">
        <f>"－"</f>
        <v>－</v>
      </c>
    </row>
    <row r="604">
      <c r="A604" s="8" t="s">
        <v>48</v>
      </c>
      <c r="B604" s="9" t="s">
        <v>87</v>
      </c>
      <c r="C604" s="9" t="s">
        <v>88</v>
      </c>
      <c r="D604" s="10"/>
      <c r="E604" s="2" t="str">
        <f>"－"</f>
        <v>－</v>
      </c>
      <c r="F604" s="10"/>
      <c r="G604" s="2" t="str">
        <f>"－"</f>
        <v>－</v>
      </c>
      <c r="H604" s="10"/>
      <c r="I604" s="2" t="str">
        <f>"－"</f>
        <v>－</v>
      </c>
      <c r="J604" s="10"/>
      <c r="K604" s="2" t="str">
        <f>"－"</f>
        <v>－</v>
      </c>
    </row>
    <row r="605">
      <c r="A605" s="8" t="s">
        <v>49</v>
      </c>
      <c r="B605" s="9" t="s">
        <v>87</v>
      </c>
      <c r="C605" s="9" t="s">
        <v>88</v>
      </c>
      <c r="D605" s="10"/>
      <c r="E605" s="2"/>
      <c r="F605" s="10"/>
      <c r="G605" s="2"/>
      <c r="H605" s="10"/>
      <c r="I605" s="2"/>
      <c r="J605" s="10"/>
      <c r="K605" s="2"/>
    </row>
    <row r="606">
      <c r="A606" s="8" t="s">
        <v>16</v>
      </c>
      <c r="B606" s="9" t="s">
        <v>89</v>
      </c>
      <c r="C606" s="9" t="s">
        <v>90</v>
      </c>
      <c r="D606" s="10" t="s">
        <v>54</v>
      </c>
      <c r="E606" s="2" t="str">
        <f>"－"</f>
        <v>－</v>
      </c>
      <c r="F606" s="10" t="s">
        <v>54</v>
      </c>
      <c r="G606" s="2" t="str">
        <f>"－"</f>
        <v>－</v>
      </c>
      <c r="H606" s="10" t="s">
        <v>54</v>
      </c>
      <c r="I606" s="2" t="str">
        <f>"－"</f>
        <v>－</v>
      </c>
      <c r="J606" s="10" t="s">
        <v>54</v>
      </c>
      <c r="K606" s="2" t="str">
        <f>"－"</f>
        <v>－</v>
      </c>
    </row>
    <row r="607">
      <c r="A607" s="8" t="s">
        <v>21</v>
      </c>
      <c r="B607" s="9" t="s">
        <v>89</v>
      </c>
      <c r="C607" s="9" t="s">
        <v>90</v>
      </c>
      <c r="D607" s="10"/>
      <c r="E607" s="2"/>
      <c r="F607" s="10"/>
      <c r="G607" s="2"/>
      <c r="H607" s="10"/>
      <c r="I607" s="2"/>
      <c r="J607" s="10"/>
      <c r="K607" s="2"/>
    </row>
    <row r="608">
      <c r="A608" s="8" t="s">
        <v>22</v>
      </c>
      <c r="B608" s="9" t="s">
        <v>89</v>
      </c>
      <c r="C608" s="9" t="s">
        <v>90</v>
      </c>
      <c r="D608" s="10"/>
      <c r="E608" s="2"/>
      <c r="F608" s="10"/>
      <c r="G608" s="2"/>
      <c r="H608" s="10"/>
      <c r="I608" s="2"/>
      <c r="J608" s="10"/>
      <c r="K608" s="2"/>
    </row>
    <row r="609">
      <c r="A609" s="8" t="s">
        <v>23</v>
      </c>
      <c r="B609" s="9" t="s">
        <v>89</v>
      </c>
      <c r="C609" s="9" t="s">
        <v>90</v>
      </c>
      <c r="D609" s="10"/>
      <c r="E609" s="2"/>
      <c r="F609" s="10"/>
      <c r="G609" s="2"/>
      <c r="H609" s="10"/>
      <c r="I609" s="2"/>
      <c r="J609" s="10"/>
      <c r="K609" s="2"/>
    </row>
    <row r="610">
      <c r="A610" s="8" t="s">
        <v>24</v>
      </c>
      <c r="B610" s="9" t="s">
        <v>89</v>
      </c>
      <c r="C610" s="9" t="s">
        <v>90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25</v>
      </c>
      <c r="B611" s="9" t="s">
        <v>89</v>
      </c>
      <c r="C611" s="9" t="s">
        <v>90</v>
      </c>
      <c r="D611" s="10"/>
      <c r="E611" s="2" t="str">
        <f>"－"</f>
        <v>－</v>
      </c>
      <c r="F611" s="10"/>
      <c r="G611" s="2" t="str">
        <f>"－"</f>
        <v>－</v>
      </c>
      <c r="H611" s="10"/>
      <c r="I611" s="2" t="str">
        <f>"－"</f>
        <v>－</v>
      </c>
      <c r="J611" s="10"/>
      <c r="K611" s="2" t="str">
        <f>"－"</f>
        <v>－</v>
      </c>
    </row>
    <row r="612">
      <c r="A612" s="8" t="s">
        <v>26</v>
      </c>
      <c r="B612" s="9" t="s">
        <v>89</v>
      </c>
      <c r="C612" s="9" t="s">
        <v>90</v>
      </c>
      <c r="D612" s="10"/>
      <c r="E612" s="2" t="str">
        <f>"－"</f>
        <v>－</v>
      </c>
      <c r="F612" s="10"/>
      <c r="G612" s="2" t="str">
        <f>"－"</f>
        <v>－</v>
      </c>
      <c r="H612" s="10"/>
      <c r="I612" s="2" t="str">
        <f>"－"</f>
        <v>－</v>
      </c>
      <c r="J612" s="10"/>
      <c r="K612" s="2" t="str">
        <f>"－"</f>
        <v>－</v>
      </c>
    </row>
    <row r="613">
      <c r="A613" s="8" t="s">
        <v>27</v>
      </c>
      <c r="B613" s="9" t="s">
        <v>89</v>
      </c>
      <c r="C613" s="9" t="s">
        <v>90</v>
      </c>
      <c r="D613" s="10"/>
      <c r="E613" s="2" t="str">
        <f>"－"</f>
        <v>－</v>
      </c>
      <c r="F613" s="10"/>
      <c r="G613" s="2" t="str">
        <f>"－"</f>
        <v>－</v>
      </c>
      <c r="H613" s="10"/>
      <c r="I613" s="2" t="str">
        <f>"－"</f>
        <v>－</v>
      </c>
      <c r="J613" s="10"/>
      <c r="K613" s="2" t="str">
        <f>"－"</f>
        <v>－</v>
      </c>
    </row>
    <row r="614">
      <c r="A614" s="8" t="s">
        <v>28</v>
      </c>
      <c r="B614" s="9" t="s">
        <v>89</v>
      </c>
      <c r="C614" s="9" t="s">
        <v>90</v>
      </c>
      <c r="D614" s="10"/>
      <c r="E614" s="2"/>
      <c r="F614" s="10"/>
      <c r="G614" s="2"/>
      <c r="H614" s="10"/>
      <c r="I614" s="2"/>
      <c r="J614" s="10"/>
      <c r="K614" s="2"/>
    </row>
    <row r="615">
      <c r="A615" s="8" t="s">
        <v>29</v>
      </c>
      <c r="B615" s="9" t="s">
        <v>89</v>
      </c>
      <c r="C615" s="9" t="s">
        <v>90</v>
      </c>
      <c r="D615" s="10"/>
      <c r="E615" s="2"/>
      <c r="F615" s="10"/>
      <c r="G615" s="2"/>
      <c r="H615" s="10"/>
      <c r="I615" s="2"/>
      <c r="J615" s="10"/>
      <c r="K615" s="2"/>
    </row>
    <row r="616">
      <c r="A616" s="8" t="s">
        <v>30</v>
      </c>
      <c r="B616" s="9" t="s">
        <v>89</v>
      </c>
      <c r="C616" s="9" t="s">
        <v>90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31</v>
      </c>
      <c r="B617" s="9" t="s">
        <v>89</v>
      </c>
      <c r="C617" s="9" t="s">
        <v>90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32</v>
      </c>
      <c r="B618" s="9" t="s">
        <v>89</v>
      </c>
      <c r="C618" s="9" t="s">
        <v>90</v>
      </c>
      <c r="D618" s="10"/>
      <c r="E618" s="2" t="str">
        <f>"－"</f>
        <v>－</v>
      </c>
      <c r="F618" s="10"/>
      <c r="G618" s="2" t="str">
        <f>"－"</f>
        <v>－</v>
      </c>
      <c r="H618" s="10"/>
      <c r="I618" s="2" t="str">
        <f>"－"</f>
        <v>－</v>
      </c>
      <c r="J618" s="10"/>
      <c r="K618" s="2" t="str">
        <f>"－"</f>
        <v>－</v>
      </c>
    </row>
    <row r="619">
      <c r="A619" s="8" t="s">
        <v>33</v>
      </c>
      <c r="B619" s="9" t="s">
        <v>89</v>
      </c>
      <c r="C619" s="9" t="s">
        <v>90</v>
      </c>
      <c r="D619" s="10"/>
      <c r="E619" s="2" t="str">
        <f>"－"</f>
        <v>－</v>
      </c>
      <c r="F619" s="10"/>
      <c r="G619" s="2" t="str">
        <f>"－"</f>
        <v>－</v>
      </c>
      <c r="H619" s="10"/>
      <c r="I619" s="2" t="str">
        <f>"－"</f>
        <v>－</v>
      </c>
      <c r="J619" s="10"/>
      <c r="K619" s="2" t="str">
        <f>"－"</f>
        <v>－</v>
      </c>
    </row>
    <row r="620">
      <c r="A620" s="8" t="s">
        <v>34</v>
      </c>
      <c r="B620" s="9" t="s">
        <v>89</v>
      </c>
      <c r="C620" s="9" t="s">
        <v>90</v>
      </c>
      <c r="D620" s="10"/>
      <c r="E620" s="2" t="str">
        <f>"－"</f>
        <v>－</v>
      </c>
      <c r="F620" s="10"/>
      <c r="G620" s="2" t="str">
        <f>"－"</f>
        <v>－</v>
      </c>
      <c r="H620" s="10"/>
      <c r="I620" s="2" t="str">
        <f>"－"</f>
        <v>－</v>
      </c>
      <c r="J620" s="10"/>
      <c r="K620" s="2" t="str">
        <f>"－"</f>
        <v>－</v>
      </c>
    </row>
    <row r="621">
      <c r="A621" s="8" t="s">
        <v>35</v>
      </c>
      <c r="B621" s="9" t="s">
        <v>89</v>
      </c>
      <c r="C621" s="9" t="s">
        <v>90</v>
      </c>
      <c r="D621" s="10"/>
      <c r="E621" s="2"/>
      <c r="F621" s="10"/>
      <c r="G621" s="2"/>
      <c r="H621" s="10"/>
      <c r="I621" s="2"/>
      <c r="J621" s="10"/>
      <c r="K621" s="2"/>
    </row>
    <row r="622">
      <c r="A622" s="8" t="s">
        <v>36</v>
      </c>
      <c r="B622" s="9" t="s">
        <v>89</v>
      </c>
      <c r="C622" s="9" t="s">
        <v>90</v>
      </c>
      <c r="D622" s="10"/>
      <c r="E622" s="2"/>
      <c r="F622" s="10"/>
      <c r="G622" s="2"/>
      <c r="H622" s="10"/>
      <c r="I622" s="2"/>
      <c r="J622" s="10"/>
      <c r="K622" s="2"/>
    </row>
    <row r="623">
      <c r="A623" s="8" t="s">
        <v>37</v>
      </c>
      <c r="B623" s="9" t="s">
        <v>89</v>
      </c>
      <c r="C623" s="9" t="s">
        <v>90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38</v>
      </c>
      <c r="B624" s="9" t="s">
        <v>89</v>
      </c>
      <c r="C624" s="9" t="s">
        <v>90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39</v>
      </c>
      <c r="B625" s="9" t="s">
        <v>89</v>
      </c>
      <c r="C625" s="9" t="s">
        <v>90</v>
      </c>
      <c r="D625" s="10"/>
      <c r="E625" s="2" t="str">
        <f>"－"</f>
        <v>－</v>
      </c>
      <c r="F625" s="10"/>
      <c r="G625" s="2" t="str">
        <f>"－"</f>
        <v>－</v>
      </c>
      <c r="H625" s="10"/>
      <c r="I625" s="2" t="str">
        <f>"－"</f>
        <v>－</v>
      </c>
      <c r="J625" s="10"/>
      <c r="K625" s="2" t="str">
        <f>"－"</f>
        <v>－</v>
      </c>
    </row>
    <row r="626">
      <c r="A626" s="8" t="s">
        <v>40</v>
      </c>
      <c r="B626" s="9" t="s">
        <v>89</v>
      </c>
      <c r="C626" s="9" t="s">
        <v>90</v>
      </c>
      <c r="D626" s="10"/>
      <c r="E626" s="2" t="str">
        <f>"－"</f>
        <v>－</v>
      </c>
      <c r="F626" s="10"/>
      <c r="G626" s="2" t="str">
        <f>"－"</f>
        <v>－</v>
      </c>
      <c r="H626" s="10"/>
      <c r="I626" s="2" t="str">
        <f>"－"</f>
        <v>－</v>
      </c>
      <c r="J626" s="10"/>
      <c r="K626" s="2" t="str">
        <f>"－"</f>
        <v>－</v>
      </c>
    </row>
    <row r="627">
      <c r="A627" s="8" t="s">
        <v>41</v>
      </c>
      <c r="B627" s="9" t="s">
        <v>89</v>
      </c>
      <c r="C627" s="9" t="s">
        <v>90</v>
      </c>
      <c r="D627" s="10"/>
      <c r="E627" s="2" t="str">
        <f>"－"</f>
        <v>－</v>
      </c>
      <c r="F627" s="10"/>
      <c r="G627" s="2" t="str">
        <f>"－"</f>
        <v>－</v>
      </c>
      <c r="H627" s="10"/>
      <c r="I627" s="2" t="str">
        <f>"－"</f>
        <v>－</v>
      </c>
      <c r="J627" s="10"/>
      <c r="K627" s="2" t="str">
        <f>"－"</f>
        <v>－</v>
      </c>
    </row>
    <row r="628">
      <c r="A628" s="8" t="s">
        <v>42</v>
      </c>
      <c r="B628" s="9" t="s">
        <v>89</v>
      </c>
      <c r="C628" s="9" t="s">
        <v>90</v>
      </c>
      <c r="D628" s="10"/>
      <c r="E628" s="2"/>
      <c r="F628" s="10"/>
      <c r="G628" s="2"/>
      <c r="H628" s="10"/>
      <c r="I628" s="2"/>
      <c r="J628" s="10"/>
      <c r="K628" s="2"/>
    </row>
    <row r="629">
      <c r="A629" s="8" t="s">
        <v>43</v>
      </c>
      <c r="B629" s="9" t="s">
        <v>89</v>
      </c>
      <c r="C629" s="9" t="s">
        <v>90</v>
      </c>
      <c r="D629" s="10"/>
      <c r="E629" s="2"/>
      <c r="F629" s="10"/>
      <c r="G629" s="2"/>
      <c r="H629" s="10"/>
      <c r="I629" s="2"/>
      <c r="J629" s="10"/>
      <c r="K629" s="2"/>
    </row>
    <row r="630">
      <c r="A630" s="8" t="s">
        <v>44</v>
      </c>
      <c r="B630" s="9" t="s">
        <v>89</v>
      </c>
      <c r="C630" s="9" t="s">
        <v>90</v>
      </c>
      <c r="D630" s="10"/>
      <c r="E630" s="2" t="str">
        <f>"－"</f>
        <v>－</v>
      </c>
      <c r="F630" s="10"/>
      <c r="G630" s="2" t="str">
        <f>"－"</f>
        <v>－</v>
      </c>
      <c r="H630" s="10"/>
      <c r="I630" s="2" t="str">
        <f>"－"</f>
        <v>－</v>
      </c>
      <c r="J630" s="10"/>
      <c r="K630" s="2" t="str">
        <f>"－"</f>
        <v>－</v>
      </c>
    </row>
    <row r="631">
      <c r="A631" s="8" t="s">
        <v>45</v>
      </c>
      <c r="B631" s="9" t="s">
        <v>89</v>
      </c>
      <c r="C631" s="9" t="s">
        <v>90</v>
      </c>
      <c r="D631" s="10"/>
      <c r="E631" s="2" t="str">
        <f>"－"</f>
        <v>－</v>
      </c>
      <c r="F631" s="10"/>
      <c r="G631" s="2" t="str">
        <f>"－"</f>
        <v>－</v>
      </c>
      <c r="H631" s="10"/>
      <c r="I631" s="2" t="str">
        <f>"－"</f>
        <v>－</v>
      </c>
      <c r="J631" s="10"/>
      <c r="K631" s="2" t="str">
        <f>"－"</f>
        <v>－</v>
      </c>
    </row>
    <row r="632">
      <c r="A632" s="8" t="s">
        <v>46</v>
      </c>
      <c r="B632" s="9" t="s">
        <v>89</v>
      </c>
      <c r="C632" s="9" t="s">
        <v>90</v>
      </c>
      <c r="D632" s="10"/>
      <c r="E632" s="2" t="str">
        <f>"－"</f>
        <v>－</v>
      </c>
      <c r="F632" s="10"/>
      <c r="G632" s="2" t="str">
        <f>"－"</f>
        <v>－</v>
      </c>
      <c r="H632" s="10"/>
      <c r="I632" s="2" t="str">
        <f>"－"</f>
        <v>－</v>
      </c>
      <c r="J632" s="10"/>
      <c r="K632" s="2" t="str">
        <f>"－"</f>
        <v>－</v>
      </c>
    </row>
    <row r="633">
      <c r="A633" s="8" t="s">
        <v>47</v>
      </c>
      <c r="B633" s="9" t="s">
        <v>89</v>
      </c>
      <c r="C633" s="9" t="s">
        <v>90</v>
      </c>
      <c r="D633" s="10"/>
      <c r="E633" s="2" t="str">
        <f>"－"</f>
        <v>－</v>
      </c>
      <c r="F633" s="10"/>
      <c r="G633" s="2" t="str">
        <f>"－"</f>
        <v>－</v>
      </c>
      <c r="H633" s="10"/>
      <c r="I633" s="2" t="str">
        <f>"－"</f>
        <v>－</v>
      </c>
      <c r="J633" s="10"/>
      <c r="K633" s="2" t="str">
        <f>"－"</f>
        <v>－</v>
      </c>
    </row>
    <row r="634">
      <c r="A634" s="8" t="s">
        <v>48</v>
      </c>
      <c r="B634" s="9" t="s">
        <v>89</v>
      </c>
      <c r="C634" s="9" t="s">
        <v>90</v>
      </c>
      <c r="D634" s="10"/>
      <c r="E634" s="2" t="str">
        <f>"－"</f>
        <v>－</v>
      </c>
      <c r="F634" s="10"/>
      <c r="G634" s="2" t="str">
        <f>"－"</f>
        <v>－</v>
      </c>
      <c r="H634" s="10"/>
      <c r="I634" s="2" t="str">
        <f>"－"</f>
        <v>－</v>
      </c>
      <c r="J634" s="10"/>
      <c r="K634" s="2" t="str">
        <f>"－"</f>
        <v>－</v>
      </c>
    </row>
    <row r="635">
      <c r="A635" s="8" t="s">
        <v>49</v>
      </c>
      <c r="B635" s="9" t="s">
        <v>89</v>
      </c>
      <c r="C635" s="9" t="s">
        <v>90</v>
      </c>
      <c r="D635" s="10"/>
      <c r="E635" s="2"/>
      <c r="F635" s="10"/>
      <c r="G635" s="2"/>
      <c r="H635" s="10"/>
      <c r="I635" s="2"/>
      <c r="J635" s="10"/>
      <c r="K635" s="2"/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