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<sst xmlns="http://schemas.openxmlformats.org/spreadsheetml/2006/main" count="662" uniqueCount="70">
  <si>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</si>
  <si>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</si>
  <si>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</si>
  <si>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</si>
  <si>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</si>
  <si>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</si>
  <si>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</si>
  <si>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</si>
  <si>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</si>
  <si>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</si>
  <si>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</si>
  <si>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</si>
  <si>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</si>
  <si>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</si>
  <si>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</si>
  <si>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</si>
  <si>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</si>
  <si>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</si>
  <si>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</si>
  <si>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</si>
  <si>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</si>
  <si>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</si>
  <si>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</si>
  <si>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</si>
  <si>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</si>
  <si>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</si>
  <si>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2.1</t>
  </si>
  <si>
    <t>日経225オプション</t>
  </si>
  <si>
    <t>Nikkei 225 Options</t>
  </si>
  <si>
    <t>2</t>
  </si>
  <si>
    <t>3</t>
  </si>
  <si>
    <t>4</t>
  </si>
  <si>
    <t>5</t>
  </si>
  <si>
    <t>●</t>
  </si>
  <si>
    <t>6</t>
  </si>
  <si>
    <t>7</t>
  </si>
  <si>
    <t>8</t>
  </si>
  <si>
    <t>◎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</si>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</sst>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83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39588</f>
        <v>39588.0</v>
      </c>
      <c r="F10" s="23"/>
      <c r="G10" s="25" t="n">
        <f>36025</f>
        <v>36025.0</v>
      </c>
      <c r="H10" s="23"/>
      <c r="I10" s="26" t="n">
        <f>75613</f>
        <v>75613.0</v>
      </c>
      <c r="J10" s="24"/>
      <c r="K10" s="25" t="n">
        <f>10238044870</f>
        <v>1.023804487E10</v>
      </c>
      <c r="L10" s="23"/>
      <c r="M10" s="25" t="n">
        <f>6553030050</f>
        <v>6.55303005E9</v>
      </c>
      <c r="N10" s="23"/>
      <c r="O10" s="26" t="n">
        <f>16791074920</f>
        <v>1.679107492E10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8658</f>
        <v>8658.0</v>
      </c>
      <c r="U10" s="23"/>
      <c r="V10" s="25" t="n">
        <f>5192</f>
        <v>5192.0</v>
      </c>
      <c r="W10" s="23"/>
      <c r="X10" s="26" t="n">
        <f>13850</f>
        <v>13850.0</v>
      </c>
      <c r="Y10" s="24"/>
      <c r="Z10" s="25" t="n">
        <f>775046</f>
        <v>775046.0</v>
      </c>
      <c r="AA10" s="23"/>
      <c r="AB10" s="25" t="n">
        <f>500610</f>
        <v>500610.0</v>
      </c>
      <c r="AC10" s="23"/>
      <c r="AD10" s="26" t="n">
        <f>1275656</f>
        <v>1275656.0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51684</f>
        <v>51684.0</v>
      </c>
      <c r="F11" s="23"/>
      <c r="G11" s="25" t="n">
        <f>47075</f>
        <v>47075.0</v>
      </c>
      <c r="H11" s="23"/>
      <c r="I11" s="26" t="n">
        <f>98759</f>
        <v>98759.0</v>
      </c>
      <c r="J11" s="24"/>
      <c r="K11" s="25" t="n">
        <f>9727227700</f>
        <v>9.7272277E9</v>
      </c>
      <c r="L11" s="23"/>
      <c r="M11" s="25" t="n">
        <f>13278645405</f>
        <v>1.3278645405E10</v>
      </c>
      <c r="N11" s="23"/>
      <c r="O11" s="26" t="n">
        <f>23005873105</f>
        <v>2.3005873105E10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13463</f>
        <v>13463.0</v>
      </c>
      <c r="U11" s="23"/>
      <c r="V11" s="25" t="n">
        <f>12442</f>
        <v>12442.0</v>
      </c>
      <c r="W11" s="23"/>
      <c r="X11" s="26" t="n">
        <f>25905</f>
        <v>25905.0</v>
      </c>
      <c r="Y11" s="24"/>
      <c r="Z11" s="25" t="n">
        <f>787539</f>
        <v>787539.0</v>
      </c>
      <c r="AA11" s="23"/>
      <c r="AB11" s="25" t="n">
        <f>513311</f>
        <v>513311.0</v>
      </c>
      <c r="AC11" s="23"/>
      <c r="AD11" s="26" t="n">
        <f>1300850</f>
        <v>1300850.0</v>
      </c>
    </row>
    <row r="12">
      <c r="A12" s="30" t="s">
        <v>30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31</v>
      </c>
      <c r="B13" s="22" t="s">
        <v>27</v>
      </c>
      <c r="C13" s="22" t="s">
        <v>28</v>
      </c>
      <c r="D13" s="24"/>
      <c r="E13" s="25"/>
      <c r="F13" s="23"/>
      <c r="G13" s="25"/>
      <c r="H13" s="23"/>
      <c r="I13" s="26"/>
      <c r="J13" s="24"/>
      <c r="K13" s="25"/>
      <c r="L13" s="23"/>
      <c r="M13" s="25"/>
      <c r="N13" s="23"/>
      <c r="O13" s="26"/>
      <c r="P13" s="27"/>
      <c r="Q13" s="28"/>
      <c r="R13" s="29"/>
      <c r="S13" s="24"/>
      <c r="T13" s="25"/>
      <c r="U13" s="23"/>
      <c r="V13" s="25"/>
      <c r="W13" s="23"/>
      <c r="X13" s="26"/>
      <c r="Y13" s="24"/>
      <c r="Z13" s="25"/>
      <c r="AA13" s="23"/>
      <c r="AB13" s="25"/>
      <c r="AC13" s="23"/>
      <c r="AD13" s="26"/>
    </row>
    <row r="14">
      <c r="A14" s="30" t="s">
        <v>32</v>
      </c>
      <c r="B14" s="22" t="s">
        <v>27</v>
      </c>
      <c r="C14" s="22" t="s">
        <v>28</v>
      </c>
      <c r="D14" s="24"/>
      <c r="E14" s="25" t="n">
        <f>42971</f>
        <v>42971.0</v>
      </c>
      <c r="F14" s="23"/>
      <c r="G14" s="25" t="n">
        <f>35678</f>
        <v>35678.0</v>
      </c>
      <c r="H14" s="23"/>
      <c r="I14" s="26" t="n">
        <f>78649</f>
        <v>78649.0</v>
      </c>
      <c r="J14" s="24" t="s">
        <v>33</v>
      </c>
      <c r="K14" s="25" t="n">
        <f>4774919170</f>
        <v>4.77491917E9</v>
      </c>
      <c r="L14" s="23" t="s">
        <v>33</v>
      </c>
      <c r="M14" s="25" t="n">
        <f>5150554220</f>
        <v>5.15055422E9</v>
      </c>
      <c r="N14" s="23" t="s">
        <v>33</v>
      </c>
      <c r="O14" s="26" t="n">
        <f>9925473390</f>
        <v>9.92547339E9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9649</f>
        <v>9649.0</v>
      </c>
      <c r="U14" s="23" t="s">
        <v>33</v>
      </c>
      <c r="V14" s="25" t="n">
        <f>5020</f>
        <v>5020.0</v>
      </c>
      <c r="W14" s="23"/>
      <c r="X14" s="26" t="n">
        <f>14669</f>
        <v>14669.0</v>
      </c>
      <c r="Y14" s="24"/>
      <c r="Z14" s="25" t="n">
        <f>792575</f>
        <v>792575.0</v>
      </c>
      <c r="AA14" s="23"/>
      <c r="AB14" s="25" t="n">
        <f>517534</f>
        <v>517534.0</v>
      </c>
      <c r="AC14" s="23"/>
      <c r="AD14" s="26" t="n">
        <f>1310109</f>
        <v>1310109.0</v>
      </c>
    </row>
    <row r="15">
      <c r="A15" s="30" t="s">
        <v>34</v>
      </c>
      <c r="B15" s="22" t="s">
        <v>27</v>
      </c>
      <c r="C15" s="22" t="s">
        <v>28</v>
      </c>
      <c r="D15" s="24"/>
      <c r="E15" s="25" t="n">
        <f>45105</f>
        <v>45105.0</v>
      </c>
      <c r="F15" s="23"/>
      <c r="G15" s="25" t="n">
        <f>30360</f>
        <v>30360.0</v>
      </c>
      <c r="H15" s="23"/>
      <c r="I15" s="26" t="n">
        <f>75465</f>
        <v>75465.0</v>
      </c>
      <c r="J15" s="24"/>
      <c r="K15" s="25" t="n">
        <f>8753006860</f>
        <v>8.75300686E9</v>
      </c>
      <c r="L15" s="23"/>
      <c r="M15" s="25" t="n">
        <f>7666454240</f>
        <v>7.66645424E9</v>
      </c>
      <c r="N15" s="23"/>
      <c r="O15" s="26" t="n">
        <f>16419461100</f>
        <v>1.64194611E10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10104</f>
        <v>10104.0</v>
      </c>
      <c r="U15" s="23"/>
      <c r="V15" s="25" t="n">
        <f>5922</f>
        <v>5922.0</v>
      </c>
      <c r="W15" s="23"/>
      <c r="X15" s="26" t="n">
        <f>16026</f>
        <v>16026.0</v>
      </c>
      <c r="Y15" s="24"/>
      <c r="Z15" s="25" t="n">
        <f>801557</f>
        <v>801557.0</v>
      </c>
      <c r="AA15" s="23"/>
      <c r="AB15" s="25" t="n">
        <f>516787</f>
        <v>516787.0</v>
      </c>
      <c r="AC15" s="23"/>
      <c r="AD15" s="26" t="n">
        <f>1318344</f>
        <v>1318344.0</v>
      </c>
    </row>
    <row r="16">
      <c r="A16" s="30" t="s">
        <v>35</v>
      </c>
      <c r="B16" s="22" t="s">
        <v>27</v>
      </c>
      <c r="C16" s="22" t="s">
        <v>28</v>
      </c>
      <c r="D16" s="24"/>
      <c r="E16" s="25" t="n">
        <f>57139</f>
        <v>57139.0</v>
      </c>
      <c r="F16" s="23"/>
      <c r="G16" s="25" t="n">
        <f>42502</f>
        <v>42502.0</v>
      </c>
      <c r="H16" s="23"/>
      <c r="I16" s="26" t="n">
        <f>99641</f>
        <v>99641.0</v>
      </c>
      <c r="J16" s="24"/>
      <c r="K16" s="25" t="n">
        <f>14863106910</f>
        <v>1.486310691E10</v>
      </c>
      <c r="L16" s="23"/>
      <c r="M16" s="25" t="n">
        <f>10848307900</f>
        <v>1.08483079E10</v>
      </c>
      <c r="N16" s="23"/>
      <c r="O16" s="26" t="n">
        <f>25711414810</f>
        <v>2.571141481E10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9656</f>
        <v>9656.0</v>
      </c>
      <c r="U16" s="23"/>
      <c r="V16" s="25" t="n">
        <f>10934</f>
        <v>10934.0</v>
      </c>
      <c r="W16" s="23"/>
      <c r="X16" s="26" t="n">
        <f>20590</f>
        <v>20590.0</v>
      </c>
      <c r="Y16" s="24"/>
      <c r="Z16" s="25" t="n">
        <f>813608</f>
        <v>813608.0</v>
      </c>
      <c r="AA16" s="23"/>
      <c r="AB16" s="25" t="n">
        <f>519106</f>
        <v>519106.0</v>
      </c>
      <c r="AC16" s="23"/>
      <c r="AD16" s="26" t="n">
        <f>1332714</f>
        <v>1332714.0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62085</f>
        <v>62085.0</v>
      </c>
      <c r="F17" s="23" t="s">
        <v>37</v>
      </c>
      <c r="G17" s="25" t="n">
        <f>83257</f>
        <v>83257.0</v>
      </c>
      <c r="H17" s="23" t="s">
        <v>37</v>
      </c>
      <c r="I17" s="26" t="n">
        <f>145342</f>
        <v>145342.0</v>
      </c>
      <c r="J17" s="24"/>
      <c r="K17" s="25" t="n">
        <f>12990974950</f>
        <v>1.299097495E10</v>
      </c>
      <c r="L17" s="23"/>
      <c r="M17" s="25" t="n">
        <f>16993972310</f>
        <v>1.699397231E10</v>
      </c>
      <c r="N17" s="23"/>
      <c r="O17" s="26" t="n">
        <f>29984947260</f>
        <v>2.998494726E10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14118</f>
        <v>14118.0</v>
      </c>
      <c r="U17" s="23" t="s">
        <v>37</v>
      </c>
      <c r="V17" s="25" t="n">
        <f>18056</f>
        <v>18056.0</v>
      </c>
      <c r="W17" s="23" t="s">
        <v>37</v>
      </c>
      <c r="X17" s="26" t="n">
        <f>32174</f>
        <v>32174.0</v>
      </c>
      <c r="Y17" s="24"/>
      <c r="Z17" s="25" t="n">
        <f>826483</f>
        <v>826483.0</v>
      </c>
      <c r="AA17" s="23" t="s">
        <v>37</v>
      </c>
      <c r="AB17" s="25" t="n">
        <f>531147</f>
        <v>531147.0</v>
      </c>
      <c r="AC17" s="23"/>
      <c r="AD17" s="26" t="n">
        <f>1357630</f>
        <v>1357630.0</v>
      </c>
    </row>
    <row r="18">
      <c r="A18" s="30" t="s">
        <v>38</v>
      </c>
      <c r="B18" s="22" t="s">
        <v>27</v>
      </c>
      <c r="C18" s="22" t="s">
        <v>28</v>
      </c>
      <c r="D18" s="24"/>
      <c r="E18" s="25" t="n">
        <f>34317</f>
        <v>34317.0</v>
      </c>
      <c r="F18" s="23"/>
      <c r="G18" s="25" t="n">
        <f>29719</f>
        <v>29719.0</v>
      </c>
      <c r="H18" s="23"/>
      <c r="I18" s="26" t="n">
        <f>64036</f>
        <v>64036.0</v>
      </c>
      <c r="J18" s="24"/>
      <c r="K18" s="25" t="n">
        <f>8550760280</f>
        <v>8.55076028E9</v>
      </c>
      <c r="L18" s="23"/>
      <c r="M18" s="25" t="n">
        <f>11716966385</f>
        <v>1.1716966385E10</v>
      </c>
      <c r="N18" s="23"/>
      <c r="O18" s="26" t="n">
        <f>20267726665</f>
        <v>2.0267726665E10</v>
      </c>
      <c r="P18" s="27" t="n">
        <f>28</f>
        <v>28.0</v>
      </c>
      <c r="Q18" s="28" t="n">
        <f>42667</f>
        <v>42667.0</v>
      </c>
      <c r="R18" s="29" t="n">
        <f>42695</f>
        <v>42695.0</v>
      </c>
      <c r="S18" s="24" t="s">
        <v>33</v>
      </c>
      <c r="T18" s="25" t="n">
        <f>4690</f>
        <v>4690.0</v>
      </c>
      <c r="U18" s="23"/>
      <c r="V18" s="25" t="n">
        <f>7813</f>
        <v>7813.0</v>
      </c>
      <c r="W18" s="23"/>
      <c r="X18" s="26" t="n">
        <f>12503</f>
        <v>12503.0</v>
      </c>
      <c r="Y18" s="24" t="s">
        <v>33</v>
      </c>
      <c r="Z18" s="25" t="n">
        <f>697880</f>
        <v>697880.0</v>
      </c>
      <c r="AA18" s="23" t="s">
        <v>33</v>
      </c>
      <c r="AB18" s="25" t="n">
        <f>456196</f>
        <v>456196.0</v>
      </c>
      <c r="AC18" s="23" t="s">
        <v>33</v>
      </c>
      <c r="AD18" s="26" t="n">
        <f>1154076</f>
        <v>1154076.0</v>
      </c>
    </row>
    <row r="19">
      <c r="A19" s="30" t="s">
        <v>39</v>
      </c>
      <c r="B19" s="22" t="s">
        <v>27</v>
      </c>
      <c r="C19" s="22" t="s">
        <v>28</v>
      </c>
      <c r="D19" s="24"/>
      <c r="E19" s="25"/>
      <c r="F19" s="23"/>
      <c r="G19" s="25"/>
      <c r="H19" s="23"/>
      <c r="I19" s="26"/>
      <c r="J19" s="24"/>
      <c r="K19" s="25"/>
      <c r="L19" s="23"/>
      <c r="M19" s="25"/>
      <c r="N19" s="23"/>
      <c r="O19" s="26"/>
      <c r="P19" s="27"/>
      <c r="Q19" s="28"/>
      <c r="R19" s="29"/>
      <c r="S19" s="24"/>
      <c r="T19" s="25"/>
      <c r="U19" s="23"/>
      <c r="V19" s="25"/>
      <c r="W19" s="23"/>
      <c r="X19" s="26"/>
      <c r="Y19" s="24"/>
      <c r="Z19" s="25"/>
      <c r="AA19" s="23"/>
      <c r="AB19" s="25"/>
      <c r="AC19" s="23"/>
      <c r="AD19" s="26"/>
    </row>
    <row r="20">
      <c r="A20" s="30" t="s">
        <v>40</v>
      </c>
      <c r="B20" s="22" t="s">
        <v>27</v>
      </c>
      <c r="C20" s="22" t="s">
        <v>28</v>
      </c>
      <c r="D20" s="24"/>
      <c r="E20" s="25"/>
      <c r="F20" s="23"/>
      <c r="G20" s="25"/>
      <c r="H20" s="23"/>
      <c r="I20" s="26"/>
      <c r="J20" s="24"/>
      <c r="K20" s="25"/>
      <c r="L20" s="23"/>
      <c r="M20" s="25"/>
      <c r="N20" s="23"/>
      <c r="O20" s="26"/>
      <c r="P20" s="27"/>
      <c r="Q20" s="28"/>
      <c r="R20" s="29"/>
      <c r="S20" s="24"/>
      <c r="T20" s="25"/>
      <c r="U20" s="23"/>
      <c r="V20" s="25"/>
      <c r="W20" s="23"/>
      <c r="X20" s="26"/>
      <c r="Y20" s="24"/>
      <c r="Z20" s="25"/>
      <c r="AA20" s="23"/>
      <c r="AB20" s="25"/>
      <c r="AC20" s="23"/>
      <c r="AD20" s="26"/>
    </row>
    <row r="21">
      <c r="A21" s="30" t="s">
        <v>41</v>
      </c>
      <c r="B21" s="22" t="s">
        <v>27</v>
      </c>
      <c r="C21" s="22" t="s">
        <v>28</v>
      </c>
      <c r="D21" s="24"/>
      <c r="E21" s="25"/>
      <c r="F21" s="23"/>
      <c r="G21" s="25"/>
      <c r="H21" s="23"/>
      <c r="I21" s="26"/>
      <c r="J21" s="24"/>
      <c r="K21" s="25"/>
      <c r="L21" s="23"/>
      <c r="M21" s="25"/>
      <c r="N21" s="23"/>
      <c r="O21" s="26"/>
      <c r="P21" s="27"/>
      <c r="Q21" s="28"/>
      <c r="R21" s="29"/>
      <c r="S21" s="24"/>
      <c r="T21" s="25"/>
      <c r="U21" s="23"/>
      <c r="V21" s="25"/>
      <c r="W21" s="23"/>
      <c r="X21" s="26"/>
      <c r="Y21" s="24"/>
      <c r="Z21" s="25"/>
      <c r="AA21" s="23"/>
      <c r="AB21" s="25"/>
      <c r="AC21" s="23"/>
      <c r="AD21" s="26"/>
    </row>
    <row r="22">
      <c r="A22" s="30" t="s">
        <v>42</v>
      </c>
      <c r="B22" s="22" t="s">
        <v>27</v>
      </c>
      <c r="C22" s="22" t="s">
        <v>28</v>
      </c>
      <c r="D22" s="24" t="s">
        <v>37</v>
      </c>
      <c r="E22" s="25" t="n">
        <f>66929</f>
        <v>66929.0</v>
      </c>
      <c r="F22" s="23"/>
      <c r="G22" s="25" t="n">
        <f>48818</f>
        <v>48818.0</v>
      </c>
      <c r="H22" s="23"/>
      <c r="I22" s="26" t="n">
        <f>115747</f>
        <v>115747.0</v>
      </c>
      <c r="J22" s="24"/>
      <c r="K22" s="25" t="n">
        <f>17686219350</f>
        <v>1.768621935E10</v>
      </c>
      <c r="L22" s="23" t="s">
        <v>37</v>
      </c>
      <c r="M22" s="25" t="n">
        <f>28408515390</f>
        <v>2.840851539E10</v>
      </c>
      <c r="N22" s="23"/>
      <c r="O22" s="26" t="n">
        <f>46094734740</f>
        <v>4.609473474E10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 t="s">
        <v>37</v>
      </c>
      <c r="T22" s="25" t="n">
        <f>19043</f>
        <v>19043.0</v>
      </c>
      <c r="U22" s="23"/>
      <c r="V22" s="25" t="n">
        <f>9892</f>
        <v>9892.0</v>
      </c>
      <c r="W22" s="23"/>
      <c r="X22" s="26" t="n">
        <f>28935</f>
        <v>28935.0</v>
      </c>
      <c r="Y22" s="24"/>
      <c r="Z22" s="25" t="n">
        <f>716715</f>
        <v>716715.0</v>
      </c>
      <c r="AA22" s="23"/>
      <c r="AB22" s="25" t="n">
        <f>469461</f>
        <v>469461.0</v>
      </c>
      <c r="AC22" s="23"/>
      <c r="AD22" s="26" t="n">
        <f>1186176</f>
        <v>1186176.0</v>
      </c>
    </row>
    <row r="23">
      <c r="A23" s="30" t="s">
        <v>43</v>
      </c>
      <c r="B23" s="22" t="s">
        <v>27</v>
      </c>
      <c r="C23" s="22" t="s">
        <v>28</v>
      </c>
      <c r="D23" s="24"/>
      <c r="E23" s="25" t="n">
        <f>55347</f>
        <v>55347.0</v>
      </c>
      <c r="F23" s="23"/>
      <c r="G23" s="25" t="n">
        <f>35307</f>
        <v>35307.0</v>
      </c>
      <c r="H23" s="23"/>
      <c r="I23" s="26" t="n">
        <f>90654</f>
        <v>90654.0</v>
      </c>
      <c r="J23" s="24"/>
      <c r="K23" s="25" t="n">
        <f>19024521829</f>
        <v>1.9024521829E10</v>
      </c>
      <c r="L23" s="23"/>
      <c r="M23" s="25" t="n">
        <f>15244239379</f>
        <v>1.5244239379E10</v>
      </c>
      <c r="N23" s="23"/>
      <c r="O23" s="26" t="n">
        <f>34268761208</f>
        <v>3.4268761208E10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/>
      <c r="T23" s="25" t="n">
        <f>18207</f>
        <v>18207.0</v>
      </c>
      <c r="U23" s="23"/>
      <c r="V23" s="25" t="n">
        <f>9541</f>
        <v>9541.0</v>
      </c>
      <c r="W23" s="23"/>
      <c r="X23" s="26" t="n">
        <f>27748</f>
        <v>27748.0</v>
      </c>
      <c r="Y23" s="24"/>
      <c r="Z23" s="25" t="n">
        <f>735963</f>
        <v>735963.0</v>
      </c>
      <c r="AA23" s="23"/>
      <c r="AB23" s="25" t="n">
        <f>474979</f>
        <v>474979.0</v>
      </c>
      <c r="AC23" s="23"/>
      <c r="AD23" s="26" t="n">
        <f>1210942</f>
        <v>1210942.0</v>
      </c>
    </row>
    <row r="24">
      <c r="A24" s="30" t="s">
        <v>44</v>
      </c>
      <c r="B24" s="22" t="s">
        <v>27</v>
      </c>
      <c r="C24" s="22" t="s">
        <v>28</v>
      </c>
      <c r="D24" s="24"/>
      <c r="E24" s="25" t="n">
        <f>44512</f>
        <v>44512.0</v>
      </c>
      <c r="F24" s="23"/>
      <c r="G24" s="25" t="n">
        <f>25488</f>
        <v>25488.0</v>
      </c>
      <c r="H24" s="23"/>
      <c r="I24" s="26" t="n">
        <f>70000</f>
        <v>70000.0</v>
      </c>
      <c r="J24" s="24"/>
      <c r="K24" s="25" t="n">
        <f>14206162640</f>
        <v>1.420616264E10</v>
      </c>
      <c r="L24" s="23"/>
      <c r="M24" s="25" t="n">
        <f>12081527437</f>
        <v>1.2081527437E10</v>
      </c>
      <c r="N24" s="23"/>
      <c r="O24" s="26" t="n">
        <f>26287690077</f>
        <v>2.6287690077E10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8845</f>
        <v>8845.0</v>
      </c>
      <c r="U24" s="23"/>
      <c r="V24" s="25" t="n">
        <f>5315</f>
        <v>5315.0</v>
      </c>
      <c r="W24" s="23"/>
      <c r="X24" s="26" t="n">
        <f>14160</f>
        <v>14160.0</v>
      </c>
      <c r="Y24" s="24"/>
      <c r="Z24" s="25" t="n">
        <f>746085</f>
        <v>746085.0</v>
      </c>
      <c r="AA24" s="23"/>
      <c r="AB24" s="25" t="n">
        <f>480360</f>
        <v>480360.0</v>
      </c>
      <c r="AC24" s="23"/>
      <c r="AD24" s="26" t="n">
        <f>1226445</f>
        <v>1226445.0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56511</f>
        <v>56511.0</v>
      </c>
      <c r="F25" s="23"/>
      <c r="G25" s="25" t="n">
        <f>48619</f>
        <v>48619.0</v>
      </c>
      <c r="H25" s="23"/>
      <c r="I25" s="26" t="n">
        <f>105130</f>
        <v>105130.0</v>
      </c>
      <c r="J25" s="24"/>
      <c r="K25" s="25" t="n">
        <f>16795145970</f>
        <v>1.679514597E10</v>
      </c>
      <c r="L25" s="23"/>
      <c r="M25" s="25" t="n">
        <f>22117956270</f>
        <v>2.211795627E10</v>
      </c>
      <c r="N25" s="23"/>
      <c r="O25" s="26" t="n">
        <f>38913102240</f>
        <v>3.891310224E10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15626</f>
        <v>15626.0</v>
      </c>
      <c r="U25" s="23"/>
      <c r="V25" s="25" t="n">
        <f>11474</f>
        <v>11474.0</v>
      </c>
      <c r="W25" s="23"/>
      <c r="X25" s="26" t="n">
        <f>27100</f>
        <v>27100.0</v>
      </c>
      <c r="Y25" s="24"/>
      <c r="Z25" s="25" t="n">
        <f>754854</f>
        <v>754854.0</v>
      </c>
      <c r="AA25" s="23"/>
      <c r="AB25" s="25" t="n">
        <f>487221</f>
        <v>487221.0</v>
      </c>
      <c r="AC25" s="23"/>
      <c r="AD25" s="26" t="n">
        <f>1242075</f>
        <v>1242075.0</v>
      </c>
    </row>
    <row r="26">
      <c r="A26" s="30" t="s">
        <v>46</v>
      </c>
      <c r="B26" s="22" t="s">
        <v>27</v>
      </c>
      <c r="C26" s="22" t="s">
        <v>28</v>
      </c>
      <c r="D26" s="24"/>
      <c r="E26" s="25"/>
      <c r="F26" s="23"/>
      <c r="G26" s="25"/>
      <c r="H26" s="23"/>
      <c r="I26" s="26"/>
      <c r="J26" s="24"/>
      <c r="K26" s="25"/>
      <c r="L26" s="23"/>
      <c r="M26" s="25"/>
      <c r="N26" s="23"/>
      <c r="O26" s="26"/>
      <c r="P26" s="27"/>
      <c r="Q26" s="28"/>
      <c r="R26" s="29"/>
      <c r="S26" s="24"/>
      <c r="T26" s="25"/>
      <c r="U26" s="23"/>
      <c r="V26" s="25"/>
      <c r="W26" s="23"/>
      <c r="X26" s="26"/>
      <c r="Y26" s="24"/>
      <c r="Z26" s="25"/>
      <c r="AA26" s="23"/>
      <c r="AB26" s="25"/>
      <c r="AC26" s="23"/>
      <c r="AD26" s="26"/>
    </row>
    <row r="27">
      <c r="A27" s="30" t="s">
        <v>47</v>
      </c>
      <c r="B27" s="22" t="s">
        <v>27</v>
      </c>
      <c r="C27" s="22" t="s">
        <v>28</v>
      </c>
      <c r="D27" s="24"/>
      <c r="E27" s="25"/>
      <c r="F27" s="23"/>
      <c r="G27" s="25"/>
      <c r="H27" s="23"/>
      <c r="I27" s="26"/>
      <c r="J27" s="24"/>
      <c r="K27" s="25"/>
      <c r="L27" s="23"/>
      <c r="M27" s="25"/>
      <c r="N27" s="23"/>
      <c r="O27" s="26"/>
      <c r="P27" s="27"/>
      <c r="Q27" s="28"/>
      <c r="R27" s="29"/>
      <c r="S27" s="24"/>
      <c r="T27" s="25"/>
      <c r="U27" s="23"/>
      <c r="V27" s="25"/>
      <c r="W27" s="23"/>
      <c r="X27" s="26"/>
      <c r="Y27" s="24"/>
      <c r="Z27" s="25"/>
      <c r="AA27" s="23"/>
      <c r="AB27" s="25"/>
      <c r="AC27" s="23"/>
      <c r="AD27" s="26"/>
    </row>
    <row r="28">
      <c r="A28" s="30" t="s">
        <v>48</v>
      </c>
      <c r="B28" s="22" t="s">
        <v>27</v>
      </c>
      <c r="C28" s="22" t="s">
        <v>28</v>
      </c>
      <c r="D28" s="24"/>
      <c r="E28" s="25" t="n">
        <f>40517</f>
        <v>40517.0</v>
      </c>
      <c r="F28" s="23"/>
      <c r="G28" s="25" t="n">
        <f>34360</f>
        <v>34360.0</v>
      </c>
      <c r="H28" s="23"/>
      <c r="I28" s="26" t="n">
        <f>74877</f>
        <v>74877.0</v>
      </c>
      <c r="J28" s="24"/>
      <c r="K28" s="25" t="n">
        <f>13627748440</f>
        <v>1.362774844E10</v>
      </c>
      <c r="L28" s="23"/>
      <c r="M28" s="25" t="n">
        <f>17305715856</f>
        <v>1.7305715856E10</v>
      </c>
      <c r="N28" s="23"/>
      <c r="O28" s="26" t="n">
        <f>30933464296</f>
        <v>3.0933464296E10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9070</f>
        <v>9070.0</v>
      </c>
      <c r="U28" s="23"/>
      <c r="V28" s="25" t="n">
        <f>10837</f>
        <v>10837.0</v>
      </c>
      <c r="W28" s="23"/>
      <c r="X28" s="26" t="n">
        <f>19907</f>
        <v>19907.0</v>
      </c>
      <c r="Y28" s="24"/>
      <c r="Z28" s="25" t="n">
        <f>765175</f>
        <v>765175.0</v>
      </c>
      <c r="AA28" s="23"/>
      <c r="AB28" s="25" t="n">
        <f>493687</f>
        <v>493687.0</v>
      </c>
      <c r="AC28" s="23"/>
      <c r="AD28" s="26" t="n">
        <f>1258862</f>
        <v>1258862.0</v>
      </c>
    </row>
    <row r="29">
      <c r="A29" s="30" t="s">
        <v>49</v>
      </c>
      <c r="B29" s="22" t="s">
        <v>27</v>
      </c>
      <c r="C29" s="22" t="s">
        <v>28</v>
      </c>
      <c r="D29" s="24"/>
      <c r="E29" s="25" t="n">
        <f>31749</f>
        <v>31749.0</v>
      </c>
      <c r="F29" s="23"/>
      <c r="G29" s="25" t="n">
        <f>29306</f>
        <v>29306.0</v>
      </c>
      <c r="H29" s="23"/>
      <c r="I29" s="26" t="n">
        <f>61055</f>
        <v>61055.0</v>
      </c>
      <c r="J29" s="24"/>
      <c r="K29" s="25" t="n">
        <f>13370430730</f>
        <v>1.337043073E10</v>
      </c>
      <c r="L29" s="23"/>
      <c r="M29" s="25" t="n">
        <f>13034788053</f>
        <v>1.3034788053E10</v>
      </c>
      <c r="N29" s="23"/>
      <c r="O29" s="26" t="n">
        <f>26405218783</f>
        <v>2.6405218783E10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4"/>
      <c r="T29" s="25" t="n">
        <f>6996</f>
        <v>6996.0</v>
      </c>
      <c r="U29" s="23"/>
      <c r="V29" s="25" t="n">
        <f>6503</f>
        <v>6503.0</v>
      </c>
      <c r="W29" s="23"/>
      <c r="X29" s="26" t="n">
        <f>13499</f>
        <v>13499.0</v>
      </c>
      <c r="Y29" s="24"/>
      <c r="Z29" s="25" t="n">
        <f>772259</f>
        <v>772259.0</v>
      </c>
      <c r="AA29" s="23"/>
      <c r="AB29" s="25" t="n">
        <f>497647</f>
        <v>497647.0</v>
      </c>
      <c r="AC29" s="23"/>
      <c r="AD29" s="26" t="n">
        <f>1269906</f>
        <v>1269906.0</v>
      </c>
    </row>
    <row r="30">
      <c r="A30" s="30" t="s">
        <v>50</v>
      </c>
      <c r="B30" s="22" t="s">
        <v>27</v>
      </c>
      <c r="C30" s="22" t="s">
        <v>28</v>
      </c>
      <c r="D30" s="24" t="s">
        <v>33</v>
      </c>
      <c r="E30" s="25" t="n">
        <f>29190</f>
        <v>29190.0</v>
      </c>
      <c r="F30" s="23" t="s">
        <v>33</v>
      </c>
      <c r="G30" s="25" t="n">
        <f>19413</f>
        <v>19413.0</v>
      </c>
      <c r="H30" s="23" t="s">
        <v>33</v>
      </c>
      <c r="I30" s="26" t="n">
        <f>48603</f>
        <v>48603.0</v>
      </c>
      <c r="J30" s="24"/>
      <c r="K30" s="25" t="n">
        <f>9271008585</f>
        <v>9.271008585E9</v>
      </c>
      <c r="L30" s="23"/>
      <c r="M30" s="25" t="n">
        <f>12242708010</f>
        <v>1.224270801E10</v>
      </c>
      <c r="N30" s="23"/>
      <c r="O30" s="26" t="n">
        <f>21513716595</f>
        <v>2.1513716595E10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9114</f>
        <v>9114.0</v>
      </c>
      <c r="U30" s="23"/>
      <c r="V30" s="25" t="n">
        <f>5165</f>
        <v>5165.0</v>
      </c>
      <c r="W30" s="23"/>
      <c r="X30" s="26" t="n">
        <f>14279</f>
        <v>14279.0</v>
      </c>
      <c r="Y30" s="24"/>
      <c r="Z30" s="25" t="n">
        <f>781631</f>
        <v>781631.0</v>
      </c>
      <c r="AA30" s="23"/>
      <c r="AB30" s="25" t="n">
        <f>499954</f>
        <v>499954.0</v>
      </c>
      <c r="AC30" s="23"/>
      <c r="AD30" s="26" t="n">
        <f>1281585</f>
        <v>1281585.0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52508</f>
        <v>52508.0</v>
      </c>
      <c r="F31" s="23"/>
      <c r="G31" s="25" t="n">
        <f>46503</f>
        <v>46503.0</v>
      </c>
      <c r="H31" s="23"/>
      <c r="I31" s="26" t="n">
        <f>99011</f>
        <v>99011.0</v>
      </c>
      <c r="J31" s="24"/>
      <c r="K31" s="25" t="n">
        <f>21900928090</f>
        <v>2.190092809E10</v>
      </c>
      <c r="L31" s="23"/>
      <c r="M31" s="25" t="n">
        <f>27367366370</f>
        <v>2.736736637E10</v>
      </c>
      <c r="N31" s="23" t="s">
        <v>37</v>
      </c>
      <c r="O31" s="26" t="n">
        <f>49268294460</f>
        <v>4.926829446E10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10320</f>
        <v>10320.0</v>
      </c>
      <c r="U31" s="23"/>
      <c r="V31" s="25" t="n">
        <f>12689</f>
        <v>12689.0</v>
      </c>
      <c r="W31" s="23"/>
      <c r="X31" s="26" t="n">
        <f>23009</f>
        <v>23009.0</v>
      </c>
      <c r="Y31" s="24"/>
      <c r="Z31" s="25" t="n">
        <f>799174</f>
        <v>799174.0</v>
      </c>
      <c r="AA31" s="23"/>
      <c r="AB31" s="25" t="n">
        <f>511946</f>
        <v>511946.0</v>
      </c>
      <c r="AC31" s="23"/>
      <c r="AD31" s="26" t="n">
        <f>1311120</f>
        <v>1311120.0</v>
      </c>
    </row>
    <row r="32">
      <c r="A32" s="30" t="s">
        <v>52</v>
      </c>
      <c r="B32" s="22" t="s">
        <v>27</v>
      </c>
      <c r="C32" s="22" t="s">
        <v>28</v>
      </c>
      <c r="D32" s="24"/>
      <c r="E32" s="25"/>
      <c r="F32" s="23"/>
      <c r="G32" s="25"/>
      <c r="H32" s="23"/>
      <c r="I32" s="26"/>
      <c r="J32" s="24"/>
      <c r="K32" s="25"/>
      <c r="L32" s="23"/>
      <c r="M32" s="25"/>
      <c r="N32" s="23"/>
      <c r="O32" s="26"/>
      <c r="P32" s="27"/>
      <c r="Q32" s="28"/>
      <c r="R32" s="29"/>
      <c r="S32" s="24"/>
      <c r="T32" s="25"/>
      <c r="U32" s="23"/>
      <c r="V32" s="25"/>
      <c r="W32" s="23"/>
      <c r="X32" s="26"/>
      <c r="Y32" s="24"/>
      <c r="Z32" s="25"/>
      <c r="AA32" s="23"/>
      <c r="AB32" s="25"/>
      <c r="AC32" s="23"/>
      <c r="AD32" s="26"/>
    </row>
    <row r="33">
      <c r="A33" s="30" t="s">
        <v>53</v>
      </c>
      <c r="B33" s="22" t="s">
        <v>27</v>
      </c>
      <c r="C33" s="22" t="s">
        <v>28</v>
      </c>
      <c r="D33" s="24"/>
      <c r="E33" s="25"/>
      <c r="F33" s="23"/>
      <c r="G33" s="25"/>
      <c r="H33" s="23"/>
      <c r="I33" s="26"/>
      <c r="J33" s="24"/>
      <c r="K33" s="25"/>
      <c r="L33" s="23"/>
      <c r="M33" s="25"/>
      <c r="N33" s="23"/>
      <c r="O33" s="26"/>
      <c r="P33" s="27"/>
      <c r="Q33" s="28"/>
      <c r="R33" s="29"/>
      <c r="S33" s="24"/>
      <c r="T33" s="25"/>
      <c r="U33" s="23"/>
      <c r="V33" s="25"/>
      <c r="W33" s="23"/>
      <c r="X33" s="26"/>
      <c r="Y33" s="24"/>
      <c r="Z33" s="25"/>
      <c r="AA33" s="23"/>
      <c r="AB33" s="25"/>
      <c r="AC33" s="23"/>
      <c r="AD33" s="26"/>
    </row>
    <row r="34">
      <c r="A34" s="30" t="s">
        <v>54</v>
      </c>
      <c r="B34" s="22" t="s">
        <v>27</v>
      </c>
      <c r="C34" s="22" t="s">
        <v>28</v>
      </c>
      <c r="D34" s="24"/>
      <c r="E34" s="25"/>
      <c r="F34" s="23"/>
      <c r="G34" s="25"/>
      <c r="H34" s="23"/>
      <c r="I34" s="26"/>
      <c r="J34" s="24"/>
      <c r="K34" s="25"/>
      <c r="L34" s="23"/>
      <c r="M34" s="25"/>
      <c r="N34" s="23"/>
      <c r="O34" s="26"/>
      <c r="P34" s="27"/>
      <c r="Q34" s="28"/>
      <c r="R34" s="29"/>
      <c r="S34" s="24"/>
      <c r="T34" s="25"/>
      <c r="U34" s="23"/>
      <c r="V34" s="25"/>
      <c r="W34" s="23"/>
      <c r="X34" s="26"/>
      <c r="Y34" s="24"/>
      <c r="Z34" s="25"/>
      <c r="AA34" s="23"/>
      <c r="AB34" s="25"/>
      <c r="AC34" s="23"/>
      <c r="AD34" s="26"/>
    </row>
    <row r="35">
      <c r="A35" s="30" t="s">
        <v>55</v>
      </c>
      <c r="B35" s="22" t="s">
        <v>27</v>
      </c>
      <c r="C35" s="22" t="s">
        <v>28</v>
      </c>
      <c r="D35" s="24"/>
      <c r="E35" s="25" t="n">
        <f>64510</f>
        <v>64510.0</v>
      </c>
      <c r="F35" s="23"/>
      <c r="G35" s="25" t="n">
        <f>49669</f>
        <v>49669.0</v>
      </c>
      <c r="H35" s="23"/>
      <c r="I35" s="26" t="n">
        <f>114179</f>
        <v>114179.0</v>
      </c>
      <c r="J35" s="24"/>
      <c r="K35" s="25" t="n">
        <f>18328945591</f>
        <v>1.8328945591E10</v>
      </c>
      <c r="L35" s="23"/>
      <c r="M35" s="25" t="n">
        <f>23392923838</f>
        <v>2.3392923838E10</v>
      </c>
      <c r="N35" s="23"/>
      <c r="O35" s="26" t="n">
        <f>41721869429</f>
        <v>4.1721869429E10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17040</f>
        <v>17040.0</v>
      </c>
      <c r="U35" s="23"/>
      <c r="V35" s="25" t="n">
        <f>13857</f>
        <v>13857.0</v>
      </c>
      <c r="W35" s="23"/>
      <c r="X35" s="26" t="n">
        <f>30897</f>
        <v>30897.0</v>
      </c>
      <c r="Y35" s="24"/>
      <c r="Z35" s="25" t="n">
        <f>811459</f>
        <v>811459.0</v>
      </c>
      <c r="AA35" s="23"/>
      <c r="AB35" s="25" t="n">
        <f>516334</f>
        <v>516334.0</v>
      </c>
      <c r="AC35" s="23"/>
      <c r="AD35" s="26" t="n">
        <f>1327793</f>
        <v>1327793.0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35017</f>
        <v>35017.0</v>
      </c>
      <c r="F36" s="23"/>
      <c r="G36" s="25" t="n">
        <f>24154</f>
        <v>24154.0</v>
      </c>
      <c r="H36" s="23"/>
      <c r="I36" s="26" t="n">
        <f>59171</f>
        <v>59171.0</v>
      </c>
      <c r="J36" s="24"/>
      <c r="K36" s="25" t="n">
        <f>7821192841</f>
        <v>7.821192841E9</v>
      </c>
      <c r="L36" s="23"/>
      <c r="M36" s="25" t="n">
        <f>6987621360</f>
        <v>6.98762136E9</v>
      </c>
      <c r="N36" s="23"/>
      <c r="O36" s="26" t="n">
        <f>14808814201</f>
        <v>1.4808814201E10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5641</f>
        <v>5641.0</v>
      </c>
      <c r="U36" s="23"/>
      <c r="V36" s="25" t="n">
        <f>5521</f>
        <v>5521.0</v>
      </c>
      <c r="W36" s="23" t="s">
        <v>33</v>
      </c>
      <c r="X36" s="26" t="n">
        <f>11162</f>
        <v>11162.0</v>
      </c>
      <c r="Y36" s="24"/>
      <c r="Z36" s="25" t="n">
        <f>817973</f>
        <v>817973.0</v>
      </c>
      <c r="AA36" s="23"/>
      <c r="AB36" s="25" t="n">
        <f>519902</f>
        <v>519902.0</v>
      </c>
      <c r="AC36" s="23"/>
      <c r="AD36" s="26" t="n">
        <f>1337875</f>
        <v>1337875.0</v>
      </c>
    </row>
    <row r="37">
      <c r="A37" s="30" t="s">
        <v>57</v>
      </c>
      <c r="B37" s="22" t="s">
        <v>27</v>
      </c>
      <c r="C37" s="22" t="s">
        <v>28</v>
      </c>
      <c r="D37" s="24"/>
      <c r="E37" s="25" t="n">
        <f>50407</f>
        <v>50407.0</v>
      </c>
      <c r="F37" s="23"/>
      <c r="G37" s="25" t="n">
        <f>24731</f>
        <v>24731.0</v>
      </c>
      <c r="H37" s="23"/>
      <c r="I37" s="26" t="n">
        <f>75138</f>
        <v>75138.0</v>
      </c>
      <c r="J37" s="24" t="s">
        <v>37</v>
      </c>
      <c r="K37" s="25" t="n">
        <f>24809953330</f>
        <v>2.480995333E10</v>
      </c>
      <c r="L37" s="23"/>
      <c r="M37" s="25" t="n">
        <f>15991163030</f>
        <v>1.599116303E10</v>
      </c>
      <c r="N37" s="23"/>
      <c r="O37" s="26" t="n">
        <f>40801116360</f>
        <v>4.080111636E10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11199</f>
        <v>11199.0</v>
      </c>
      <c r="U37" s="23"/>
      <c r="V37" s="25" t="n">
        <f>5462</f>
        <v>5462.0</v>
      </c>
      <c r="W37" s="23"/>
      <c r="X37" s="26" t="n">
        <f>16661</f>
        <v>16661.0</v>
      </c>
      <c r="Y37" s="24"/>
      <c r="Z37" s="25" t="n">
        <f>833796</f>
        <v>833796.0</v>
      </c>
      <c r="AA37" s="23"/>
      <c r="AB37" s="25" t="n">
        <f>525359</f>
        <v>525359.0</v>
      </c>
      <c r="AC37" s="23"/>
      <c r="AD37" s="26" t="n">
        <f>1359155</f>
        <v>1359155.0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46881</f>
        <v>46881.0</v>
      </c>
      <c r="F38" s="23"/>
      <c r="G38" s="25" t="n">
        <f>37269</f>
        <v>37269.0</v>
      </c>
      <c r="H38" s="23"/>
      <c r="I38" s="26" t="n">
        <f>84150</f>
        <v>84150.0</v>
      </c>
      <c r="J38" s="24"/>
      <c r="K38" s="25" t="n">
        <f>23060636805</f>
        <v>2.3060636805E10</v>
      </c>
      <c r="L38" s="23"/>
      <c r="M38" s="25" t="n">
        <f>18672347732</f>
        <v>1.8672347732E10</v>
      </c>
      <c r="N38" s="23"/>
      <c r="O38" s="26" t="n">
        <f>41732984537</f>
        <v>4.1732984537E10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9651</f>
        <v>9651.0</v>
      </c>
      <c r="U38" s="23"/>
      <c r="V38" s="25" t="n">
        <f>9048</f>
        <v>9048.0</v>
      </c>
      <c r="W38" s="23"/>
      <c r="X38" s="26" t="n">
        <f>18699</f>
        <v>18699.0</v>
      </c>
      <c r="Y38" s="24" t="s">
        <v>37</v>
      </c>
      <c r="Z38" s="25" t="n">
        <f>849620</f>
        <v>849620.0</v>
      </c>
      <c r="AA38" s="23"/>
      <c r="AB38" s="25" t="n">
        <f>530414</f>
        <v>530414.0</v>
      </c>
      <c r="AC38" s="23" t="s">
        <v>37</v>
      </c>
      <c r="AD38" s="26" t="n">
        <f>1380034</f>
        <v>1380034.0</v>
      </c>
    </row>
    <row r="39">
      <c r="A39" s="30" t="s">
        <v>26</v>
      </c>
      <c r="B39" s="22" t="s">
        <v>59</v>
      </c>
      <c r="C39" s="22" t="s">
        <v>60</v>
      </c>
      <c r="D39" s="24"/>
      <c r="E39" s="25" t="n">
        <f>25739</f>
        <v>25739.0</v>
      </c>
      <c r="F39" s="23"/>
      <c r="G39" s="25" t="n">
        <f>27215</f>
        <v>27215.0</v>
      </c>
      <c r="H39" s="23"/>
      <c r="I39" s="26" t="n">
        <f>52954</f>
        <v>52954.0</v>
      </c>
      <c r="J39" s="24"/>
      <c r="K39" s="25" t="n">
        <f>168024170</f>
        <v>1.6802417E8</v>
      </c>
      <c r="L39" s="23"/>
      <c r="M39" s="25" t="n">
        <f>210212040</f>
        <v>2.1021204E8</v>
      </c>
      <c r="N39" s="23"/>
      <c r="O39" s="26" t="n">
        <f>378236210</f>
        <v>3.7823621E8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5200</f>
        <v>5200.0</v>
      </c>
      <c r="U39" s="23" t="s">
        <v>37</v>
      </c>
      <c r="V39" s="25" t="n">
        <f>6470</f>
        <v>6470.0</v>
      </c>
      <c r="W39" s="23" t="s">
        <v>37</v>
      </c>
      <c r="X39" s="26" t="n">
        <f>11670</f>
        <v>11670.0</v>
      </c>
      <c r="Y39" s="24"/>
      <c r="Z39" s="25" t="n">
        <f>24450</f>
        <v>24450.0</v>
      </c>
      <c r="AA39" s="23"/>
      <c r="AB39" s="25" t="n">
        <f>28666</f>
        <v>28666.0</v>
      </c>
      <c r="AC39" s="23"/>
      <c r="AD39" s="26" t="n">
        <f>53116</f>
        <v>53116.0</v>
      </c>
    </row>
    <row r="40">
      <c r="A40" s="30" t="s">
        <v>29</v>
      </c>
      <c r="B40" s="22" t="s">
        <v>59</v>
      </c>
      <c r="C40" s="22" t="s">
        <v>60</v>
      </c>
      <c r="D40" s="24"/>
      <c r="E40" s="25" t="n">
        <f>10216</f>
        <v>10216.0</v>
      </c>
      <c r="F40" s="23"/>
      <c r="G40" s="25" t="n">
        <f>11489</f>
        <v>11489.0</v>
      </c>
      <c r="H40" s="23"/>
      <c r="I40" s="26" t="n">
        <f>21705</f>
        <v>21705.0</v>
      </c>
      <c r="J40" s="24"/>
      <c r="K40" s="25" t="n">
        <f>131293810</f>
        <v>1.3129381E8</v>
      </c>
      <c r="L40" s="23"/>
      <c r="M40" s="25" t="n">
        <f>172961360</f>
        <v>1.7296136E8</v>
      </c>
      <c r="N40" s="23"/>
      <c r="O40" s="26" t="n">
        <f>304255170</f>
        <v>3.0425517E8</v>
      </c>
      <c r="P40" s="27" t="n">
        <f>125</f>
        <v>125.0</v>
      </c>
      <c r="Q40" s="28" t="n">
        <f>839</f>
        <v>839.0</v>
      </c>
      <c r="R40" s="29" t="n">
        <f>964</f>
        <v>964.0</v>
      </c>
      <c r="S40" s="24" t="s">
        <v>33</v>
      </c>
      <c r="T40" s="25" t="n">
        <f>370</f>
        <v>370.0</v>
      </c>
      <c r="U40" s="23"/>
      <c r="V40" s="25" t="n">
        <f>340</f>
        <v>340.0</v>
      </c>
      <c r="W40" s="23"/>
      <c r="X40" s="26" t="n">
        <f>710</f>
        <v>710.0</v>
      </c>
      <c r="Y40" s="24" t="s">
        <v>33</v>
      </c>
      <c r="Z40" s="25" t="n">
        <f>12211</f>
        <v>12211.0</v>
      </c>
      <c r="AA40" s="23"/>
      <c r="AB40" s="25" t="n">
        <f>12040</f>
        <v>12040.0</v>
      </c>
      <c r="AC40" s="23" t="s">
        <v>33</v>
      </c>
      <c r="AD40" s="26" t="n">
        <f>24251</f>
        <v>24251.0</v>
      </c>
    </row>
    <row r="41">
      <c r="A41" s="30" t="s">
        <v>30</v>
      </c>
      <c r="B41" s="22" t="s">
        <v>59</v>
      </c>
      <c r="C41" s="22" t="s">
        <v>60</v>
      </c>
      <c r="D41" s="24"/>
      <c r="E41" s="25"/>
      <c r="F41" s="23"/>
      <c r="G41" s="25"/>
      <c r="H41" s="23"/>
      <c r="I41" s="26"/>
      <c r="J41" s="24"/>
      <c r="K41" s="25"/>
      <c r="L41" s="23"/>
      <c r="M41" s="25"/>
      <c r="N41" s="23"/>
      <c r="O41" s="26"/>
      <c r="P41" s="27"/>
      <c r="Q41" s="28"/>
      <c r="R41" s="29"/>
      <c r="S41" s="24"/>
      <c r="T41" s="25"/>
      <c r="U41" s="23"/>
      <c r="V41" s="25"/>
      <c r="W41" s="23"/>
      <c r="X41" s="26"/>
      <c r="Y41" s="24"/>
      <c r="Z41" s="25"/>
      <c r="AA41" s="23"/>
      <c r="AB41" s="25"/>
      <c r="AC41" s="23"/>
      <c r="AD41" s="26"/>
    </row>
    <row r="42">
      <c r="A42" s="30" t="s">
        <v>31</v>
      </c>
      <c r="B42" s="22" t="s">
        <v>59</v>
      </c>
      <c r="C42" s="22" t="s">
        <v>60</v>
      </c>
      <c r="D42" s="24"/>
      <c r="E42" s="25"/>
      <c r="F42" s="23"/>
      <c r="G42" s="25"/>
      <c r="H42" s="23"/>
      <c r="I42" s="26"/>
      <c r="J42" s="24"/>
      <c r="K42" s="25"/>
      <c r="L42" s="23"/>
      <c r="M42" s="25"/>
      <c r="N42" s="23"/>
      <c r="O42" s="26"/>
      <c r="P42" s="27"/>
      <c r="Q42" s="28"/>
      <c r="R42" s="29"/>
      <c r="S42" s="24"/>
      <c r="T42" s="25"/>
      <c r="U42" s="23"/>
      <c r="V42" s="25"/>
      <c r="W42" s="23"/>
      <c r="X42" s="26"/>
      <c r="Y42" s="24"/>
      <c r="Z42" s="25"/>
      <c r="AA42" s="23"/>
      <c r="AB42" s="25"/>
      <c r="AC42" s="23"/>
      <c r="AD42" s="26"/>
    </row>
    <row r="43">
      <c r="A43" s="30" t="s">
        <v>32</v>
      </c>
      <c r="B43" s="22" t="s">
        <v>59</v>
      </c>
      <c r="C43" s="22" t="s">
        <v>60</v>
      </c>
      <c r="D43" s="24"/>
      <c r="E43" s="25" t="n">
        <f>10575</f>
        <v>10575.0</v>
      </c>
      <c r="F43" s="23" t="s">
        <v>33</v>
      </c>
      <c r="G43" s="25" t="n">
        <f>9476</f>
        <v>9476.0</v>
      </c>
      <c r="H43" s="23" t="s">
        <v>33</v>
      </c>
      <c r="I43" s="26" t="n">
        <f>20051</f>
        <v>20051.0</v>
      </c>
      <c r="J43" s="24"/>
      <c r="K43" s="25" t="n">
        <f>114771380</f>
        <v>1.1477138E8</v>
      </c>
      <c r="L43" s="23"/>
      <c r="M43" s="25" t="n">
        <f>145124360</f>
        <v>1.4512436E8</v>
      </c>
      <c r="N43" s="23"/>
      <c r="O43" s="26" t="n">
        <f>259895740</f>
        <v>2.5989574E8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400</f>
        <v>400.0</v>
      </c>
      <c r="U43" s="23" t="s">
        <v>33</v>
      </c>
      <c r="V43" s="25" t="n">
        <f>280</f>
        <v>280.0</v>
      </c>
      <c r="W43" s="23" t="s">
        <v>33</v>
      </c>
      <c r="X43" s="26" t="n">
        <f>680</f>
        <v>680.0</v>
      </c>
      <c r="Y43" s="24"/>
      <c r="Z43" s="25" t="n">
        <f>13738</f>
        <v>13738.0</v>
      </c>
      <c r="AA43" s="23"/>
      <c r="AB43" s="25" t="n">
        <f>13308</f>
        <v>13308.0</v>
      </c>
      <c r="AC43" s="23"/>
      <c r="AD43" s="26" t="n">
        <f>27046</f>
        <v>27046.0</v>
      </c>
    </row>
    <row r="44">
      <c r="A44" s="30" t="s">
        <v>34</v>
      </c>
      <c r="B44" s="22" t="s">
        <v>59</v>
      </c>
      <c r="C44" s="22" t="s">
        <v>60</v>
      </c>
      <c r="D44" s="24" t="s">
        <v>33</v>
      </c>
      <c r="E44" s="25" t="n">
        <f>8916</f>
        <v>8916.0</v>
      </c>
      <c r="F44" s="23"/>
      <c r="G44" s="25" t="n">
        <f>11380</f>
        <v>11380.0</v>
      </c>
      <c r="H44" s="23"/>
      <c r="I44" s="26" t="n">
        <f>20296</f>
        <v>20296.0</v>
      </c>
      <c r="J44" s="24" t="s">
        <v>33</v>
      </c>
      <c r="K44" s="25" t="n">
        <f>89724840</f>
        <v>8.972484E7</v>
      </c>
      <c r="L44" s="23" t="s">
        <v>33</v>
      </c>
      <c r="M44" s="25" t="n">
        <f>129772420</f>
        <v>1.2977242E8</v>
      </c>
      <c r="N44" s="23" t="s">
        <v>33</v>
      </c>
      <c r="O44" s="26" t="n">
        <f>219497260</f>
        <v>2.1949726E8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580</f>
        <v>580.0</v>
      </c>
      <c r="U44" s="23"/>
      <c r="V44" s="25" t="n">
        <f>660</f>
        <v>660.0</v>
      </c>
      <c r="W44" s="23"/>
      <c r="X44" s="26" t="n">
        <f>1240</f>
        <v>1240.0</v>
      </c>
      <c r="Y44" s="24"/>
      <c r="Z44" s="25" t="n">
        <f>15358</f>
        <v>15358.0</v>
      </c>
      <c r="AA44" s="23"/>
      <c r="AB44" s="25" t="n">
        <f>14325</f>
        <v>14325.0</v>
      </c>
      <c r="AC44" s="23"/>
      <c r="AD44" s="26" t="n">
        <f>29683</f>
        <v>29683.0</v>
      </c>
    </row>
    <row r="45">
      <c r="A45" s="30" t="s">
        <v>35</v>
      </c>
      <c r="B45" s="22" t="s">
        <v>59</v>
      </c>
      <c r="C45" s="22" t="s">
        <v>60</v>
      </c>
      <c r="D45" s="24"/>
      <c r="E45" s="25" t="n">
        <f>13061</f>
        <v>13061.0</v>
      </c>
      <c r="F45" s="23"/>
      <c r="G45" s="25" t="n">
        <f>13222</f>
        <v>13222.0</v>
      </c>
      <c r="H45" s="23"/>
      <c r="I45" s="26" t="n">
        <f>26283</f>
        <v>26283.0</v>
      </c>
      <c r="J45" s="24"/>
      <c r="K45" s="25" t="n">
        <f>105633180</f>
        <v>1.0563318E8</v>
      </c>
      <c r="L45" s="23"/>
      <c r="M45" s="25" t="n">
        <f>130661640</f>
        <v>1.3066164E8</v>
      </c>
      <c r="N45" s="23"/>
      <c r="O45" s="26" t="n">
        <f>236294820</f>
        <v>2.3629482E8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680</f>
        <v>680.0</v>
      </c>
      <c r="U45" s="23"/>
      <c r="V45" s="25" t="n">
        <f>725</f>
        <v>725.0</v>
      </c>
      <c r="W45" s="23"/>
      <c r="X45" s="26" t="n">
        <f>1405</f>
        <v>1405.0</v>
      </c>
      <c r="Y45" s="24"/>
      <c r="Z45" s="25" t="n">
        <f>18103</f>
        <v>18103.0</v>
      </c>
      <c r="AA45" s="23"/>
      <c r="AB45" s="25" t="n">
        <f>16115</f>
        <v>16115.0</v>
      </c>
      <c r="AC45" s="23"/>
      <c r="AD45" s="26" t="n">
        <f>34218</f>
        <v>34218.0</v>
      </c>
    </row>
    <row r="46">
      <c r="A46" s="30" t="s">
        <v>36</v>
      </c>
      <c r="B46" s="22" t="s">
        <v>59</v>
      </c>
      <c r="C46" s="22" t="s">
        <v>60</v>
      </c>
      <c r="D46" s="24"/>
      <c r="E46" s="25" t="n">
        <f>29618</f>
        <v>29618.0</v>
      </c>
      <c r="F46" s="23"/>
      <c r="G46" s="25" t="n">
        <f>30183</f>
        <v>30183.0</v>
      </c>
      <c r="H46" s="23"/>
      <c r="I46" s="26" t="n">
        <f>59801</f>
        <v>59801.0</v>
      </c>
      <c r="J46" s="24"/>
      <c r="K46" s="25" t="n">
        <f>222701990</f>
        <v>2.2270199E8</v>
      </c>
      <c r="L46" s="23"/>
      <c r="M46" s="25" t="n">
        <f>378039490</f>
        <v>3.7803949E8</v>
      </c>
      <c r="N46" s="23"/>
      <c r="O46" s="26" t="n">
        <f>600741480</f>
        <v>6.0074148E8</v>
      </c>
      <c r="P46" s="27" t="str">
        <f>"－"</f>
        <v>－</v>
      </c>
      <c r="Q46" s="28" t="str">
        <f>"－"</f>
        <v>－</v>
      </c>
      <c r="R46" s="29" t="str">
        <f>"－"</f>
        <v>－</v>
      </c>
      <c r="S46" s="24"/>
      <c r="T46" s="25" t="n">
        <f>2720</f>
        <v>2720.0</v>
      </c>
      <c r="U46" s="23"/>
      <c r="V46" s="25" t="n">
        <f>2750</f>
        <v>2750.0</v>
      </c>
      <c r="W46" s="23"/>
      <c r="X46" s="26" t="n">
        <f>5470</f>
        <v>5470.0</v>
      </c>
      <c r="Y46" s="24"/>
      <c r="Z46" s="25" t="n">
        <f>24573</f>
        <v>24573.0</v>
      </c>
      <c r="AA46" s="23"/>
      <c r="AB46" s="25" t="n">
        <f>19330</f>
        <v>19330.0</v>
      </c>
      <c r="AC46" s="23"/>
      <c r="AD46" s="26" t="n">
        <f>43903</f>
        <v>43903.0</v>
      </c>
    </row>
    <row r="47">
      <c r="A47" s="30" t="s">
        <v>38</v>
      </c>
      <c r="B47" s="22" t="s">
        <v>59</v>
      </c>
      <c r="C47" s="22" t="s">
        <v>60</v>
      </c>
      <c r="D47" s="24"/>
      <c r="E47" s="25" t="n">
        <f>24465</f>
        <v>24465.0</v>
      </c>
      <c r="F47" s="23"/>
      <c r="G47" s="25" t="n">
        <f>16883</f>
        <v>16883.0</v>
      </c>
      <c r="H47" s="23"/>
      <c r="I47" s="26" t="n">
        <f>41348</f>
        <v>41348.0</v>
      </c>
      <c r="J47" s="24"/>
      <c r="K47" s="25" t="n">
        <f>237565750</f>
        <v>2.3756575E8</v>
      </c>
      <c r="L47" s="23"/>
      <c r="M47" s="25" t="n">
        <f>304913520</f>
        <v>3.0491352E8</v>
      </c>
      <c r="N47" s="23"/>
      <c r="O47" s="26" t="n">
        <f>542479270</f>
        <v>5.4247927E8</v>
      </c>
      <c r="P47" s="27" t="n">
        <f>23</f>
        <v>23.0</v>
      </c>
      <c r="Q47" s="28" t="n">
        <f>5157</f>
        <v>5157.0</v>
      </c>
      <c r="R47" s="29" t="n">
        <f>5180</f>
        <v>5180.0</v>
      </c>
      <c r="S47" s="24"/>
      <c r="T47" s="25" t="n">
        <f>2140</f>
        <v>2140.0</v>
      </c>
      <c r="U47" s="23"/>
      <c r="V47" s="25" t="n">
        <f>990</f>
        <v>990.0</v>
      </c>
      <c r="W47" s="23"/>
      <c r="X47" s="26" t="n">
        <f>3130</f>
        <v>3130.0</v>
      </c>
      <c r="Y47" s="24"/>
      <c r="Z47" s="25" t="n">
        <f>23750</f>
        <v>23750.0</v>
      </c>
      <c r="AA47" s="23" t="s">
        <v>33</v>
      </c>
      <c r="AB47" s="25" t="n">
        <f>11564</f>
        <v>11564.0</v>
      </c>
      <c r="AC47" s="23"/>
      <c r="AD47" s="26" t="n">
        <f>35314</f>
        <v>35314.0</v>
      </c>
    </row>
    <row r="48">
      <c r="A48" s="30" t="s">
        <v>39</v>
      </c>
      <c r="B48" s="22" t="s">
        <v>59</v>
      </c>
      <c r="C48" s="22" t="s">
        <v>60</v>
      </c>
      <c r="D48" s="24"/>
      <c r="E48" s="25"/>
      <c r="F48" s="23"/>
      <c r="G48" s="25"/>
      <c r="H48" s="23"/>
      <c r="I48" s="26"/>
      <c r="J48" s="24"/>
      <c r="K48" s="25"/>
      <c r="L48" s="23"/>
      <c r="M48" s="25"/>
      <c r="N48" s="23"/>
      <c r="O48" s="26"/>
      <c r="P48" s="27"/>
      <c r="Q48" s="28"/>
      <c r="R48" s="29"/>
      <c r="S48" s="24"/>
      <c r="T48" s="25"/>
      <c r="U48" s="23"/>
      <c r="V48" s="25"/>
      <c r="W48" s="23"/>
      <c r="X48" s="26"/>
      <c r="Y48" s="24"/>
      <c r="Z48" s="25"/>
      <c r="AA48" s="23"/>
      <c r="AB48" s="25"/>
      <c r="AC48" s="23"/>
      <c r="AD48" s="26"/>
    </row>
    <row r="49">
      <c r="A49" s="30" t="s">
        <v>40</v>
      </c>
      <c r="B49" s="22" t="s">
        <v>59</v>
      </c>
      <c r="C49" s="22" t="s">
        <v>60</v>
      </c>
      <c r="D49" s="24"/>
      <c r="E49" s="25"/>
      <c r="F49" s="23"/>
      <c r="G49" s="25"/>
      <c r="H49" s="23"/>
      <c r="I49" s="26"/>
      <c r="J49" s="24"/>
      <c r="K49" s="25"/>
      <c r="L49" s="23"/>
      <c r="M49" s="25"/>
      <c r="N49" s="23"/>
      <c r="O49" s="26"/>
      <c r="P49" s="27"/>
      <c r="Q49" s="28"/>
      <c r="R49" s="29"/>
      <c r="S49" s="24"/>
      <c r="T49" s="25"/>
      <c r="U49" s="23"/>
      <c r="V49" s="25"/>
      <c r="W49" s="23"/>
      <c r="X49" s="26"/>
      <c r="Y49" s="24"/>
      <c r="Z49" s="25"/>
      <c r="AA49" s="23"/>
      <c r="AB49" s="25"/>
      <c r="AC49" s="23"/>
      <c r="AD49" s="26"/>
    </row>
    <row r="50">
      <c r="A50" s="30" t="s">
        <v>41</v>
      </c>
      <c r="B50" s="22" t="s">
        <v>59</v>
      </c>
      <c r="C50" s="22" t="s">
        <v>60</v>
      </c>
      <c r="D50" s="24"/>
      <c r="E50" s="25"/>
      <c r="F50" s="23"/>
      <c r="G50" s="25"/>
      <c r="H50" s="23"/>
      <c r="I50" s="26"/>
      <c r="J50" s="24"/>
      <c r="K50" s="25"/>
      <c r="L50" s="23"/>
      <c r="M50" s="25"/>
      <c r="N50" s="23"/>
      <c r="O50" s="26"/>
      <c r="P50" s="27"/>
      <c r="Q50" s="28"/>
      <c r="R50" s="29"/>
      <c r="S50" s="24"/>
      <c r="T50" s="25"/>
      <c r="U50" s="23"/>
      <c r="V50" s="25"/>
      <c r="W50" s="23"/>
      <c r="X50" s="26"/>
      <c r="Y50" s="24"/>
      <c r="Z50" s="25"/>
      <c r="AA50" s="23"/>
      <c r="AB50" s="25"/>
      <c r="AC50" s="23"/>
      <c r="AD50" s="26"/>
    </row>
    <row r="51">
      <c r="A51" s="30" t="s">
        <v>42</v>
      </c>
      <c r="B51" s="22" t="s">
        <v>59</v>
      </c>
      <c r="C51" s="22" t="s">
        <v>60</v>
      </c>
      <c r="D51" s="24" t="s">
        <v>37</v>
      </c>
      <c r="E51" s="25" t="n">
        <f>50826</f>
        <v>50826.0</v>
      </c>
      <c r="F51" s="23"/>
      <c r="G51" s="25" t="n">
        <f>32244</f>
        <v>32244.0</v>
      </c>
      <c r="H51" s="23" t="s">
        <v>37</v>
      </c>
      <c r="I51" s="26" t="n">
        <f>83070</f>
        <v>83070.0</v>
      </c>
      <c r="J51" s="24" t="s">
        <v>37</v>
      </c>
      <c r="K51" s="25" t="n">
        <f>388001370</f>
        <v>3.8800137E8</v>
      </c>
      <c r="L51" s="23"/>
      <c r="M51" s="25" t="n">
        <f>494733670</f>
        <v>4.9473367E8</v>
      </c>
      <c r="N51" s="23"/>
      <c r="O51" s="26" t="n">
        <f>882735040</f>
        <v>8.8273504E8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 t="s">
        <v>37</v>
      </c>
      <c r="T51" s="25" t="n">
        <f>8070</f>
        <v>8070.0</v>
      </c>
      <c r="U51" s="23"/>
      <c r="V51" s="25" t="n">
        <f>1450</f>
        <v>1450.0</v>
      </c>
      <c r="W51" s="23"/>
      <c r="X51" s="26" t="n">
        <f>9520</f>
        <v>9520.0</v>
      </c>
      <c r="Y51" s="24"/>
      <c r="Z51" s="25" t="n">
        <f>41958</f>
        <v>41958.0</v>
      </c>
      <c r="AA51" s="23"/>
      <c r="AB51" s="25" t="n">
        <f>19368</f>
        <v>19368.0</v>
      </c>
      <c r="AC51" s="23"/>
      <c r="AD51" s="26" t="n">
        <f>61326</f>
        <v>61326.0</v>
      </c>
    </row>
    <row r="52">
      <c r="A52" s="30" t="s">
        <v>43</v>
      </c>
      <c r="B52" s="22" t="s">
        <v>59</v>
      </c>
      <c r="C52" s="22" t="s">
        <v>60</v>
      </c>
      <c r="D52" s="24"/>
      <c r="E52" s="25" t="n">
        <f>26674</f>
        <v>26674.0</v>
      </c>
      <c r="F52" s="23"/>
      <c r="G52" s="25" t="n">
        <f>24439</f>
        <v>24439.0</v>
      </c>
      <c r="H52" s="23"/>
      <c r="I52" s="26" t="n">
        <f>51113</f>
        <v>51113.0</v>
      </c>
      <c r="J52" s="24"/>
      <c r="K52" s="25" t="n">
        <f>256354990</f>
        <v>2.5635499E8</v>
      </c>
      <c r="L52" s="23"/>
      <c r="M52" s="25" t="n">
        <f>341058050</f>
        <v>3.4105805E8</v>
      </c>
      <c r="N52" s="23"/>
      <c r="O52" s="26" t="n">
        <f>597413040</f>
        <v>5.9741304E8</v>
      </c>
      <c r="P52" s="27" t="str">
        <f>"－"</f>
        <v>－</v>
      </c>
      <c r="Q52" s="28" t="str">
        <f>"－"</f>
        <v>－</v>
      </c>
      <c r="R52" s="29" t="str">
        <f>"－"</f>
        <v>－</v>
      </c>
      <c r="S52" s="24"/>
      <c r="T52" s="25" t="n">
        <f>5010</f>
        <v>5010.0</v>
      </c>
      <c r="U52" s="23"/>
      <c r="V52" s="25" t="n">
        <f>2230</f>
        <v>2230.0</v>
      </c>
      <c r="W52" s="23"/>
      <c r="X52" s="26" t="n">
        <f>7240</f>
        <v>7240.0</v>
      </c>
      <c r="Y52" s="24"/>
      <c r="Z52" s="25" t="n">
        <f>46131</f>
        <v>46131.0</v>
      </c>
      <c r="AA52" s="23"/>
      <c r="AB52" s="25" t="n">
        <f>24996</f>
        <v>24996.0</v>
      </c>
      <c r="AC52" s="23"/>
      <c r="AD52" s="26" t="n">
        <f>71127</f>
        <v>71127.0</v>
      </c>
    </row>
    <row r="53">
      <c r="A53" s="30" t="s">
        <v>44</v>
      </c>
      <c r="B53" s="22" t="s">
        <v>59</v>
      </c>
      <c r="C53" s="22" t="s">
        <v>60</v>
      </c>
      <c r="D53" s="24"/>
      <c r="E53" s="25" t="n">
        <f>32396</f>
        <v>32396.0</v>
      </c>
      <c r="F53" s="23"/>
      <c r="G53" s="25" t="n">
        <f>28262</f>
        <v>28262.0</v>
      </c>
      <c r="H53" s="23"/>
      <c r="I53" s="26" t="n">
        <f>60658</f>
        <v>60658.0</v>
      </c>
      <c r="J53" s="24"/>
      <c r="K53" s="25" t="n">
        <f>170983300</f>
        <v>1.709833E8</v>
      </c>
      <c r="L53" s="23"/>
      <c r="M53" s="25" t="n">
        <f>347740490</f>
        <v>3.4774049E8</v>
      </c>
      <c r="N53" s="23"/>
      <c r="O53" s="26" t="n">
        <f>518723790</f>
        <v>5.1872379E8</v>
      </c>
      <c r="P53" s="27" t="str">
        <f>"－"</f>
        <v>－</v>
      </c>
      <c r="Q53" s="28" t="str">
        <f>"－"</f>
        <v>－</v>
      </c>
      <c r="R53" s="29" t="str">
        <f>"－"</f>
        <v>－</v>
      </c>
      <c r="S53" s="24"/>
      <c r="T53" s="25" t="n">
        <f>6380</f>
        <v>6380.0</v>
      </c>
      <c r="U53" s="23"/>
      <c r="V53" s="25" t="n">
        <f>2930</f>
        <v>2930.0</v>
      </c>
      <c r="W53" s="23"/>
      <c r="X53" s="26" t="n">
        <f>9310</f>
        <v>9310.0</v>
      </c>
      <c r="Y53" s="24" t="s">
        <v>37</v>
      </c>
      <c r="Z53" s="25" t="n">
        <f>53725</f>
        <v>53725.0</v>
      </c>
      <c r="AA53" s="23"/>
      <c r="AB53" s="25" t="n">
        <f>28726</f>
        <v>28726.0</v>
      </c>
      <c r="AC53" s="23" t="s">
        <v>37</v>
      </c>
      <c r="AD53" s="26" t="n">
        <f>82451</f>
        <v>82451.0</v>
      </c>
    </row>
    <row r="54">
      <c r="A54" s="30" t="s">
        <v>45</v>
      </c>
      <c r="B54" s="22" t="s">
        <v>59</v>
      </c>
      <c r="C54" s="22" t="s">
        <v>60</v>
      </c>
      <c r="D54" s="24"/>
      <c r="E54" s="25" t="n">
        <f>32332</f>
        <v>32332.0</v>
      </c>
      <c r="F54" s="23"/>
      <c r="G54" s="25" t="n">
        <f>19790</f>
        <v>19790.0</v>
      </c>
      <c r="H54" s="23"/>
      <c r="I54" s="26" t="n">
        <f>52122</f>
        <v>52122.0</v>
      </c>
      <c r="J54" s="24"/>
      <c r="K54" s="25" t="n">
        <f>353350150</f>
        <v>3.5335015E8</v>
      </c>
      <c r="L54" s="23"/>
      <c r="M54" s="25" t="n">
        <f>429646770</f>
        <v>4.2964677E8</v>
      </c>
      <c r="N54" s="23"/>
      <c r="O54" s="26" t="n">
        <f>782996920</f>
        <v>7.8299692E8</v>
      </c>
      <c r="P54" s="27" t="str">
        <f>"－"</f>
        <v>－</v>
      </c>
      <c r="Q54" s="28" t="n">
        <f>8872</f>
        <v>8872.0</v>
      </c>
      <c r="R54" s="29" t="n">
        <f>8872</f>
        <v>8872.0</v>
      </c>
      <c r="S54" s="24"/>
      <c r="T54" s="25" t="n">
        <f>2800</f>
        <v>2800.0</v>
      </c>
      <c r="U54" s="23"/>
      <c r="V54" s="25" t="n">
        <f>1740</f>
        <v>1740.0</v>
      </c>
      <c r="W54" s="23"/>
      <c r="X54" s="26" t="n">
        <f>4540</f>
        <v>4540.0</v>
      </c>
      <c r="Y54" s="24"/>
      <c r="Z54" s="25" t="n">
        <f>31079</f>
        <v>31079.0</v>
      </c>
      <c r="AA54" s="23"/>
      <c r="AB54" s="25" t="n">
        <f>15415</f>
        <v>15415.0</v>
      </c>
      <c r="AC54" s="23"/>
      <c r="AD54" s="26" t="n">
        <f>46494</f>
        <v>46494.0</v>
      </c>
    </row>
    <row r="55">
      <c r="A55" s="30" t="s">
        <v>46</v>
      </c>
      <c r="B55" s="22" t="s">
        <v>59</v>
      </c>
      <c r="C55" s="22" t="s">
        <v>60</v>
      </c>
      <c r="D55" s="24"/>
      <c r="E55" s="25"/>
      <c r="F55" s="23"/>
      <c r="G55" s="25"/>
      <c r="H55" s="23"/>
      <c r="I55" s="26"/>
      <c r="J55" s="24"/>
      <c r="K55" s="25"/>
      <c r="L55" s="23"/>
      <c r="M55" s="25"/>
      <c r="N55" s="23"/>
      <c r="O55" s="26"/>
      <c r="P55" s="27"/>
      <c r="Q55" s="28"/>
      <c r="R55" s="29"/>
      <c r="S55" s="24"/>
      <c r="T55" s="25"/>
      <c r="U55" s="23"/>
      <c r="V55" s="25"/>
      <c r="W55" s="23"/>
      <c r="X55" s="26"/>
      <c r="Y55" s="24"/>
      <c r="Z55" s="25"/>
      <c r="AA55" s="23"/>
      <c r="AB55" s="25"/>
      <c r="AC55" s="23"/>
      <c r="AD55" s="26"/>
    </row>
    <row r="56">
      <c r="A56" s="30" t="s">
        <v>47</v>
      </c>
      <c r="B56" s="22" t="s">
        <v>59</v>
      </c>
      <c r="C56" s="22" t="s">
        <v>60</v>
      </c>
      <c r="D56" s="24"/>
      <c r="E56" s="25"/>
      <c r="F56" s="23"/>
      <c r="G56" s="25"/>
      <c r="H56" s="23"/>
      <c r="I56" s="26"/>
      <c r="J56" s="24"/>
      <c r="K56" s="25"/>
      <c r="L56" s="23"/>
      <c r="M56" s="25"/>
      <c r="N56" s="23"/>
      <c r="O56" s="26"/>
      <c r="P56" s="27"/>
      <c r="Q56" s="28"/>
      <c r="R56" s="29"/>
      <c r="S56" s="24"/>
      <c r="T56" s="25"/>
      <c r="U56" s="23"/>
      <c r="V56" s="25"/>
      <c r="W56" s="23"/>
      <c r="X56" s="26"/>
      <c r="Y56" s="24"/>
      <c r="Z56" s="25"/>
      <c r="AA56" s="23"/>
      <c r="AB56" s="25"/>
      <c r="AC56" s="23"/>
      <c r="AD56" s="26"/>
    </row>
    <row r="57">
      <c r="A57" s="30" t="s">
        <v>48</v>
      </c>
      <c r="B57" s="22" t="s">
        <v>59</v>
      </c>
      <c r="C57" s="22" t="s">
        <v>60</v>
      </c>
      <c r="D57" s="24"/>
      <c r="E57" s="25" t="n">
        <f>22656</f>
        <v>22656.0</v>
      </c>
      <c r="F57" s="23"/>
      <c r="G57" s="25" t="n">
        <f>15700</f>
        <v>15700.0</v>
      </c>
      <c r="H57" s="23"/>
      <c r="I57" s="26" t="n">
        <f>38356</f>
        <v>38356.0</v>
      </c>
      <c r="J57" s="24"/>
      <c r="K57" s="25" t="n">
        <f>220120020</f>
        <v>2.2012002E8</v>
      </c>
      <c r="L57" s="23"/>
      <c r="M57" s="25" t="n">
        <f>229120680</f>
        <v>2.2912068E8</v>
      </c>
      <c r="N57" s="23"/>
      <c r="O57" s="26" t="n">
        <f>449240700</f>
        <v>4.492407E8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4060</f>
        <v>4060.0</v>
      </c>
      <c r="U57" s="23"/>
      <c r="V57" s="25" t="n">
        <f>1520</f>
        <v>1520.0</v>
      </c>
      <c r="W57" s="23"/>
      <c r="X57" s="26" t="n">
        <f>5580</f>
        <v>5580.0</v>
      </c>
      <c r="Y57" s="24"/>
      <c r="Z57" s="25" t="n">
        <f>39979</f>
        <v>39979.0</v>
      </c>
      <c r="AA57" s="23"/>
      <c r="AB57" s="25" t="n">
        <f>18759</f>
        <v>18759.0</v>
      </c>
      <c r="AC57" s="23"/>
      <c r="AD57" s="26" t="n">
        <f>58738</f>
        <v>58738.0</v>
      </c>
    </row>
    <row r="58">
      <c r="A58" s="30" t="s">
        <v>49</v>
      </c>
      <c r="B58" s="22" t="s">
        <v>59</v>
      </c>
      <c r="C58" s="22" t="s">
        <v>60</v>
      </c>
      <c r="D58" s="24"/>
      <c r="E58" s="25" t="n">
        <f>24053</f>
        <v>24053.0</v>
      </c>
      <c r="F58" s="23"/>
      <c r="G58" s="25" t="n">
        <f>16100</f>
        <v>16100.0</v>
      </c>
      <c r="H58" s="23"/>
      <c r="I58" s="26" t="n">
        <f>40153</f>
        <v>40153.0</v>
      </c>
      <c r="J58" s="24"/>
      <c r="K58" s="25" t="n">
        <f>137603930</f>
        <v>1.3760393E8</v>
      </c>
      <c r="L58" s="23"/>
      <c r="M58" s="25" t="n">
        <f>149841280</f>
        <v>1.4984128E8</v>
      </c>
      <c r="N58" s="23"/>
      <c r="O58" s="26" t="n">
        <f>287445210</f>
        <v>2.8744521E8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5010</f>
        <v>5010.0</v>
      </c>
      <c r="U58" s="23"/>
      <c r="V58" s="25" t="n">
        <f>2610</f>
        <v>2610.0</v>
      </c>
      <c r="W58" s="23"/>
      <c r="X58" s="26" t="n">
        <f>7620</f>
        <v>7620.0</v>
      </c>
      <c r="Y58" s="24"/>
      <c r="Z58" s="25" t="n">
        <f>44341</f>
        <v>44341.0</v>
      </c>
      <c r="AA58" s="23"/>
      <c r="AB58" s="25" t="n">
        <f>20473</f>
        <v>20473.0</v>
      </c>
      <c r="AC58" s="23"/>
      <c r="AD58" s="26" t="n">
        <f>64814</f>
        <v>64814.0</v>
      </c>
    </row>
    <row r="59">
      <c r="A59" s="30" t="s">
        <v>50</v>
      </c>
      <c r="B59" s="22" t="s">
        <v>59</v>
      </c>
      <c r="C59" s="22" t="s">
        <v>60</v>
      </c>
      <c r="D59" s="24"/>
      <c r="E59" s="25" t="n">
        <f>29025</f>
        <v>29025.0</v>
      </c>
      <c r="F59" s="23"/>
      <c r="G59" s="25" t="n">
        <f>23606</f>
        <v>23606.0</v>
      </c>
      <c r="H59" s="23"/>
      <c r="I59" s="26" t="n">
        <f>52631</f>
        <v>52631.0</v>
      </c>
      <c r="J59" s="24"/>
      <c r="K59" s="25" t="n">
        <f>204374110</f>
        <v>2.0437411E8</v>
      </c>
      <c r="L59" s="23"/>
      <c r="M59" s="25" t="n">
        <f>216794110</f>
        <v>2.1679411E8</v>
      </c>
      <c r="N59" s="23"/>
      <c r="O59" s="26" t="n">
        <f>421168220</f>
        <v>4.2116822E8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/>
      <c r="T59" s="25" t="n">
        <f>3540</f>
        <v>3540.0</v>
      </c>
      <c r="U59" s="23"/>
      <c r="V59" s="25" t="n">
        <f>3230</f>
        <v>3230.0</v>
      </c>
      <c r="W59" s="23"/>
      <c r="X59" s="26" t="n">
        <f>6770</f>
        <v>6770.0</v>
      </c>
      <c r="Y59" s="24"/>
      <c r="Z59" s="25" t="n">
        <f>49316</f>
        <v>49316.0</v>
      </c>
      <c r="AA59" s="23"/>
      <c r="AB59" s="25" t="n">
        <f>26679</f>
        <v>26679.0</v>
      </c>
      <c r="AC59" s="23"/>
      <c r="AD59" s="26" t="n">
        <f>75995</f>
        <v>75995.0</v>
      </c>
    </row>
    <row r="60">
      <c r="A60" s="30" t="s">
        <v>51</v>
      </c>
      <c r="B60" s="22" t="s">
        <v>59</v>
      </c>
      <c r="C60" s="22" t="s">
        <v>60</v>
      </c>
      <c r="D60" s="24"/>
      <c r="E60" s="25" t="n">
        <f>25699</f>
        <v>25699.0</v>
      </c>
      <c r="F60" s="23"/>
      <c r="G60" s="25" t="n">
        <f>12617</f>
        <v>12617.0</v>
      </c>
      <c r="H60" s="23"/>
      <c r="I60" s="26" t="n">
        <f>38316</f>
        <v>38316.0</v>
      </c>
      <c r="J60" s="24"/>
      <c r="K60" s="25" t="n">
        <f>255450910</f>
        <v>2.5545091E8</v>
      </c>
      <c r="L60" s="23"/>
      <c r="M60" s="25" t="n">
        <f>290553250</f>
        <v>2.9055325E8</v>
      </c>
      <c r="N60" s="23"/>
      <c r="O60" s="26" t="n">
        <f>546004160</f>
        <v>5.4600416E8</v>
      </c>
      <c r="P60" s="27" t="n">
        <f>6</f>
        <v>6.0</v>
      </c>
      <c r="Q60" s="28" t="n">
        <f>4468</f>
        <v>4468.0</v>
      </c>
      <c r="R60" s="29" t="n">
        <f>4474</f>
        <v>4474.0</v>
      </c>
      <c r="S60" s="24"/>
      <c r="T60" s="25" t="n">
        <f>2940</f>
        <v>2940.0</v>
      </c>
      <c r="U60" s="23"/>
      <c r="V60" s="25" t="n">
        <f>642</f>
        <v>642.0</v>
      </c>
      <c r="W60" s="23"/>
      <c r="X60" s="26" t="n">
        <f>3582</f>
        <v>3582.0</v>
      </c>
      <c r="Y60" s="24"/>
      <c r="Z60" s="25" t="n">
        <f>20746</f>
        <v>20746.0</v>
      </c>
      <c r="AA60" s="23"/>
      <c r="AB60" s="25" t="n">
        <f>12897</f>
        <v>12897.0</v>
      </c>
      <c r="AC60" s="23"/>
      <c r="AD60" s="26" t="n">
        <f>33643</f>
        <v>33643.0</v>
      </c>
    </row>
    <row r="61">
      <c r="A61" s="30" t="s">
        <v>52</v>
      </c>
      <c r="B61" s="22" t="s">
        <v>59</v>
      </c>
      <c r="C61" s="22" t="s">
        <v>60</v>
      </c>
      <c r="D61" s="24"/>
      <c r="E61" s="25"/>
      <c r="F61" s="23"/>
      <c r="G61" s="25"/>
      <c r="H61" s="23"/>
      <c r="I61" s="26"/>
      <c r="J61" s="24"/>
      <c r="K61" s="25"/>
      <c r="L61" s="23"/>
      <c r="M61" s="25"/>
      <c r="N61" s="23"/>
      <c r="O61" s="26"/>
      <c r="P61" s="27"/>
      <c r="Q61" s="28"/>
      <c r="R61" s="29"/>
      <c r="S61" s="24"/>
      <c r="T61" s="25"/>
      <c r="U61" s="23"/>
      <c r="V61" s="25"/>
      <c r="W61" s="23"/>
      <c r="X61" s="26"/>
      <c r="Y61" s="24"/>
      <c r="Z61" s="25"/>
      <c r="AA61" s="23"/>
      <c r="AB61" s="25"/>
      <c r="AC61" s="23"/>
      <c r="AD61" s="26"/>
    </row>
    <row r="62">
      <c r="A62" s="30" t="s">
        <v>53</v>
      </c>
      <c r="B62" s="22" t="s">
        <v>59</v>
      </c>
      <c r="C62" s="22" t="s">
        <v>60</v>
      </c>
      <c r="D62" s="24"/>
      <c r="E62" s="25"/>
      <c r="F62" s="23"/>
      <c r="G62" s="25"/>
      <c r="H62" s="23"/>
      <c r="I62" s="26"/>
      <c r="J62" s="24"/>
      <c r="K62" s="25"/>
      <c r="L62" s="23"/>
      <c r="M62" s="25"/>
      <c r="N62" s="23"/>
      <c r="O62" s="26"/>
      <c r="P62" s="27"/>
      <c r="Q62" s="28"/>
      <c r="R62" s="29"/>
      <c r="S62" s="24"/>
      <c r="T62" s="25"/>
      <c r="U62" s="23"/>
      <c r="V62" s="25"/>
      <c r="W62" s="23"/>
      <c r="X62" s="26"/>
      <c r="Y62" s="24"/>
      <c r="Z62" s="25"/>
      <c r="AA62" s="23"/>
      <c r="AB62" s="25"/>
      <c r="AC62" s="23"/>
      <c r="AD62" s="26"/>
    </row>
    <row r="63">
      <c r="A63" s="30" t="s">
        <v>54</v>
      </c>
      <c r="B63" s="22" t="s">
        <v>59</v>
      </c>
      <c r="C63" s="22" t="s">
        <v>60</v>
      </c>
      <c r="D63" s="24"/>
      <c r="E63" s="25"/>
      <c r="F63" s="23"/>
      <c r="G63" s="25"/>
      <c r="H63" s="23"/>
      <c r="I63" s="26"/>
      <c r="J63" s="24"/>
      <c r="K63" s="25"/>
      <c r="L63" s="23"/>
      <c r="M63" s="25"/>
      <c r="N63" s="23"/>
      <c r="O63" s="26"/>
      <c r="P63" s="27"/>
      <c r="Q63" s="28"/>
      <c r="R63" s="29"/>
      <c r="S63" s="24"/>
      <c r="T63" s="25"/>
      <c r="U63" s="23"/>
      <c r="V63" s="25"/>
      <c r="W63" s="23"/>
      <c r="X63" s="26"/>
      <c r="Y63" s="24"/>
      <c r="Z63" s="25"/>
      <c r="AA63" s="23"/>
      <c r="AB63" s="25"/>
      <c r="AC63" s="23"/>
      <c r="AD63" s="26"/>
    </row>
    <row r="64">
      <c r="A64" s="30" t="s">
        <v>55</v>
      </c>
      <c r="B64" s="22" t="s">
        <v>59</v>
      </c>
      <c r="C64" s="22" t="s">
        <v>60</v>
      </c>
      <c r="D64" s="24"/>
      <c r="E64" s="25" t="n">
        <f>33718</f>
        <v>33718.0</v>
      </c>
      <c r="F64" s="23"/>
      <c r="G64" s="25" t="n">
        <f>25720</f>
        <v>25720.0</v>
      </c>
      <c r="H64" s="23"/>
      <c r="I64" s="26" t="n">
        <f>59438</f>
        <v>59438.0</v>
      </c>
      <c r="J64" s="24"/>
      <c r="K64" s="25" t="n">
        <f>337813490</f>
        <v>3.3781349E8</v>
      </c>
      <c r="L64" s="23" t="s">
        <v>37</v>
      </c>
      <c r="M64" s="25" t="n">
        <f>565869610</f>
        <v>5.6586961E8</v>
      </c>
      <c r="N64" s="23" t="s">
        <v>37</v>
      </c>
      <c r="O64" s="26" t="n">
        <f>903683100</f>
        <v>9.036831E8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/>
      <c r="T64" s="25" t="n">
        <f>4080</f>
        <v>4080.0</v>
      </c>
      <c r="U64" s="23"/>
      <c r="V64" s="25" t="n">
        <f>1170</f>
        <v>1170.0</v>
      </c>
      <c r="W64" s="23"/>
      <c r="X64" s="26" t="n">
        <f>5250</f>
        <v>5250.0</v>
      </c>
      <c r="Y64" s="24"/>
      <c r="Z64" s="25" t="n">
        <f>28559</f>
        <v>28559.0</v>
      </c>
      <c r="AA64" s="23"/>
      <c r="AB64" s="25" t="n">
        <f>17043</f>
        <v>17043.0</v>
      </c>
      <c r="AC64" s="23"/>
      <c r="AD64" s="26" t="n">
        <f>45602</f>
        <v>45602.0</v>
      </c>
    </row>
    <row r="65">
      <c r="A65" s="30" t="s">
        <v>56</v>
      </c>
      <c r="B65" s="22" t="s">
        <v>59</v>
      </c>
      <c r="C65" s="22" t="s">
        <v>60</v>
      </c>
      <c r="D65" s="24"/>
      <c r="E65" s="25" t="n">
        <f>16322</f>
        <v>16322.0</v>
      </c>
      <c r="F65" s="23"/>
      <c r="G65" s="25" t="n">
        <f>13355</f>
        <v>13355.0</v>
      </c>
      <c r="H65" s="23"/>
      <c r="I65" s="26" t="n">
        <f>29677</f>
        <v>29677.0</v>
      </c>
      <c r="J65" s="24"/>
      <c r="K65" s="25" t="n">
        <f>115240750</f>
        <v>1.1524075E8</v>
      </c>
      <c r="L65" s="23"/>
      <c r="M65" s="25" t="n">
        <f>182092650</f>
        <v>1.8209265E8</v>
      </c>
      <c r="N65" s="23"/>
      <c r="O65" s="26" t="n">
        <f>297333400</f>
        <v>2.973334E8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3620</f>
        <v>3620.0</v>
      </c>
      <c r="U65" s="23"/>
      <c r="V65" s="25" t="n">
        <f>770</f>
        <v>770.0</v>
      </c>
      <c r="W65" s="23"/>
      <c r="X65" s="26" t="n">
        <f>4390</f>
        <v>4390.0</v>
      </c>
      <c r="Y65" s="24"/>
      <c r="Z65" s="25" t="n">
        <f>31658</f>
        <v>31658.0</v>
      </c>
      <c r="AA65" s="23"/>
      <c r="AB65" s="25" t="n">
        <f>18448</f>
        <v>18448.0</v>
      </c>
      <c r="AC65" s="23"/>
      <c r="AD65" s="26" t="n">
        <f>50106</f>
        <v>50106.0</v>
      </c>
    </row>
    <row r="66">
      <c r="A66" s="30" t="s">
        <v>57</v>
      </c>
      <c r="B66" s="22" t="s">
        <v>59</v>
      </c>
      <c r="C66" s="22" t="s">
        <v>60</v>
      </c>
      <c r="D66" s="24"/>
      <c r="E66" s="25" t="n">
        <f>18521</f>
        <v>18521.0</v>
      </c>
      <c r="F66" s="23"/>
      <c r="G66" s="25" t="n">
        <f>12906</f>
        <v>12906.0</v>
      </c>
      <c r="H66" s="23"/>
      <c r="I66" s="26" t="n">
        <f>31427</f>
        <v>31427.0</v>
      </c>
      <c r="J66" s="24"/>
      <c r="K66" s="25" t="n">
        <f>110985890</f>
        <v>1.1098589E8</v>
      </c>
      <c r="L66" s="23"/>
      <c r="M66" s="25" t="n">
        <f>132018810</f>
        <v>1.3201881E8</v>
      </c>
      <c r="N66" s="23"/>
      <c r="O66" s="26" t="n">
        <f>243004700</f>
        <v>2.430047E8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/>
      <c r="T66" s="25" t="n">
        <f>2290</f>
        <v>2290.0</v>
      </c>
      <c r="U66" s="23"/>
      <c r="V66" s="25" t="n">
        <f>1140</f>
        <v>1140.0</v>
      </c>
      <c r="W66" s="23"/>
      <c r="X66" s="26" t="n">
        <f>3430</f>
        <v>3430.0</v>
      </c>
      <c r="Y66" s="24"/>
      <c r="Z66" s="25" t="n">
        <f>33541</f>
        <v>33541.0</v>
      </c>
      <c r="AA66" s="23"/>
      <c r="AB66" s="25" t="n">
        <f>19536</f>
        <v>19536.0</v>
      </c>
      <c r="AC66" s="23"/>
      <c r="AD66" s="26" t="n">
        <f>53077</f>
        <v>53077.0</v>
      </c>
    </row>
    <row r="67">
      <c r="A67" s="30" t="s">
        <v>58</v>
      </c>
      <c r="B67" s="22" t="s">
        <v>59</v>
      </c>
      <c r="C67" s="22" t="s">
        <v>60</v>
      </c>
      <c r="D67" s="24"/>
      <c r="E67" s="25" t="n">
        <f>32646</f>
        <v>32646.0</v>
      </c>
      <c r="F67" s="23" t="s">
        <v>37</v>
      </c>
      <c r="G67" s="25" t="n">
        <f>35043</f>
        <v>35043.0</v>
      </c>
      <c r="H67" s="23"/>
      <c r="I67" s="26" t="n">
        <f>67689</f>
        <v>67689.0</v>
      </c>
      <c r="J67" s="24"/>
      <c r="K67" s="25" t="n">
        <f>204738850</f>
        <v>2.0473885E8</v>
      </c>
      <c r="L67" s="23"/>
      <c r="M67" s="25" t="n">
        <f>372667100</f>
        <v>3.726671E8</v>
      </c>
      <c r="N67" s="23"/>
      <c r="O67" s="26" t="n">
        <f>577405950</f>
        <v>5.7740595E8</v>
      </c>
      <c r="P67" s="27" t="str">
        <f>"－"</f>
        <v>－</v>
      </c>
      <c r="Q67" s="28" t="str">
        <f>"－"</f>
        <v>－</v>
      </c>
      <c r="R67" s="29" t="str">
        <f>"－"</f>
        <v>－</v>
      </c>
      <c r="S67" s="24"/>
      <c r="T67" s="25" t="n">
        <f>7960</f>
        <v>7960.0</v>
      </c>
      <c r="U67" s="23"/>
      <c r="V67" s="25" t="n">
        <f>2968</f>
        <v>2968.0</v>
      </c>
      <c r="W67" s="23"/>
      <c r="X67" s="26" t="n">
        <f>10928</f>
        <v>10928.0</v>
      </c>
      <c r="Y67" s="24"/>
      <c r="Z67" s="25" t="n">
        <f>35755</f>
        <v>35755.0</v>
      </c>
      <c r="AA67" s="23" t="s">
        <v>37</v>
      </c>
      <c r="AB67" s="25" t="n">
        <f>29432</f>
        <v>29432.0</v>
      </c>
      <c r="AC67" s="23"/>
      <c r="AD67" s="26" t="n">
        <f>65187</f>
        <v>65187.0</v>
      </c>
    </row>
    <row r="68">
      <c r="A68" s="30" t="s">
        <v>26</v>
      </c>
      <c r="B68" s="22" t="s">
        <v>61</v>
      </c>
      <c r="C68" s="22" t="s">
        <v>62</v>
      </c>
      <c r="D68" s="24"/>
      <c r="E68" s="25" t="n">
        <f>3027</f>
        <v>3027.0</v>
      </c>
      <c r="F68" s="23"/>
      <c r="G68" s="25" t="n">
        <f>1735</f>
        <v>1735.0</v>
      </c>
      <c r="H68" s="23"/>
      <c r="I68" s="26" t="n">
        <f>4762</f>
        <v>4762.0</v>
      </c>
      <c r="J68" s="24"/>
      <c r="K68" s="25" t="n">
        <f>839841100</f>
        <v>8.398411E8</v>
      </c>
      <c r="L68" s="23"/>
      <c r="M68" s="25" t="n">
        <f>449692500</f>
        <v>4.496925E8</v>
      </c>
      <c r="N68" s="23"/>
      <c r="O68" s="26" t="n">
        <f>1289533600</f>
        <v>1.2895336E9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1392</f>
        <v>1392.0</v>
      </c>
      <c r="U68" s="23"/>
      <c r="V68" s="25" t="n">
        <f>400</f>
        <v>400.0</v>
      </c>
      <c r="W68" s="23"/>
      <c r="X68" s="26" t="n">
        <f>1792</f>
        <v>1792.0</v>
      </c>
      <c r="Y68" s="24"/>
      <c r="Z68" s="25" t="n">
        <f>100253</f>
        <v>100253.0</v>
      </c>
      <c r="AA68" s="23"/>
      <c r="AB68" s="25" t="n">
        <f>66937</f>
        <v>66937.0</v>
      </c>
      <c r="AC68" s="23"/>
      <c r="AD68" s="26" t="n">
        <f>167190</f>
        <v>167190.0</v>
      </c>
    </row>
    <row r="69">
      <c r="A69" s="30" t="s">
        <v>29</v>
      </c>
      <c r="B69" s="22" t="s">
        <v>61</v>
      </c>
      <c r="C69" s="22" t="s">
        <v>62</v>
      </c>
      <c r="D69" s="24"/>
      <c r="E69" s="25" t="n">
        <f>1190</f>
        <v>1190.0</v>
      </c>
      <c r="F69" s="23"/>
      <c r="G69" s="25" t="n">
        <f>502</f>
        <v>502.0</v>
      </c>
      <c r="H69" s="23"/>
      <c r="I69" s="26" t="n">
        <f>1692</f>
        <v>1692.0</v>
      </c>
      <c r="J69" s="24"/>
      <c r="K69" s="25" t="n">
        <f>468832375</f>
        <v>4.68832375E8</v>
      </c>
      <c r="L69" s="23"/>
      <c r="M69" s="25" t="n">
        <f>316333200</f>
        <v>3.163332E8</v>
      </c>
      <c r="N69" s="23"/>
      <c r="O69" s="26" t="n">
        <f>785165575</f>
        <v>7.85165575E8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150</f>
        <v>150.0</v>
      </c>
      <c r="U69" s="23" t="s">
        <v>33</v>
      </c>
      <c r="V69" s="25" t="str">
        <f>"－"</f>
        <v>－</v>
      </c>
      <c r="W69" s="23"/>
      <c r="X69" s="26" t="n">
        <f>150</f>
        <v>150.0</v>
      </c>
      <c r="Y69" s="24"/>
      <c r="Z69" s="25" t="n">
        <f>100853</f>
        <v>100853.0</v>
      </c>
      <c r="AA69" s="23"/>
      <c r="AB69" s="25" t="n">
        <f>67435</f>
        <v>67435.0</v>
      </c>
      <c r="AC69" s="23"/>
      <c r="AD69" s="26" t="n">
        <f>168288</f>
        <v>168288.0</v>
      </c>
    </row>
    <row r="70">
      <c r="A70" s="30" t="s">
        <v>30</v>
      </c>
      <c r="B70" s="22" t="s">
        <v>61</v>
      </c>
      <c r="C70" s="22" t="s">
        <v>62</v>
      </c>
      <c r="D70" s="24"/>
      <c r="E70" s="25"/>
      <c r="F70" s="23"/>
      <c r="G70" s="25"/>
      <c r="H70" s="23"/>
      <c r="I70" s="26"/>
      <c r="J70" s="24"/>
      <c r="K70" s="25"/>
      <c r="L70" s="23"/>
      <c r="M70" s="25"/>
      <c r="N70" s="23"/>
      <c r="O70" s="26"/>
      <c r="P70" s="27"/>
      <c r="Q70" s="28"/>
      <c r="R70" s="29"/>
      <c r="S70" s="24"/>
      <c r="T70" s="25"/>
      <c r="U70" s="23"/>
      <c r="V70" s="25"/>
      <c r="W70" s="23"/>
      <c r="X70" s="26"/>
      <c r="Y70" s="24"/>
      <c r="Z70" s="25"/>
      <c r="AA70" s="23"/>
      <c r="AB70" s="25"/>
      <c r="AC70" s="23"/>
      <c r="AD70" s="26"/>
    </row>
    <row r="71">
      <c r="A71" s="30" t="s">
        <v>31</v>
      </c>
      <c r="B71" s="22" t="s">
        <v>61</v>
      </c>
      <c r="C71" s="22" t="s">
        <v>62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32</v>
      </c>
      <c r="B72" s="22" t="s">
        <v>61</v>
      </c>
      <c r="C72" s="22" t="s">
        <v>62</v>
      </c>
      <c r="D72" s="24"/>
      <c r="E72" s="25" t="n">
        <f>1360</f>
        <v>1360.0</v>
      </c>
      <c r="F72" s="23"/>
      <c r="G72" s="25" t="n">
        <f>2230</f>
        <v>2230.0</v>
      </c>
      <c r="H72" s="23"/>
      <c r="I72" s="26" t="n">
        <f>3590</f>
        <v>3590.0</v>
      </c>
      <c r="J72" s="24"/>
      <c r="K72" s="25" t="n">
        <f>237460000</f>
        <v>2.3746E8</v>
      </c>
      <c r="L72" s="23"/>
      <c r="M72" s="25" t="n">
        <f>429444000</f>
        <v>4.29444E8</v>
      </c>
      <c r="N72" s="23"/>
      <c r="O72" s="26" t="n">
        <f>666904000</f>
        <v>6.66904E8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 t="s">
        <v>33</v>
      </c>
      <c r="T72" s="25" t="str">
        <f>"－"</f>
        <v>－</v>
      </c>
      <c r="U72" s="23"/>
      <c r="V72" s="25" t="n">
        <f>600</f>
        <v>600.0</v>
      </c>
      <c r="W72" s="23"/>
      <c r="X72" s="26" t="n">
        <f>600</f>
        <v>600.0</v>
      </c>
      <c r="Y72" s="24"/>
      <c r="Z72" s="25" t="n">
        <f>101903</f>
        <v>101903.0</v>
      </c>
      <c r="AA72" s="23"/>
      <c r="AB72" s="25" t="n">
        <f>69508</f>
        <v>69508.0</v>
      </c>
      <c r="AC72" s="23"/>
      <c r="AD72" s="26" t="n">
        <f>171411</f>
        <v>171411.0</v>
      </c>
    </row>
    <row r="73">
      <c r="A73" s="30" t="s">
        <v>34</v>
      </c>
      <c r="B73" s="22" t="s">
        <v>61</v>
      </c>
      <c r="C73" s="22" t="s">
        <v>62</v>
      </c>
      <c r="D73" s="24"/>
      <c r="E73" s="25" t="n">
        <f>600</f>
        <v>600.0</v>
      </c>
      <c r="F73" s="23"/>
      <c r="G73" s="25" t="n">
        <f>1335</f>
        <v>1335.0</v>
      </c>
      <c r="H73" s="23"/>
      <c r="I73" s="26" t="n">
        <f>1935</f>
        <v>1935.0</v>
      </c>
      <c r="J73" s="24"/>
      <c r="K73" s="25" t="n">
        <f>191450000</f>
        <v>1.9145E8</v>
      </c>
      <c r="L73" s="23"/>
      <c r="M73" s="25" t="n">
        <f>346894000</f>
        <v>3.46894E8</v>
      </c>
      <c r="N73" s="23"/>
      <c r="O73" s="26" t="n">
        <f>538344000</f>
        <v>5.38344E8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str">
        <f>"－"</f>
        <v>－</v>
      </c>
      <c r="U73" s="23"/>
      <c r="V73" s="25" t="n">
        <f>585</f>
        <v>585.0</v>
      </c>
      <c r="W73" s="23"/>
      <c r="X73" s="26" t="n">
        <f>585</f>
        <v>585.0</v>
      </c>
      <c r="Y73" s="24"/>
      <c r="Z73" s="25" t="n">
        <f>101803</f>
        <v>101803.0</v>
      </c>
      <c r="AA73" s="23"/>
      <c r="AB73" s="25" t="n">
        <f>69223</f>
        <v>69223.0</v>
      </c>
      <c r="AC73" s="23"/>
      <c r="AD73" s="26" t="n">
        <f>171026</f>
        <v>171026.0</v>
      </c>
    </row>
    <row r="74">
      <c r="A74" s="30" t="s">
        <v>35</v>
      </c>
      <c r="B74" s="22" t="s">
        <v>61</v>
      </c>
      <c r="C74" s="22" t="s">
        <v>62</v>
      </c>
      <c r="D74" s="24"/>
      <c r="E74" s="25" t="n">
        <f>7020</f>
        <v>7020.0</v>
      </c>
      <c r="F74" s="23"/>
      <c r="G74" s="25" t="n">
        <f>1686</f>
        <v>1686.0</v>
      </c>
      <c r="H74" s="23"/>
      <c r="I74" s="26" t="n">
        <f>8706</f>
        <v>8706.0</v>
      </c>
      <c r="J74" s="24"/>
      <c r="K74" s="25" t="n">
        <f>1824450000</f>
        <v>1.82445E9</v>
      </c>
      <c r="L74" s="23"/>
      <c r="M74" s="25" t="n">
        <f>1241239000</f>
        <v>1.241239E9</v>
      </c>
      <c r="N74" s="23"/>
      <c r="O74" s="26" t="n">
        <f>3065689000</f>
        <v>3.065689E9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n">
        <f>6300</f>
        <v>6300.0</v>
      </c>
      <c r="U74" s="23"/>
      <c r="V74" s="25" t="n">
        <f>920</f>
        <v>920.0</v>
      </c>
      <c r="W74" s="23"/>
      <c r="X74" s="26" t="n">
        <f>7220</f>
        <v>7220.0</v>
      </c>
      <c r="Y74" s="24"/>
      <c r="Z74" s="25" t="n">
        <f>108203</f>
        <v>108203.0</v>
      </c>
      <c r="AA74" s="23"/>
      <c r="AB74" s="25" t="n">
        <f>69030</f>
        <v>69030.0</v>
      </c>
      <c r="AC74" s="23"/>
      <c r="AD74" s="26" t="n">
        <f>177233</f>
        <v>177233.0</v>
      </c>
    </row>
    <row r="75">
      <c r="A75" s="30" t="s">
        <v>36</v>
      </c>
      <c r="B75" s="22" t="s">
        <v>61</v>
      </c>
      <c r="C75" s="22" t="s">
        <v>62</v>
      </c>
      <c r="D75" s="24"/>
      <c r="E75" s="25" t="n">
        <f>755</f>
        <v>755.0</v>
      </c>
      <c r="F75" s="23"/>
      <c r="G75" s="25" t="n">
        <f>2752</f>
        <v>2752.0</v>
      </c>
      <c r="H75" s="23"/>
      <c r="I75" s="26" t="n">
        <f>3507</f>
        <v>3507.0</v>
      </c>
      <c r="J75" s="24"/>
      <c r="K75" s="25" t="n">
        <f>69200000</f>
        <v>6.92E7</v>
      </c>
      <c r="L75" s="23"/>
      <c r="M75" s="25" t="n">
        <f>303138220</f>
        <v>3.0313822E8</v>
      </c>
      <c r="N75" s="23"/>
      <c r="O75" s="26" t="n">
        <f>372338220</f>
        <v>3.7233822E8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str">
        <f>"－"</f>
        <v>－</v>
      </c>
      <c r="U75" s="23"/>
      <c r="V75" s="25" t="n">
        <f>1545</f>
        <v>1545.0</v>
      </c>
      <c r="W75" s="23"/>
      <c r="X75" s="26" t="n">
        <f>1545</f>
        <v>1545.0</v>
      </c>
      <c r="Y75" s="24"/>
      <c r="Z75" s="25" t="n">
        <f>108666</f>
        <v>108666.0</v>
      </c>
      <c r="AA75" s="23"/>
      <c r="AB75" s="25" t="n">
        <f>71573</f>
        <v>71573.0</v>
      </c>
      <c r="AC75" s="23"/>
      <c r="AD75" s="26" t="n">
        <f>180239</f>
        <v>180239.0</v>
      </c>
    </row>
    <row r="76">
      <c r="A76" s="30" t="s">
        <v>38</v>
      </c>
      <c r="B76" s="22" t="s">
        <v>61</v>
      </c>
      <c r="C76" s="22" t="s">
        <v>62</v>
      </c>
      <c r="D76" s="24"/>
      <c r="E76" s="25" t="n">
        <f>3650</f>
        <v>3650.0</v>
      </c>
      <c r="F76" s="23"/>
      <c r="G76" s="25" t="n">
        <f>1225</f>
        <v>1225.0</v>
      </c>
      <c r="H76" s="23"/>
      <c r="I76" s="26" t="n">
        <f>4875</f>
        <v>4875.0</v>
      </c>
      <c r="J76" s="24"/>
      <c r="K76" s="25" t="n">
        <f>2192000000</f>
        <v>2.192E9</v>
      </c>
      <c r="L76" s="23"/>
      <c r="M76" s="25" t="n">
        <f>561750000</f>
        <v>5.6175E8</v>
      </c>
      <c r="N76" s="23"/>
      <c r="O76" s="26" t="n">
        <f>2753750000</f>
        <v>2.75375E9</v>
      </c>
      <c r="P76" s="27" t="n">
        <f>160</f>
        <v>160.0</v>
      </c>
      <c r="Q76" s="28" t="n">
        <f>4655</f>
        <v>4655.0</v>
      </c>
      <c r="R76" s="29" t="n">
        <f>4815</f>
        <v>4815.0</v>
      </c>
      <c r="S76" s="24"/>
      <c r="T76" s="25" t="n">
        <f>1500</f>
        <v>1500.0</v>
      </c>
      <c r="U76" s="23"/>
      <c r="V76" s="25" t="n">
        <f>500</f>
        <v>500.0</v>
      </c>
      <c r="W76" s="23"/>
      <c r="X76" s="26" t="n">
        <f>2000</f>
        <v>2000.0</v>
      </c>
      <c r="Y76" s="24" t="s">
        <v>33</v>
      </c>
      <c r="Z76" s="25" t="n">
        <f>93239</f>
        <v>93239.0</v>
      </c>
      <c r="AA76" s="23" t="s">
        <v>33</v>
      </c>
      <c r="AB76" s="25" t="n">
        <f>66453</f>
        <v>66453.0</v>
      </c>
      <c r="AC76" s="23" t="s">
        <v>33</v>
      </c>
      <c r="AD76" s="26" t="n">
        <f>159692</f>
        <v>159692.0</v>
      </c>
    </row>
    <row r="77">
      <c r="A77" s="30" t="s">
        <v>39</v>
      </c>
      <c r="B77" s="22" t="s">
        <v>61</v>
      </c>
      <c r="C77" s="22" t="s">
        <v>62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40</v>
      </c>
      <c r="B78" s="22" t="s">
        <v>61</v>
      </c>
      <c r="C78" s="22" t="s">
        <v>62</v>
      </c>
      <c r="D78" s="24"/>
      <c r="E78" s="25"/>
      <c r="F78" s="23"/>
      <c r="G78" s="25"/>
      <c r="H78" s="23"/>
      <c r="I78" s="26"/>
      <c r="J78" s="24"/>
      <c r="K78" s="25"/>
      <c r="L78" s="23"/>
      <c r="M78" s="25"/>
      <c r="N78" s="23"/>
      <c r="O78" s="26"/>
      <c r="P78" s="27"/>
      <c r="Q78" s="28"/>
      <c r="R78" s="29"/>
      <c r="S78" s="24"/>
      <c r="T78" s="25"/>
      <c r="U78" s="23"/>
      <c r="V78" s="25"/>
      <c r="W78" s="23"/>
      <c r="X78" s="26"/>
      <c r="Y78" s="24"/>
      <c r="Z78" s="25"/>
      <c r="AA78" s="23"/>
      <c r="AB78" s="25"/>
      <c r="AC78" s="23"/>
      <c r="AD78" s="26"/>
    </row>
    <row r="79">
      <c r="A79" s="30" t="s">
        <v>41</v>
      </c>
      <c r="B79" s="22" t="s">
        <v>61</v>
      </c>
      <c r="C79" s="22" t="s">
        <v>62</v>
      </c>
      <c r="D79" s="24"/>
      <c r="E79" s="25"/>
      <c r="F79" s="23"/>
      <c r="G79" s="25"/>
      <c r="H79" s="23"/>
      <c r="I79" s="26"/>
      <c r="J79" s="24"/>
      <c r="K79" s="25"/>
      <c r="L79" s="23"/>
      <c r="M79" s="25"/>
      <c r="N79" s="23"/>
      <c r="O79" s="26"/>
      <c r="P79" s="27"/>
      <c r="Q79" s="28"/>
      <c r="R79" s="29"/>
      <c r="S79" s="24"/>
      <c r="T79" s="25"/>
      <c r="U79" s="23"/>
      <c r="V79" s="25"/>
      <c r="W79" s="23"/>
      <c r="X79" s="26"/>
      <c r="Y79" s="24"/>
      <c r="Z79" s="25"/>
      <c r="AA79" s="23"/>
      <c r="AB79" s="25"/>
      <c r="AC79" s="23"/>
      <c r="AD79" s="26"/>
    </row>
    <row r="80">
      <c r="A80" s="30" t="s">
        <v>42</v>
      </c>
      <c r="B80" s="22" t="s">
        <v>61</v>
      </c>
      <c r="C80" s="22" t="s">
        <v>62</v>
      </c>
      <c r="D80" s="24"/>
      <c r="E80" s="25" t="n">
        <f>500</f>
        <v>500.0</v>
      </c>
      <c r="F80" s="23"/>
      <c r="G80" s="25" t="n">
        <f>590</f>
        <v>590.0</v>
      </c>
      <c r="H80" s="23"/>
      <c r="I80" s="26" t="n">
        <f>1090</f>
        <v>1090.0</v>
      </c>
      <c r="J80" s="24"/>
      <c r="K80" s="25" t="n">
        <f>116000000</f>
        <v>1.16E8</v>
      </c>
      <c r="L80" s="23"/>
      <c r="M80" s="25" t="n">
        <f>196400000</f>
        <v>1.964E8</v>
      </c>
      <c r="N80" s="23"/>
      <c r="O80" s="26" t="n">
        <f>312400000</f>
        <v>3.124E8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n">
        <f>150</f>
        <v>150.0</v>
      </c>
      <c r="U80" s="23"/>
      <c r="V80" s="25" t="n">
        <f>240</f>
        <v>240.0</v>
      </c>
      <c r="W80" s="23"/>
      <c r="X80" s="26" t="n">
        <f>390</f>
        <v>390.0</v>
      </c>
      <c r="Y80" s="24"/>
      <c r="Z80" s="25" t="n">
        <f>93739</f>
        <v>93739.0</v>
      </c>
      <c r="AA80" s="23"/>
      <c r="AB80" s="25" t="n">
        <f>67043</f>
        <v>67043.0</v>
      </c>
      <c r="AC80" s="23"/>
      <c r="AD80" s="26" t="n">
        <f>160782</f>
        <v>160782.0</v>
      </c>
    </row>
    <row r="81">
      <c r="A81" s="30" t="s">
        <v>43</v>
      </c>
      <c r="B81" s="22" t="s">
        <v>61</v>
      </c>
      <c r="C81" s="22" t="s">
        <v>62</v>
      </c>
      <c r="D81" s="24"/>
      <c r="E81" s="25" t="n">
        <f>1375</f>
        <v>1375.0</v>
      </c>
      <c r="F81" s="23"/>
      <c r="G81" s="25" t="n">
        <f>2748</f>
        <v>2748.0</v>
      </c>
      <c r="H81" s="23"/>
      <c r="I81" s="26" t="n">
        <f>4123</f>
        <v>4123.0</v>
      </c>
      <c r="J81" s="24"/>
      <c r="K81" s="25" t="n">
        <f>617811250</f>
        <v>6.1781125E8</v>
      </c>
      <c r="L81" s="23"/>
      <c r="M81" s="25" t="n">
        <f>1511746546</f>
        <v>1.511746546E9</v>
      </c>
      <c r="N81" s="23"/>
      <c r="O81" s="26" t="n">
        <f>2129557796</f>
        <v>2.129557796E9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255</f>
        <v>255.0</v>
      </c>
      <c r="U81" s="23"/>
      <c r="V81" s="25" t="n">
        <f>1626</f>
        <v>1626.0</v>
      </c>
      <c r="W81" s="23"/>
      <c r="X81" s="26" t="n">
        <f>1881</f>
        <v>1881.0</v>
      </c>
      <c r="Y81" s="24"/>
      <c r="Z81" s="25" t="n">
        <f>94604</f>
        <v>94604.0</v>
      </c>
      <c r="AA81" s="23"/>
      <c r="AB81" s="25" t="n">
        <f>66564</f>
        <v>66564.0</v>
      </c>
      <c r="AC81" s="23"/>
      <c r="AD81" s="26" t="n">
        <f>161168</f>
        <v>161168.0</v>
      </c>
    </row>
    <row r="82">
      <c r="A82" s="30" t="s">
        <v>44</v>
      </c>
      <c r="B82" s="22" t="s">
        <v>61</v>
      </c>
      <c r="C82" s="22" t="s">
        <v>62</v>
      </c>
      <c r="D82" s="24"/>
      <c r="E82" s="25" t="n">
        <f>825</f>
        <v>825.0</v>
      </c>
      <c r="F82" s="23"/>
      <c r="G82" s="25" t="n">
        <f>1843</f>
        <v>1843.0</v>
      </c>
      <c r="H82" s="23"/>
      <c r="I82" s="26" t="n">
        <f>2668</f>
        <v>2668.0</v>
      </c>
      <c r="J82" s="24"/>
      <c r="K82" s="25" t="n">
        <f>1219375000</f>
        <v>1.219375E9</v>
      </c>
      <c r="L82" s="23"/>
      <c r="M82" s="25" t="n">
        <f>1205584200</f>
        <v>1.2055842E9</v>
      </c>
      <c r="N82" s="23"/>
      <c r="O82" s="26" t="n">
        <f>2424959200</f>
        <v>2.4249592E9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str">
        <f>"－"</f>
        <v>－</v>
      </c>
      <c r="U82" s="23"/>
      <c r="V82" s="25" t="n">
        <f>1250</f>
        <v>1250.0</v>
      </c>
      <c r="W82" s="23"/>
      <c r="X82" s="26" t="n">
        <f>1250</f>
        <v>1250.0</v>
      </c>
      <c r="Y82" s="24"/>
      <c r="Z82" s="25" t="n">
        <f>95429</f>
        <v>95429.0</v>
      </c>
      <c r="AA82" s="23"/>
      <c r="AB82" s="25" t="n">
        <f>67827</f>
        <v>67827.0</v>
      </c>
      <c r="AC82" s="23"/>
      <c r="AD82" s="26" t="n">
        <f>163256</f>
        <v>163256.0</v>
      </c>
    </row>
    <row r="83">
      <c r="A83" s="30" t="s">
        <v>45</v>
      </c>
      <c r="B83" s="22" t="s">
        <v>61</v>
      </c>
      <c r="C83" s="22" t="s">
        <v>62</v>
      </c>
      <c r="D83" s="24"/>
      <c r="E83" s="25" t="n">
        <f>625</f>
        <v>625.0</v>
      </c>
      <c r="F83" s="23"/>
      <c r="G83" s="25" t="n">
        <f>2204</f>
        <v>2204.0</v>
      </c>
      <c r="H83" s="23"/>
      <c r="I83" s="26" t="n">
        <f>2829</f>
        <v>2829.0</v>
      </c>
      <c r="J83" s="24"/>
      <c r="K83" s="25" t="n">
        <f>313350000</f>
        <v>3.1335E8</v>
      </c>
      <c r="L83" s="23"/>
      <c r="M83" s="25" t="n">
        <f>1880391118</f>
        <v>1.880391118E9</v>
      </c>
      <c r="N83" s="23"/>
      <c r="O83" s="26" t="n">
        <f>2193741118</f>
        <v>2.193741118E9</v>
      </c>
      <c r="P83" s="27" t="str">
        <f>"－"</f>
        <v>－</v>
      </c>
      <c r="Q83" s="28" t="str">
        <f>"－"</f>
        <v>－</v>
      </c>
      <c r="R83" s="29" t="str">
        <f>"－"</f>
        <v>－</v>
      </c>
      <c r="S83" s="24"/>
      <c r="T83" s="25" t="n">
        <f>100</f>
        <v>100.0</v>
      </c>
      <c r="U83" s="23"/>
      <c r="V83" s="25" t="n">
        <f>1664</f>
        <v>1664.0</v>
      </c>
      <c r="W83" s="23"/>
      <c r="X83" s="26" t="n">
        <f>1764</f>
        <v>1764.0</v>
      </c>
      <c r="Y83" s="24"/>
      <c r="Z83" s="25" t="n">
        <f>96054</f>
        <v>96054.0</v>
      </c>
      <c r="AA83" s="23"/>
      <c r="AB83" s="25" t="n">
        <f>69296</f>
        <v>69296.0</v>
      </c>
      <c r="AC83" s="23"/>
      <c r="AD83" s="26" t="n">
        <f>165350</f>
        <v>165350.0</v>
      </c>
    </row>
    <row r="84">
      <c r="A84" s="30" t="s">
        <v>46</v>
      </c>
      <c r="B84" s="22" t="s">
        <v>61</v>
      </c>
      <c r="C84" s="22" t="s">
        <v>62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47</v>
      </c>
      <c r="B85" s="22" t="s">
        <v>61</v>
      </c>
      <c r="C85" s="22" t="s">
        <v>62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48</v>
      </c>
      <c r="B86" s="22" t="s">
        <v>61</v>
      </c>
      <c r="C86" s="22" t="s">
        <v>62</v>
      </c>
      <c r="D86" s="24"/>
      <c r="E86" s="25" t="n">
        <f>840</f>
        <v>840.0</v>
      </c>
      <c r="F86" s="23"/>
      <c r="G86" s="25" t="n">
        <f>951</f>
        <v>951.0</v>
      </c>
      <c r="H86" s="23"/>
      <c r="I86" s="26" t="n">
        <f>1791</f>
        <v>1791.0</v>
      </c>
      <c r="J86" s="24"/>
      <c r="K86" s="25" t="n">
        <f>202760000</f>
        <v>2.0276E8</v>
      </c>
      <c r="L86" s="23"/>
      <c r="M86" s="25" t="n">
        <f>1581085000</f>
        <v>1.581085E9</v>
      </c>
      <c r="N86" s="23"/>
      <c r="O86" s="26" t="n">
        <f>1783845000</f>
        <v>1.783845E9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450</f>
        <v>450.0</v>
      </c>
      <c r="U86" s="23"/>
      <c r="V86" s="25" t="n">
        <f>950</f>
        <v>950.0</v>
      </c>
      <c r="W86" s="23"/>
      <c r="X86" s="26" t="n">
        <f>1400</f>
        <v>1400.0</v>
      </c>
      <c r="Y86" s="24"/>
      <c r="Z86" s="25" t="n">
        <f>95854</f>
        <v>95854.0</v>
      </c>
      <c r="AA86" s="23"/>
      <c r="AB86" s="25" t="n">
        <f>68961</f>
        <v>68961.0</v>
      </c>
      <c r="AC86" s="23"/>
      <c r="AD86" s="26" t="n">
        <f>164815</f>
        <v>164815.0</v>
      </c>
    </row>
    <row r="87">
      <c r="A87" s="30" t="s">
        <v>49</v>
      </c>
      <c r="B87" s="22" t="s">
        <v>61</v>
      </c>
      <c r="C87" s="22" t="s">
        <v>62</v>
      </c>
      <c r="D87" s="24"/>
      <c r="E87" s="25" t="n">
        <f>6450</f>
        <v>6450.0</v>
      </c>
      <c r="F87" s="23"/>
      <c r="G87" s="25" t="n">
        <f>2490</f>
        <v>2490.0</v>
      </c>
      <c r="H87" s="23"/>
      <c r="I87" s="26" t="n">
        <f>8940</f>
        <v>8940.0</v>
      </c>
      <c r="J87" s="24"/>
      <c r="K87" s="25" t="n">
        <f>3989833350</f>
        <v>3.98983335E9</v>
      </c>
      <c r="L87" s="23"/>
      <c r="M87" s="25" t="n">
        <f>838158975</f>
        <v>8.38158975E8</v>
      </c>
      <c r="N87" s="23"/>
      <c r="O87" s="26" t="n">
        <f>4827992325</f>
        <v>4.827992325E9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n">
        <f>4300</f>
        <v>4300.0</v>
      </c>
      <c r="U87" s="23" t="s">
        <v>37</v>
      </c>
      <c r="V87" s="25" t="n">
        <f>2090</f>
        <v>2090.0</v>
      </c>
      <c r="W87" s="23"/>
      <c r="X87" s="26" t="n">
        <f>6390</f>
        <v>6390.0</v>
      </c>
      <c r="Y87" s="24"/>
      <c r="Z87" s="25" t="n">
        <f>99654</f>
        <v>99654.0</v>
      </c>
      <c r="AA87" s="23"/>
      <c r="AB87" s="25" t="n">
        <f>67997</f>
        <v>67997.0</v>
      </c>
      <c r="AC87" s="23"/>
      <c r="AD87" s="26" t="n">
        <f>167651</f>
        <v>167651.0</v>
      </c>
    </row>
    <row r="88">
      <c r="A88" s="30" t="s">
        <v>50</v>
      </c>
      <c r="B88" s="22" t="s">
        <v>61</v>
      </c>
      <c r="C88" s="22" t="s">
        <v>62</v>
      </c>
      <c r="D88" s="24" t="s">
        <v>33</v>
      </c>
      <c r="E88" s="25" t="str">
        <f>"－"</f>
        <v>－</v>
      </c>
      <c r="F88" s="23" t="s">
        <v>33</v>
      </c>
      <c r="G88" s="25" t="str">
        <f>"－"</f>
        <v>－</v>
      </c>
      <c r="H88" s="23" t="s">
        <v>33</v>
      </c>
      <c r="I88" s="26" t="str">
        <f>"－"</f>
        <v>－</v>
      </c>
      <c r="J88" s="24" t="s">
        <v>33</v>
      </c>
      <c r="K88" s="25" t="str">
        <f>"－"</f>
        <v>－</v>
      </c>
      <c r="L88" s="23" t="s">
        <v>33</v>
      </c>
      <c r="M88" s="25" t="str">
        <f>"－"</f>
        <v>－</v>
      </c>
      <c r="N88" s="23" t="s">
        <v>33</v>
      </c>
      <c r="O88" s="26" t="str">
        <f>"－"</f>
        <v>－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str">
        <f>"－"</f>
        <v>－</v>
      </c>
      <c r="U88" s="23"/>
      <c r="V88" s="25" t="str">
        <f>"－"</f>
        <v>－</v>
      </c>
      <c r="W88" s="23" t="s">
        <v>33</v>
      </c>
      <c r="X88" s="26" t="str">
        <f>"－"</f>
        <v>－</v>
      </c>
      <c r="Y88" s="24"/>
      <c r="Z88" s="25" t="n">
        <f>99654</f>
        <v>99654.0</v>
      </c>
      <c r="AA88" s="23"/>
      <c r="AB88" s="25" t="n">
        <f>67997</f>
        <v>67997.0</v>
      </c>
      <c r="AC88" s="23"/>
      <c r="AD88" s="26" t="n">
        <f>167651</f>
        <v>167651.0</v>
      </c>
    </row>
    <row r="89">
      <c r="A89" s="30" t="s">
        <v>51</v>
      </c>
      <c r="B89" s="22" t="s">
        <v>61</v>
      </c>
      <c r="C89" s="22" t="s">
        <v>62</v>
      </c>
      <c r="D89" s="24"/>
      <c r="E89" s="25" t="n">
        <f>2692</f>
        <v>2692.0</v>
      </c>
      <c r="F89" s="23"/>
      <c r="G89" s="25" t="n">
        <f>3532</f>
        <v>3532.0</v>
      </c>
      <c r="H89" s="23"/>
      <c r="I89" s="26" t="n">
        <f>6224</f>
        <v>6224.0</v>
      </c>
      <c r="J89" s="24"/>
      <c r="K89" s="25" t="n">
        <f>781875000</f>
        <v>7.81875E8</v>
      </c>
      <c r="L89" s="23"/>
      <c r="M89" s="25" t="n">
        <f>1006207000</f>
        <v>1.006207E9</v>
      </c>
      <c r="N89" s="23"/>
      <c r="O89" s="26" t="n">
        <f>1788082000</f>
        <v>1.788082E9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200</f>
        <v>200.0</v>
      </c>
      <c r="U89" s="23"/>
      <c r="V89" s="25" t="n">
        <f>200</f>
        <v>200.0</v>
      </c>
      <c r="W89" s="23"/>
      <c r="X89" s="26" t="n">
        <f>400</f>
        <v>400.0</v>
      </c>
      <c r="Y89" s="24"/>
      <c r="Z89" s="25" t="n">
        <f>101624</f>
        <v>101624.0</v>
      </c>
      <c r="AA89" s="23"/>
      <c r="AB89" s="25" t="n">
        <f>70077</f>
        <v>70077.0</v>
      </c>
      <c r="AC89" s="23"/>
      <c r="AD89" s="26" t="n">
        <f>171701</f>
        <v>171701.0</v>
      </c>
    </row>
    <row r="90">
      <c r="A90" s="30" t="s">
        <v>52</v>
      </c>
      <c r="B90" s="22" t="s">
        <v>61</v>
      </c>
      <c r="C90" s="22" t="s">
        <v>62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53</v>
      </c>
      <c r="B91" s="22" t="s">
        <v>61</v>
      </c>
      <c r="C91" s="22" t="s">
        <v>62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54</v>
      </c>
      <c r="B92" s="22" t="s">
        <v>61</v>
      </c>
      <c r="C92" s="22" t="s">
        <v>62</v>
      </c>
      <c r="D92" s="24"/>
      <c r="E92" s="25"/>
      <c r="F92" s="23"/>
      <c r="G92" s="25"/>
      <c r="H92" s="23"/>
      <c r="I92" s="26"/>
      <c r="J92" s="24"/>
      <c r="K92" s="25"/>
      <c r="L92" s="23"/>
      <c r="M92" s="25"/>
      <c r="N92" s="23"/>
      <c r="O92" s="26"/>
      <c r="P92" s="27"/>
      <c r="Q92" s="28"/>
      <c r="R92" s="29"/>
      <c r="S92" s="24"/>
      <c r="T92" s="25"/>
      <c r="U92" s="23"/>
      <c r="V92" s="25"/>
      <c r="W92" s="23"/>
      <c r="X92" s="26"/>
      <c r="Y92" s="24"/>
      <c r="Z92" s="25"/>
      <c r="AA92" s="23"/>
      <c r="AB92" s="25"/>
      <c r="AC92" s="23"/>
      <c r="AD92" s="26"/>
    </row>
    <row r="93">
      <c r="A93" s="30" t="s">
        <v>55</v>
      </c>
      <c r="B93" s="22" t="s">
        <v>61</v>
      </c>
      <c r="C93" s="22" t="s">
        <v>62</v>
      </c>
      <c r="D93" s="24"/>
      <c r="E93" s="25" t="n">
        <f>1909</f>
        <v>1909.0</v>
      </c>
      <c r="F93" s="23" t="s">
        <v>37</v>
      </c>
      <c r="G93" s="25" t="n">
        <f>5948</f>
        <v>5948.0</v>
      </c>
      <c r="H93" s="23"/>
      <c r="I93" s="26" t="n">
        <f>7857</f>
        <v>7857.0</v>
      </c>
      <c r="J93" s="24"/>
      <c r="K93" s="25" t="n">
        <f>341500500</f>
        <v>3.415005E8</v>
      </c>
      <c r="L93" s="23" t="s">
        <v>37</v>
      </c>
      <c r="M93" s="25" t="n">
        <f>8005153565</f>
        <v>8.005153565E9</v>
      </c>
      <c r="N93" s="23"/>
      <c r="O93" s="26" t="n">
        <f>8346654065</f>
        <v>8.346654065E9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259</f>
        <v>259.0</v>
      </c>
      <c r="U93" s="23"/>
      <c r="V93" s="25" t="str">
        <f>"－"</f>
        <v>－</v>
      </c>
      <c r="W93" s="23"/>
      <c r="X93" s="26" t="n">
        <f>259</f>
        <v>259.0</v>
      </c>
      <c r="Y93" s="24"/>
      <c r="Z93" s="25" t="n">
        <f>102138</f>
        <v>102138.0</v>
      </c>
      <c r="AA93" s="23"/>
      <c r="AB93" s="25" t="n">
        <f>69959</f>
        <v>69959.0</v>
      </c>
      <c r="AC93" s="23"/>
      <c r="AD93" s="26" t="n">
        <f>172097</f>
        <v>172097.0</v>
      </c>
    </row>
    <row r="94">
      <c r="A94" s="30" t="s">
        <v>56</v>
      </c>
      <c r="B94" s="22" t="s">
        <v>61</v>
      </c>
      <c r="C94" s="22" t="s">
        <v>62</v>
      </c>
      <c r="D94" s="24"/>
      <c r="E94" s="25" t="n">
        <f>2558</f>
        <v>2558.0</v>
      </c>
      <c r="F94" s="23"/>
      <c r="G94" s="25" t="n">
        <f>935</f>
        <v>935.0</v>
      </c>
      <c r="H94" s="23"/>
      <c r="I94" s="26" t="n">
        <f>3493</f>
        <v>3493.0</v>
      </c>
      <c r="J94" s="24"/>
      <c r="K94" s="25" t="n">
        <f>372336000</f>
        <v>3.72336E8</v>
      </c>
      <c r="L94" s="23"/>
      <c r="M94" s="25" t="n">
        <f>277330000</f>
        <v>2.7733E8</v>
      </c>
      <c r="N94" s="23"/>
      <c r="O94" s="26" t="n">
        <f>649666000</f>
        <v>6.49666E8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/>
      <c r="T94" s="25" t="str">
        <f>"－"</f>
        <v>－</v>
      </c>
      <c r="U94" s="23"/>
      <c r="V94" s="25" t="n">
        <f>225</f>
        <v>225.0</v>
      </c>
      <c r="W94" s="23"/>
      <c r="X94" s="26" t="n">
        <f>225</f>
        <v>225.0</v>
      </c>
      <c r="Y94" s="24"/>
      <c r="Z94" s="25" t="n">
        <f>103852</f>
        <v>103852.0</v>
      </c>
      <c r="AA94" s="23"/>
      <c r="AB94" s="25" t="n">
        <f>70722</f>
        <v>70722.0</v>
      </c>
      <c r="AC94" s="23"/>
      <c r="AD94" s="26" t="n">
        <f>174574</f>
        <v>174574.0</v>
      </c>
    </row>
    <row r="95">
      <c r="A95" s="30" t="s">
        <v>57</v>
      </c>
      <c r="B95" s="22" t="s">
        <v>61</v>
      </c>
      <c r="C95" s="22" t="s">
        <v>62</v>
      </c>
      <c r="D95" s="24"/>
      <c r="E95" s="25" t="n">
        <f>5200</f>
        <v>5200.0</v>
      </c>
      <c r="F95" s="23"/>
      <c r="G95" s="25" t="n">
        <f>674</f>
        <v>674.0</v>
      </c>
      <c r="H95" s="23"/>
      <c r="I95" s="26" t="n">
        <f>5874</f>
        <v>5874.0</v>
      </c>
      <c r="J95" s="24"/>
      <c r="K95" s="25" t="n">
        <f>1432000000</f>
        <v>1.432E9</v>
      </c>
      <c r="L95" s="23"/>
      <c r="M95" s="25" t="n">
        <f>340767800</f>
        <v>3.407678E8</v>
      </c>
      <c r="N95" s="23"/>
      <c r="O95" s="26" t="n">
        <f>1772767800</f>
        <v>1.7727678E9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str">
        <f>"－"</f>
        <v>－</v>
      </c>
      <c r="U95" s="23"/>
      <c r="V95" s="25" t="n">
        <f>674</f>
        <v>674.0</v>
      </c>
      <c r="W95" s="23"/>
      <c r="X95" s="26" t="n">
        <f>674</f>
        <v>674.0</v>
      </c>
      <c r="Y95" s="24"/>
      <c r="Z95" s="25" t="n">
        <f>107452</f>
        <v>107452.0</v>
      </c>
      <c r="AA95" s="23"/>
      <c r="AB95" s="25" t="n">
        <f>70167</f>
        <v>70167.0</v>
      </c>
      <c r="AC95" s="23"/>
      <c r="AD95" s="26" t="n">
        <f>177619</f>
        <v>177619.0</v>
      </c>
    </row>
    <row r="96">
      <c r="A96" s="30" t="s">
        <v>58</v>
      </c>
      <c r="B96" s="22" t="s">
        <v>61</v>
      </c>
      <c r="C96" s="22" t="s">
        <v>62</v>
      </c>
      <c r="D96" s="24" t="s">
        <v>37</v>
      </c>
      <c r="E96" s="25" t="n">
        <f>26489</f>
        <v>26489.0</v>
      </c>
      <c r="F96" s="23"/>
      <c r="G96" s="25" t="n">
        <f>5445</f>
        <v>5445.0</v>
      </c>
      <c r="H96" s="23" t="s">
        <v>37</v>
      </c>
      <c r="I96" s="26" t="n">
        <f>31934</f>
        <v>31934.0</v>
      </c>
      <c r="J96" s="24" t="s">
        <v>37</v>
      </c>
      <c r="K96" s="25" t="n">
        <f>11444613355</f>
        <v>1.1444613355E10</v>
      </c>
      <c r="L96" s="23"/>
      <c r="M96" s="25" t="n">
        <f>577470000</f>
        <v>5.7747E8</v>
      </c>
      <c r="N96" s="23" t="s">
        <v>37</v>
      </c>
      <c r="O96" s="26" t="n">
        <f>12022083355</f>
        <v>1.2022083355E10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 t="s">
        <v>37</v>
      </c>
      <c r="T96" s="25" t="n">
        <f>16459</f>
        <v>16459.0</v>
      </c>
      <c r="U96" s="23"/>
      <c r="V96" s="25" t="str">
        <f>"－"</f>
        <v>－</v>
      </c>
      <c r="W96" s="23" t="s">
        <v>37</v>
      </c>
      <c r="X96" s="26" t="n">
        <f>16459</f>
        <v>16459.0</v>
      </c>
      <c r="Y96" s="24" t="s">
        <v>37</v>
      </c>
      <c r="Z96" s="25" t="n">
        <f>122915</f>
        <v>122915.0</v>
      </c>
      <c r="AA96" s="23" t="s">
        <v>37</v>
      </c>
      <c r="AB96" s="25" t="n">
        <f>75404</f>
        <v>75404.0</v>
      </c>
      <c r="AC96" s="23" t="s">
        <v>37</v>
      </c>
      <c r="AD96" s="26" t="n">
        <f>198319</f>
        <v>198319.0</v>
      </c>
    </row>
    <row r="97">
      <c r="A97" s="30" t="s">
        <v>26</v>
      </c>
      <c r="B97" s="22" t="s">
        <v>63</v>
      </c>
      <c r="C97" s="22" t="s">
        <v>64</v>
      </c>
      <c r="D97" s="24" t="s">
        <v>65</v>
      </c>
      <c r="E97" s="25" t="str">
        <f>"－"</f>
        <v>－</v>
      </c>
      <c r="F97" s="23" t="s">
        <v>65</v>
      </c>
      <c r="G97" s="25" t="str">
        <f>"－"</f>
        <v>－</v>
      </c>
      <c r="H97" s="23" t="s">
        <v>65</v>
      </c>
      <c r="I97" s="26" t="str">
        <f>"－"</f>
        <v>－</v>
      </c>
      <c r="J97" s="24" t="s">
        <v>65</v>
      </c>
      <c r="K97" s="25" t="str">
        <f>"－"</f>
        <v>－</v>
      </c>
      <c r="L97" s="23" t="s">
        <v>65</v>
      </c>
      <c r="M97" s="25" t="str">
        <f>"－"</f>
        <v>－</v>
      </c>
      <c r="N97" s="23" t="s">
        <v>65</v>
      </c>
      <c r="O97" s="26" t="str">
        <f>"－"</f>
        <v>－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 t="s">
        <v>65</v>
      </c>
      <c r="T97" s="25" t="str">
        <f>"－"</f>
        <v>－</v>
      </c>
      <c r="U97" s="23" t="s">
        <v>65</v>
      </c>
      <c r="V97" s="25" t="str">
        <f>"－"</f>
        <v>－</v>
      </c>
      <c r="W97" s="23" t="s">
        <v>65</v>
      </c>
      <c r="X97" s="26" t="str">
        <f>"－"</f>
        <v>－</v>
      </c>
      <c r="Y97" s="24" t="s">
        <v>65</v>
      </c>
      <c r="Z97" s="25" t="str">
        <f>"－"</f>
        <v>－</v>
      </c>
      <c r="AA97" s="23" t="s">
        <v>65</v>
      </c>
      <c r="AB97" s="25" t="str">
        <f>"－"</f>
        <v>－</v>
      </c>
      <c r="AC97" s="23" t="s">
        <v>65</v>
      </c>
      <c r="AD97" s="26" t="str">
        <f>"－"</f>
        <v>－</v>
      </c>
    </row>
    <row r="98">
      <c r="A98" s="30" t="s">
        <v>29</v>
      </c>
      <c r="B98" s="22" t="s">
        <v>63</v>
      </c>
      <c r="C98" s="22" t="s">
        <v>64</v>
      </c>
      <c r="D98" s="24"/>
      <c r="E98" s="25" t="str">
        <f>"－"</f>
        <v>－</v>
      </c>
      <c r="F98" s="23"/>
      <c r="G98" s="25" t="str">
        <f>"－"</f>
        <v>－</v>
      </c>
      <c r="H98" s="23"/>
      <c r="I98" s="26" t="str">
        <f>"－"</f>
        <v>－</v>
      </c>
      <c r="J98" s="24"/>
      <c r="K98" s="25" t="str">
        <f>"－"</f>
        <v>－</v>
      </c>
      <c r="L98" s="23"/>
      <c r="M98" s="25" t="str">
        <f>"－"</f>
        <v>－</v>
      </c>
      <c r="N98" s="23"/>
      <c r="O98" s="26" t="str">
        <f>"－"</f>
        <v>－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/>
      <c r="T98" s="25" t="str">
        <f>"－"</f>
        <v>－</v>
      </c>
      <c r="U98" s="23"/>
      <c r="V98" s="25" t="str">
        <f>"－"</f>
        <v>－</v>
      </c>
      <c r="W98" s="23"/>
      <c r="X98" s="26" t="str">
        <f>"－"</f>
        <v>－</v>
      </c>
      <c r="Y98" s="24"/>
      <c r="Z98" s="25" t="str">
        <f>"－"</f>
        <v>－</v>
      </c>
      <c r="AA98" s="23"/>
      <c r="AB98" s="25" t="str">
        <f>"－"</f>
        <v>－</v>
      </c>
      <c r="AC98" s="23"/>
      <c r="AD98" s="26" t="str">
        <f>"－"</f>
        <v>－</v>
      </c>
    </row>
    <row r="99">
      <c r="A99" s="30" t="s">
        <v>30</v>
      </c>
      <c r="B99" s="22" t="s">
        <v>63</v>
      </c>
      <c r="C99" s="22" t="s">
        <v>64</v>
      </c>
      <c r="D99" s="24"/>
      <c r="E99" s="25"/>
      <c r="F99" s="23"/>
      <c r="G99" s="25"/>
      <c r="H99" s="23"/>
      <c r="I99" s="26"/>
      <c r="J99" s="24"/>
      <c r="K99" s="25"/>
      <c r="L99" s="23"/>
      <c r="M99" s="25"/>
      <c r="N99" s="23"/>
      <c r="O99" s="26"/>
      <c r="P99" s="27"/>
      <c r="Q99" s="28"/>
      <c r="R99" s="29"/>
      <c r="S99" s="24"/>
      <c r="T99" s="25"/>
      <c r="U99" s="23"/>
      <c r="V99" s="25"/>
      <c r="W99" s="23"/>
      <c r="X99" s="26"/>
      <c r="Y99" s="24"/>
      <c r="Z99" s="25"/>
      <c r="AA99" s="23"/>
      <c r="AB99" s="25"/>
      <c r="AC99" s="23"/>
      <c r="AD99" s="26"/>
    </row>
    <row r="100">
      <c r="A100" s="30" t="s">
        <v>31</v>
      </c>
      <c r="B100" s="22" t="s">
        <v>63</v>
      </c>
      <c r="C100" s="22" t="s">
        <v>64</v>
      </c>
      <c r="D100" s="24"/>
      <c r="E100" s="25"/>
      <c r="F100" s="23"/>
      <c r="G100" s="25"/>
      <c r="H100" s="23"/>
      <c r="I100" s="26"/>
      <c r="J100" s="24"/>
      <c r="K100" s="25"/>
      <c r="L100" s="23"/>
      <c r="M100" s="25"/>
      <c r="N100" s="23"/>
      <c r="O100" s="26"/>
      <c r="P100" s="27"/>
      <c r="Q100" s="28"/>
      <c r="R100" s="29"/>
      <c r="S100" s="24"/>
      <c r="T100" s="25"/>
      <c r="U100" s="23"/>
      <c r="V100" s="25"/>
      <c r="W100" s="23"/>
      <c r="X100" s="26"/>
      <c r="Y100" s="24"/>
      <c r="Z100" s="25"/>
      <c r="AA100" s="23"/>
      <c r="AB100" s="25"/>
      <c r="AC100" s="23"/>
      <c r="AD100" s="26"/>
    </row>
    <row r="101">
      <c r="A101" s="30" t="s">
        <v>32</v>
      </c>
      <c r="B101" s="22" t="s">
        <v>63</v>
      </c>
      <c r="C101" s="22" t="s">
        <v>64</v>
      </c>
      <c r="D101" s="24"/>
      <c r="E101" s="25" t="str">
        <f>"－"</f>
        <v>－</v>
      </c>
      <c r="F101" s="23"/>
      <c r="G101" s="25" t="str">
        <f>"－"</f>
        <v>－</v>
      </c>
      <c r="H101" s="23"/>
      <c r="I101" s="26" t="str">
        <f>"－"</f>
        <v>－</v>
      </c>
      <c r="J101" s="24"/>
      <c r="K101" s="25" t="str">
        <f>"－"</f>
        <v>－</v>
      </c>
      <c r="L101" s="23"/>
      <c r="M101" s="25" t="str">
        <f>"－"</f>
        <v>－</v>
      </c>
      <c r="N101" s="23"/>
      <c r="O101" s="26" t="str">
        <f>"－"</f>
        <v>－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str">
        <f>"－"</f>
        <v>－</v>
      </c>
      <c r="W101" s="23"/>
      <c r="X101" s="26" t="str">
        <f>"－"</f>
        <v>－</v>
      </c>
      <c r="Y101" s="24"/>
      <c r="Z101" s="25" t="str">
        <f>"－"</f>
        <v>－</v>
      </c>
      <c r="AA101" s="23"/>
      <c r="AB101" s="25" t="str">
        <f>"－"</f>
        <v>－</v>
      </c>
      <c r="AC101" s="23"/>
      <c r="AD101" s="26" t="str">
        <f>"－"</f>
        <v>－</v>
      </c>
    </row>
    <row r="102">
      <c r="A102" s="30" t="s">
        <v>34</v>
      </c>
      <c r="B102" s="22" t="s">
        <v>63</v>
      </c>
      <c r="C102" s="22" t="s">
        <v>64</v>
      </c>
      <c r="D102" s="24"/>
      <c r="E102" s="25" t="str">
        <f>"－"</f>
        <v>－</v>
      </c>
      <c r="F102" s="23"/>
      <c r="G102" s="25" t="str">
        <f>"－"</f>
        <v>－</v>
      </c>
      <c r="H102" s="23"/>
      <c r="I102" s="26" t="str">
        <f>"－"</f>
        <v>－</v>
      </c>
      <c r="J102" s="24"/>
      <c r="K102" s="25" t="str">
        <f>"－"</f>
        <v>－</v>
      </c>
      <c r="L102" s="23"/>
      <c r="M102" s="25" t="str">
        <f>"－"</f>
        <v>－</v>
      </c>
      <c r="N102" s="23"/>
      <c r="O102" s="26" t="str">
        <f>"－"</f>
        <v>－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str">
        <f>"－"</f>
        <v>－</v>
      </c>
      <c r="U102" s="23"/>
      <c r="V102" s="25" t="str">
        <f>"－"</f>
        <v>－</v>
      </c>
      <c r="W102" s="23"/>
      <c r="X102" s="26" t="str">
        <f>"－"</f>
        <v>－</v>
      </c>
      <c r="Y102" s="24"/>
      <c r="Z102" s="25" t="str">
        <f>"－"</f>
        <v>－</v>
      </c>
      <c r="AA102" s="23"/>
      <c r="AB102" s="25" t="str">
        <f>"－"</f>
        <v>－</v>
      </c>
      <c r="AC102" s="23"/>
      <c r="AD102" s="26" t="str">
        <f>"－"</f>
        <v>－</v>
      </c>
    </row>
    <row r="103">
      <c r="A103" s="30" t="s">
        <v>35</v>
      </c>
      <c r="B103" s="22" t="s">
        <v>63</v>
      </c>
      <c r="C103" s="22" t="s">
        <v>64</v>
      </c>
      <c r="D103" s="24"/>
      <c r="E103" s="25" t="str">
        <f>"－"</f>
        <v>－</v>
      </c>
      <c r="F103" s="23"/>
      <c r="G103" s="25" t="str">
        <f>"－"</f>
        <v>－</v>
      </c>
      <c r="H103" s="23"/>
      <c r="I103" s="26" t="str">
        <f>"－"</f>
        <v>－</v>
      </c>
      <c r="J103" s="24"/>
      <c r="K103" s="25" t="str">
        <f>"－"</f>
        <v>－</v>
      </c>
      <c r="L103" s="23"/>
      <c r="M103" s="25" t="str">
        <f>"－"</f>
        <v>－</v>
      </c>
      <c r="N103" s="23"/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/>
      <c r="T103" s="25" t="str">
        <f>"－"</f>
        <v>－</v>
      </c>
      <c r="U103" s="23"/>
      <c r="V103" s="25" t="str">
        <f>"－"</f>
        <v>－</v>
      </c>
      <c r="W103" s="23"/>
      <c r="X103" s="26" t="str">
        <f>"－"</f>
        <v>－</v>
      </c>
      <c r="Y103" s="24"/>
      <c r="Z103" s="25" t="str">
        <f>"－"</f>
        <v>－</v>
      </c>
      <c r="AA103" s="23"/>
      <c r="AB103" s="25" t="str">
        <f>"－"</f>
        <v>－</v>
      </c>
      <c r="AC103" s="23"/>
      <c r="AD103" s="26" t="str">
        <f>"－"</f>
        <v>－</v>
      </c>
    </row>
    <row r="104">
      <c r="A104" s="30" t="s">
        <v>36</v>
      </c>
      <c r="B104" s="22" t="s">
        <v>63</v>
      </c>
      <c r="C104" s="22" t="s">
        <v>64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38</v>
      </c>
      <c r="B105" s="22" t="s">
        <v>63</v>
      </c>
      <c r="C105" s="22" t="s">
        <v>64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39</v>
      </c>
      <c r="B106" s="22" t="s">
        <v>63</v>
      </c>
      <c r="C106" s="22" t="s">
        <v>64</v>
      </c>
      <c r="D106" s="24"/>
      <c r="E106" s="25"/>
      <c r="F106" s="23"/>
      <c r="G106" s="25"/>
      <c r="H106" s="23"/>
      <c r="I106" s="26"/>
      <c r="J106" s="24"/>
      <c r="K106" s="25"/>
      <c r="L106" s="23"/>
      <c r="M106" s="25"/>
      <c r="N106" s="23"/>
      <c r="O106" s="26"/>
      <c r="P106" s="27"/>
      <c r="Q106" s="28"/>
      <c r="R106" s="29"/>
      <c r="S106" s="24"/>
      <c r="T106" s="25"/>
      <c r="U106" s="23"/>
      <c r="V106" s="25"/>
      <c r="W106" s="23"/>
      <c r="X106" s="26"/>
      <c r="Y106" s="24"/>
      <c r="Z106" s="25"/>
      <c r="AA106" s="23"/>
      <c r="AB106" s="25"/>
      <c r="AC106" s="23"/>
      <c r="AD106" s="26"/>
    </row>
    <row r="107">
      <c r="A107" s="30" t="s">
        <v>40</v>
      </c>
      <c r="B107" s="22" t="s">
        <v>63</v>
      </c>
      <c r="C107" s="22" t="s">
        <v>64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41</v>
      </c>
      <c r="B108" s="22" t="s">
        <v>63</v>
      </c>
      <c r="C108" s="22" t="s">
        <v>64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42</v>
      </c>
      <c r="B109" s="22" t="s">
        <v>63</v>
      </c>
      <c r="C109" s="22" t="s">
        <v>64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43</v>
      </c>
      <c r="B110" s="22" t="s">
        <v>63</v>
      </c>
      <c r="C110" s="22" t="s">
        <v>64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44</v>
      </c>
      <c r="B111" s="22" t="s">
        <v>63</v>
      </c>
      <c r="C111" s="22" t="s">
        <v>64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45</v>
      </c>
      <c r="B112" s="22" t="s">
        <v>63</v>
      </c>
      <c r="C112" s="22" t="s">
        <v>64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46</v>
      </c>
      <c r="B113" s="22" t="s">
        <v>63</v>
      </c>
      <c r="C113" s="22" t="s">
        <v>64</v>
      </c>
      <c r="D113" s="24"/>
      <c r="E113" s="25"/>
      <c r="F113" s="23"/>
      <c r="G113" s="25"/>
      <c r="H113" s="23"/>
      <c r="I113" s="26"/>
      <c r="J113" s="24"/>
      <c r="K113" s="25"/>
      <c r="L113" s="23"/>
      <c r="M113" s="25"/>
      <c r="N113" s="23"/>
      <c r="O113" s="26"/>
      <c r="P113" s="27"/>
      <c r="Q113" s="28"/>
      <c r="R113" s="29"/>
      <c r="S113" s="24"/>
      <c r="T113" s="25"/>
      <c r="U113" s="23"/>
      <c r="V113" s="25"/>
      <c r="W113" s="23"/>
      <c r="X113" s="26"/>
      <c r="Y113" s="24"/>
      <c r="Z113" s="25"/>
      <c r="AA113" s="23"/>
      <c r="AB113" s="25"/>
      <c r="AC113" s="23"/>
      <c r="AD113" s="26"/>
    </row>
    <row r="114">
      <c r="A114" s="30" t="s">
        <v>47</v>
      </c>
      <c r="B114" s="22" t="s">
        <v>63</v>
      </c>
      <c r="C114" s="22" t="s">
        <v>64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48</v>
      </c>
      <c r="B115" s="22" t="s">
        <v>63</v>
      </c>
      <c r="C115" s="22" t="s">
        <v>64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49</v>
      </c>
      <c r="B116" s="22" t="s">
        <v>63</v>
      </c>
      <c r="C116" s="22" t="s">
        <v>64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50</v>
      </c>
      <c r="B117" s="22" t="s">
        <v>63</v>
      </c>
      <c r="C117" s="22" t="s">
        <v>64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51</v>
      </c>
      <c r="B118" s="22" t="s">
        <v>63</v>
      </c>
      <c r="C118" s="22" t="s">
        <v>64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52</v>
      </c>
      <c r="B119" s="22" t="s">
        <v>63</v>
      </c>
      <c r="C119" s="22" t="s">
        <v>64</v>
      </c>
      <c r="D119" s="24"/>
      <c r="E119" s="25"/>
      <c r="F119" s="23"/>
      <c r="G119" s="25"/>
      <c r="H119" s="23"/>
      <c r="I119" s="26"/>
      <c r="J119" s="24"/>
      <c r="K119" s="25"/>
      <c r="L119" s="23"/>
      <c r="M119" s="25"/>
      <c r="N119" s="23"/>
      <c r="O119" s="26"/>
      <c r="P119" s="27"/>
      <c r="Q119" s="28"/>
      <c r="R119" s="29"/>
      <c r="S119" s="24"/>
      <c r="T119" s="25"/>
      <c r="U119" s="23"/>
      <c r="V119" s="25"/>
      <c r="W119" s="23"/>
      <c r="X119" s="26"/>
      <c r="Y119" s="24"/>
      <c r="Z119" s="25"/>
      <c r="AA119" s="23"/>
      <c r="AB119" s="25"/>
      <c r="AC119" s="23"/>
      <c r="AD119" s="26"/>
    </row>
    <row r="120">
      <c r="A120" s="30" t="s">
        <v>53</v>
      </c>
      <c r="B120" s="22" t="s">
        <v>63</v>
      </c>
      <c r="C120" s="22" t="s">
        <v>64</v>
      </c>
      <c r="D120" s="24"/>
      <c r="E120" s="25"/>
      <c r="F120" s="23"/>
      <c r="G120" s="25"/>
      <c r="H120" s="23"/>
      <c r="I120" s="26"/>
      <c r="J120" s="24"/>
      <c r="K120" s="25"/>
      <c r="L120" s="23"/>
      <c r="M120" s="25"/>
      <c r="N120" s="23"/>
      <c r="O120" s="26"/>
      <c r="P120" s="27"/>
      <c r="Q120" s="28"/>
      <c r="R120" s="29"/>
      <c r="S120" s="24"/>
      <c r="T120" s="25"/>
      <c r="U120" s="23"/>
      <c r="V120" s="25"/>
      <c r="W120" s="23"/>
      <c r="X120" s="26"/>
      <c r="Y120" s="24"/>
      <c r="Z120" s="25"/>
      <c r="AA120" s="23"/>
      <c r="AB120" s="25"/>
      <c r="AC120" s="23"/>
      <c r="AD120" s="26"/>
    </row>
    <row r="121">
      <c r="A121" s="30" t="s">
        <v>54</v>
      </c>
      <c r="B121" s="22" t="s">
        <v>63</v>
      </c>
      <c r="C121" s="22" t="s">
        <v>64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55</v>
      </c>
      <c r="B122" s="22" t="s">
        <v>63</v>
      </c>
      <c r="C122" s="22" t="s">
        <v>64</v>
      </c>
      <c r="D122" s="24"/>
      <c r="E122" s="25" t="str">
        <f>"－"</f>
        <v>－</v>
      </c>
      <c r="F122" s="23"/>
      <c r="G122" s="25" t="str">
        <f>"－"</f>
        <v>－</v>
      </c>
      <c r="H122" s="23"/>
      <c r="I122" s="26" t="str">
        <f>"－"</f>
        <v>－</v>
      </c>
      <c r="J122" s="24"/>
      <c r="K122" s="25" t="str">
        <f>"－"</f>
        <v>－</v>
      </c>
      <c r="L122" s="23"/>
      <c r="M122" s="25" t="str">
        <f>"－"</f>
        <v>－</v>
      </c>
      <c r="N122" s="23"/>
      <c r="O122" s="26" t="str">
        <f>"－"</f>
        <v>－</v>
      </c>
      <c r="P122" s="27" t="str">
        <f>"－"</f>
        <v>－</v>
      </c>
      <c r="Q122" s="28" t="str">
        <f>"－"</f>
        <v>－</v>
      </c>
      <c r="R122" s="29" t="str">
        <f>"－"</f>
        <v>－</v>
      </c>
      <c r="S122" s="24"/>
      <c r="T122" s="25" t="str">
        <f>"－"</f>
        <v>－</v>
      </c>
      <c r="U122" s="23"/>
      <c r="V122" s="25" t="str">
        <f>"－"</f>
        <v>－</v>
      </c>
      <c r="W122" s="23"/>
      <c r="X122" s="26" t="str">
        <f>"－"</f>
        <v>－</v>
      </c>
      <c r="Y122" s="24"/>
      <c r="Z122" s="25" t="str">
        <f>"－"</f>
        <v>－</v>
      </c>
      <c r="AA122" s="23"/>
      <c r="AB122" s="25" t="str">
        <f>"－"</f>
        <v>－</v>
      </c>
      <c r="AC122" s="23"/>
      <c r="AD122" s="26" t="str">
        <f>"－"</f>
        <v>－</v>
      </c>
    </row>
    <row r="123">
      <c r="A123" s="30" t="s">
        <v>56</v>
      </c>
      <c r="B123" s="22" t="s">
        <v>63</v>
      </c>
      <c r="C123" s="22" t="s">
        <v>64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57</v>
      </c>
      <c r="B124" s="22" t="s">
        <v>63</v>
      </c>
      <c r="C124" s="22" t="s">
        <v>64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58</v>
      </c>
      <c r="B125" s="22" t="s">
        <v>63</v>
      </c>
      <c r="C125" s="22" t="s">
        <v>64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26</v>
      </c>
      <c r="B126" s="22" t="s">
        <v>66</v>
      </c>
      <c r="C126" s="22" t="s">
        <v>67</v>
      </c>
      <c r="D126" s="24"/>
      <c r="E126" s="25"/>
      <c r="F126" s="23"/>
      <c r="G126" s="25"/>
      <c r="H126" s="23"/>
      <c r="I126" s="26"/>
      <c r="J126" s="24"/>
      <c r="K126" s="25"/>
      <c r="L126" s="23"/>
      <c r="M126" s="25"/>
      <c r="N126" s="23"/>
      <c r="O126" s="26"/>
      <c r="P126" s="27"/>
      <c r="Q126" s="28"/>
      <c r="R126" s="29"/>
      <c r="S126" s="24"/>
      <c r="T126" s="25"/>
      <c r="U126" s="23"/>
      <c r="V126" s="25"/>
      <c r="W126" s="23"/>
      <c r="X126" s="26"/>
      <c r="Y126" s="24"/>
      <c r="Z126" s="25"/>
      <c r="AA126" s="23"/>
      <c r="AB126" s="25"/>
      <c r="AC126" s="23"/>
      <c r="AD126" s="26"/>
    </row>
    <row r="127">
      <c r="A127" s="30" t="s">
        <v>29</v>
      </c>
      <c r="B127" s="22" t="s">
        <v>66</v>
      </c>
      <c r="C127" s="22" t="s">
        <v>67</v>
      </c>
      <c r="D127" s="24"/>
      <c r="E127" s="25"/>
      <c r="F127" s="23"/>
      <c r="G127" s="25"/>
      <c r="H127" s="23"/>
      <c r="I127" s="26"/>
      <c r="J127" s="24"/>
      <c r="K127" s="25"/>
      <c r="L127" s="23"/>
      <c r="M127" s="25"/>
      <c r="N127" s="23"/>
      <c r="O127" s="26"/>
      <c r="P127" s="27"/>
      <c r="Q127" s="28"/>
      <c r="R127" s="29"/>
      <c r="S127" s="24"/>
      <c r="T127" s="25"/>
      <c r="U127" s="23"/>
      <c r="V127" s="25"/>
      <c r="W127" s="23"/>
      <c r="X127" s="26"/>
      <c r="Y127" s="24"/>
      <c r="Z127" s="25"/>
      <c r="AA127" s="23"/>
      <c r="AB127" s="25"/>
      <c r="AC127" s="23"/>
      <c r="AD127" s="26"/>
    </row>
    <row r="128">
      <c r="A128" s="30" t="s">
        <v>30</v>
      </c>
      <c r="B128" s="22" t="s">
        <v>66</v>
      </c>
      <c r="C128" s="22" t="s">
        <v>67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31</v>
      </c>
      <c r="B129" s="22" t="s">
        <v>66</v>
      </c>
      <c r="C129" s="22" t="s">
        <v>67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32</v>
      </c>
      <c r="B130" s="22" t="s">
        <v>66</v>
      </c>
      <c r="C130" s="22" t="s">
        <v>67</v>
      </c>
      <c r="D130" s="24"/>
      <c r="E130" s="25"/>
      <c r="F130" s="23"/>
      <c r="G130" s="25"/>
      <c r="H130" s="23"/>
      <c r="I130" s="26"/>
      <c r="J130" s="24"/>
      <c r="K130" s="25"/>
      <c r="L130" s="23"/>
      <c r="M130" s="25"/>
      <c r="N130" s="23"/>
      <c r="O130" s="26"/>
      <c r="P130" s="27"/>
      <c r="Q130" s="28"/>
      <c r="R130" s="29"/>
      <c r="S130" s="24"/>
      <c r="T130" s="25"/>
      <c r="U130" s="23"/>
      <c r="V130" s="25"/>
      <c r="W130" s="23"/>
      <c r="X130" s="26"/>
      <c r="Y130" s="24"/>
      <c r="Z130" s="25"/>
      <c r="AA130" s="23"/>
      <c r="AB130" s="25"/>
      <c r="AC130" s="23"/>
      <c r="AD130" s="26"/>
    </row>
    <row r="131">
      <c r="A131" s="30" t="s">
        <v>34</v>
      </c>
      <c r="B131" s="22" t="s">
        <v>66</v>
      </c>
      <c r="C131" s="22" t="s">
        <v>67</v>
      </c>
      <c r="D131" s="24"/>
      <c r="E131" s="25"/>
      <c r="F131" s="23"/>
      <c r="G131" s="25"/>
      <c r="H131" s="23"/>
      <c r="I131" s="26"/>
      <c r="J131" s="24"/>
      <c r="K131" s="25"/>
      <c r="L131" s="23"/>
      <c r="M131" s="25"/>
      <c r="N131" s="23"/>
      <c r="O131" s="26"/>
      <c r="P131" s="27"/>
      <c r="Q131" s="28"/>
      <c r="R131" s="29"/>
      <c r="S131" s="24"/>
      <c r="T131" s="25"/>
      <c r="U131" s="23"/>
      <c r="V131" s="25"/>
      <c r="W131" s="23"/>
      <c r="X131" s="26"/>
      <c r="Y131" s="24"/>
      <c r="Z131" s="25"/>
      <c r="AA131" s="23"/>
      <c r="AB131" s="25"/>
      <c r="AC131" s="23"/>
      <c r="AD131" s="26"/>
    </row>
    <row r="132">
      <c r="A132" s="30" t="s">
        <v>35</v>
      </c>
      <c r="B132" s="22" t="s">
        <v>66</v>
      </c>
      <c r="C132" s="22" t="s">
        <v>67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36</v>
      </c>
      <c r="B133" s="22" t="s">
        <v>66</v>
      </c>
      <c r="C133" s="22" t="s">
        <v>67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38</v>
      </c>
      <c r="B134" s="22" t="s">
        <v>66</v>
      </c>
      <c r="C134" s="22" t="s">
        <v>67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39</v>
      </c>
      <c r="B135" s="22" t="s">
        <v>66</v>
      </c>
      <c r="C135" s="22" t="s">
        <v>67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40</v>
      </c>
      <c r="B136" s="22" t="s">
        <v>66</v>
      </c>
      <c r="C136" s="22" t="s">
        <v>67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41</v>
      </c>
      <c r="B137" s="22" t="s">
        <v>66</v>
      </c>
      <c r="C137" s="22" t="s">
        <v>67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42</v>
      </c>
      <c r="B138" s="22" t="s">
        <v>66</v>
      </c>
      <c r="C138" s="22" t="s">
        <v>67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43</v>
      </c>
      <c r="B139" s="22" t="s">
        <v>66</v>
      </c>
      <c r="C139" s="22" t="s">
        <v>67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44</v>
      </c>
      <c r="B140" s="22" t="s">
        <v>66</v>
      </c>
      <c r="C140" s="22" t="s">
        <v>67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45</v>
      </c>
      <c r="B141" s="22" t="s">
        <v>66</v>
      </c>
      <c r="C141" s="22" t="s">
        <v>67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46</v>
      </c>
      <c r="B142" s="22" t="s">
        <v>66</v>
      </c>
      <c r="C142" s="22" t="s">
        <v>67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47</v>
      </c>
      <c r="B143" s="22" t="s">
        <v>66</v>
      </c>
      <c r="C143" s="22" t="s">
        <v>67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48</v>
      </c>
      <c r="B144" s="22" t="s">
        <v>66</v>
      </c>
      <c r="C144" s="22" t="s">
        <v>67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49</v>
      </c>
      <c r="B145" s="22" t="s">
        <v>66</v>
      </c>
      <c r="C145" s="22" t="s">
        <v>67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50</v>
      </c>
      <c r="B146" s="22" t="s">
        <v>66</v>
      </c>
      <c r="C146" s="22" t="s">
        <v>67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51</v>
      </c>
      <c r="B147" s="22" t="s">
        <v>66</v>
      </c>
      <c r="C147" s="22" t="s">
        <v>67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52</v>
      </c>
      <c r="B148" s="22" t="s">
        <v>66</v>
      </c>
      <c r="C148" s="22" t="s">
        <v>67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53</v>
      </c>
      <c r="B149" s="22" t="s">
        <v>66</v>
      </c>
      <c r="C149" s="22" t="s">
        <v>67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54</v>
      </c>
      <c r="B150" s="22" t="s">
        <v>66</v>
      </c>
      <c r="C150" s="22" t="s">
        <v>67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55</v>
      </c>
      <c r="B151" s="22" t="s">
        <v>66</v>
      </c>
      <c r="C151" s="22" t="s">
        <v>67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56</v>
      </c>
      <c r="B152" s="22" t="s">
        <v>66</v>
      </c>
      <c r="C152" s="22" t="s">
        <v>67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57</v>
      </c>
      <c r="B153" s="22" t="s">
        <v>66</v>
      </c>
      <c r="C153" s="22" t="s">
        <v>67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58</v>
      </c>
      <c r="B154" s="22" t="s">
        <v>66</v>
      </c>
      <c r="C154" s="22" t="s">
        <v>67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26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29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30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31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32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34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35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36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38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39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40</v>
      </c>
      <c r="B165" s="22" t="s">
        <v>68</v>
      </c>
      <c r="C165" s="22" t="s">
        <v>69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41</v>
      </c>
      <c r="B166" s="22" t="s">
        <v>68</v>
      </c>
      <c r="C166" s="22" t="s">
        <v>69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42</v>
      </c>
      <c r="B167" s="22" t="s">
        <v>68</v>
      </c>
      <c r="C167" s="22" t="s">
        <v>69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43</v>
      </c>
      <c r="B168" s="22" t="s">
        <v>68</v>
      </c>
      <c r="C168" s="22" t="s">
        <v>69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44</v>
      </c>
      <c r="B169" s="22" t="s">
        <v>68</v>
      </c>
      <c r="C169" s="22" t="s">
        <v>69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45</v>
      </c>
      <c r="B170" s="22" t="s">
        <v>68</v>
      </c>
      <c r="C170" s="22" t="s">
        <v>69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46</v>
      </c>
      <c r="B171" s="22" t="s">
        <v>68</v>
      </c>
      <c r="C171" s="22" t="s">
        <v>69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47</v>
      </c>
      <c r="B172" s="22" t="s">
        <v>68</v>
      </c>
      <c r="C172" s="22" t="s">
        <v>69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48</v>
      </c>
      <c r="B173" s="22" t="s">
        <v>68</v>
      </c>
      <c r="C173" s="22" t="s">
        <v>69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49</v>
      </c>
      <c r="B174" s="22" t="s">
        <v>68</v>
      </c>
      <c r="C174" s="22" t="s">
        <v>69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50</v>
      </c>
      <c r="B175" s="22" t="s">
        <v>68</v>
      </c>
      <c r="C175" s="22" t="s">
        <v>69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51</v>
      </c>
      <c r="B176" s="22" t="s">
        <v>68</v>
      </c>
      <c r="C176" s="22" t="s">
        <v>69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52</v>
      </c>
      <c r="B177" s="22" t="s">
        <v>68</v>
      </c>
      <c r="C177" s="22" t="s">
        <v>69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53</v>
      </c>
      <c r="B178" s="22" t="s">
        <v>68</v>
      </c>
      <c r="C178" s="22" t="s">
        <v>69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54</v>
      </c>
      <c r="B179" s="22" t="s">
        <v>68</v>
      </c>
      <c r="C179" s="22" t="s">
        <v>69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55</v>
      </c>
      <c r="B180" s="22" t="s">
        <v>68</v>
      </c>
      <c r="C180" s="22" t="s">
        <v>69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56</v>
      </c>
      <c r="B181" s="22" t="s">
        <v>68</v>
      </c>
      <c r="C181" s="22" t="s">
        <v>69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57</v>
      </c>
      <c r="B182" s="22" t="s">
        <v>68</v>
      </c>
      <c r="C182" s="22" t="s">
        <v>69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58</v>
      </c>
      <c r="B183" s="22" t="s">
        <v>68</v>
      </c>
      <c r="C183" s="22" t="s">
        <v>69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