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3230" windowWidth="26955" xWindow="360" yWindow="45"/>
  </bookViews>
  <sheets>
    <sheet name="BO_DM0032" r:id="rId1" sheetId="4"/>
  </sheets>
  <definedNames>
    <definedName localSheetId="0" name="_xlnm.Print_Titles">BO_DM0032!$4:$9</definedName>
  </definedNames>
  <calcPr calcId="145621"/>
</workbook>
</file>

<file path=xl/sharedStrings.xml><?xml version="1.0" encoding="utf-8"?>
<sst xmlns="http://schemas.openxmlformats.org/spreadsheetml/2006/main" count="698" uniqueCount="72">
  <si>
    <t>指 数 オ プ シ ョ ン 取 引 取 引 状 況（日別）</t>
    <rPh eb="1" sb="0">
      <t>ユビ</t>
    </rPh>
    <rPh eb="3" sb="2">
      <t>カズ</t>
    </rPh>
    <rPh eb="15" sb="14">
      <t>トリ</t>
    </rPh>
    <rPh eb="17" sb="16">
      <t>イン</t>
    </rPh>
    <rPh eb="19" sb="18">
      <t>トリ</t>
    </rPh>
    <rPh eb="21" sb="20">
      <t>イン</t>
    </rPh>
    <rPh eb="23" sb="22">
      <t>ジョウ</t>
    </rPh>
    <rPh eb="25" sb="24">
      <t>キョウ</t>
    </rPh>
    <rPh eb="27" sb="26">
      <t>ヒ</t>
    </rPh>
    <rPh eb="28" sb="27">
      <t>ベツ</t>
    </rPh>
    <phoneticPr fontId="5"/>
  </si>
  <si>
    <t>Trading of Index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</si>
  <si>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</si>
  <si>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</si>
  <si>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</si>
  <si>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</si>
  <si>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</si>
  <si>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</si>
  <si>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</si>
  <si>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</si>
  <si>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</si>
  <si>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</si>
  <si>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</si>
  <si>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</si>
  <si>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</si>
  <si>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</si>
  <si>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</si>
  <si>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</si>
  <si>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</si>
  <si>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</si>
  <si>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</si>
  <si>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</si>
  <si>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</si>
  <si>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</si>
  <si>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</si>
  <si>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</si>
  <si>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3.1</t>
  </si>
  <si>
    <t>日経225オプション</t>
  </si>
  <si>
    <t>Nikkei 225 Options</t>
  </si>
  <si>
    <t>2</t>
  </si>
  <si>
    <t>3</t>
  </si>
  <si>
    <t>4</t>
  </si>
  <si>
    <t>◎</t>
  </si>
  <si>
    <t>5</t>
  </si>
  <si>
    <t>6</t>
  </si>
  <si>
    <t>7</t>
  </si>
  <si>
    <t>8</t>
  </si>
  <si>
    <t>●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</si>
  <si>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</si>
  <si>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</si>
  <si>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</si>
  <si>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</si>
  <si>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</si>
  <si>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</si>
  <si>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</si>
  <si>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</si>
  <si>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</si>
  <si>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</si>
  <si>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</si>
  <si>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</si>
  <si>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</si>
  <si>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</si>
  <si>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</si>
  <si>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</si>
  <si>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</si>
  <si>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</si>
  <si>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</si>
  <si>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</si>
  <si>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</si>
  <si>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</si>
  <si>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</si>
  <si>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日経225ミニオプション</t>
  </si>
  <si>
    <t>Nikkei 225 mini Options</t>
  </si>
  <si>
    <t>TOPIXオプション</t>
  </si>
  <si>
    <t>TOPIX Options</t>
  </si>
  <si>
    <t>JPX日経インデックス400オプション</t>
  </si>
  <si>
    <t>JPX-Nikkei Index 400 Options</t>
  </si>
  <si>
    <t>◎●</t>
  </si>
  <si>
    <t>東証銀行業株価指数オプション</t>
  </si>
  <si>
    <t>TOPIX Banks Index Options</t>
  </si>
  <si>
    <t>東証REIT指数オプション</t>
  </si>
  <si>
    <t>TSE REIT Index Options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</si>
</sst>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>
      <alignment vertical="center"/>
    </xf>
    <xf borderId="0" fillId="0" fontId="2" numFmtId="0">
      <alignment vertical="center"/>
    </xf>
    <xf borderId="0" fillId="0" fontId="7" numFmtId="0"/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7" fillId="21" fontId="21" numFmtId="0"/>
    <xf applyAlignment="0" applyNumberFormat="0" applyProtection="0" borderId="38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9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40" fillId="0" fontId="31" numFmtId="0"/>
    <xf applyAlignment="0" applyFill="0" applyNumberFormat="0" applyProtection="0" borderId="41" fillId="0" fontId="32" numFmtId="0"/>
    <xf applyAlignment="0" applyFill="0" applyNumberFormat="0" applyProtection="0" borderId="42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7" fillId="8" fontId="34" numFmtId="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Border="0" applyNumberFormat="0" applyProtection="0" borderId="43" fillId="25" fontId="28" numFmtId="1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applyAlignment="0" applyNumberFormat="0" applyProtection="0" borderId="37" fillId="8" fontId="34" numFmtId="0"/>
    <xf borderId="0" fillId="0" fontId="8" numFmtId="0"/>
    <xf applyAlignment="0" applyFill="0" applyNumberFormat="0" applyProtection="0" borderId="4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Font="0" applyNumberFormat="0" applyProtection="0" borderId="45" fillId="27" fontId="24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applyAlignment="0" applyNumberFormat="0" applyProtection="0" borderId="46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Fill="0" applyNumberFormat="0" applyProtection="0" borderId="4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applyAlignment="0" applyNumberFormat="0" applyProtection="0" borderId="38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14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8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ont="0" applyNumberFormat="0" applyProtection="0" borderId="45" fillId="27" fontId="7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applyAlignment="0" applyFill="0" applyNumberFormat="0" applyProtection="0" borderId="4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NumberFormat="0" applyProtection="0" borderId="37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0" fillId="0" fontId="67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1" fillId="0" fontId="68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Fill="0" applyNumberFormat="0" applyProtection="0" borderId="4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9" fillId="28" fontId="71" numFmtId="49"/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Fill="0" applyNumberFormat="0" applyProtection="0" borderId="48" fillId="0" fontId="72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applyAlignment="0" applyNumberFormat="0" applyProtection="0" borderId="46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applyAlignment="0" applyNumberFormat="0" applyProtection="0" borderId="37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3">
    <xf borderId="0" fillId="0" fontId="0" numFmtId="0" xfId="0">
      <alignment vertical="center"/>
    </xf>
    <xf applyFont="1" borderId="0" fillId="0" fontId="6" numFmtId="0" xfId="1">
      <alignment vertical="center"/>
    </xf>
    <xf applyAlignment="1" applyFont="1" borderId="0" fillId="0" fontId="11" numFmtId="0" xfId="2">
      <alignment vertical="center"/>
    </xf>
    <xf applyFont="1" borderId="0" fillId="0" fontId="9" numFmtId="0" xfId="1">
      <alignment vertical="center"/>
    </xf>
    <xf applyAlignment="1" applyFont="1" borderId="0" fillId="0" fontId="9" numFmtId="0" xfId="2">
      <alignment vertical="center"/>
    </xf>
    <xf applyAlignment="1" applyFill="1" applyFont="1" applyNumberFormat="1" borderId="0" fillId="0" fontId="3" numFmtId="0" xfId="1">
      <alignment vertical="center"/>
    </xf>
    <xf applyFill="1" applyFont="1" borderId="0" fillId="0" fontId="6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Border="1" applyFill="1" applyFont="1" borderId="0" fillId="0" fontId="6" numFmtId="0" xfId="1">
      <alignment vertical="center"/>
    </xf>
    <xf applyAlignment="1" applyBorder="1" applyFill="1" applyFont="1" applyNumberFormat="1" borderId="2" fillId="0" fontId="8" numFmtId="0" xfId="2">
      <alignment vertical="center"/>
    </xf>
    <xf applyAlignment="1" applyFill="1" applyFont="1" borderId="0" fillId="0" fontId="9" numFmtId="0" xfId="2">
      <alignment vertical="center"/>
    </xf>
    <xf applyAlignment="1" applyFill="1" applyFont="1" borderId="0" fillId="0" fontId="9" numFmtId="0" xfId="2">
      <alignment horizontal="right" vertical="center"/>
    </xf>
    <xf applyAlignment="1" applyFill="1" applyFont="1" borderId="0" fillId="0" fontId="7" numFmtId="0" xfId="2">
      <alignment vertical="center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4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15" fillId="0" fontId="8" numFmtId="0" xfId="2">
      <alignment horizontal="center" vertical="center" wrapText="1"/>
    </xf>
    <xf applyAlignment="1" applyBorder="1" applyFill="1" applyFont="1" applyNumberFormat="1" borderId="16" fillId="0" fontId="8" numFmtId="0" xfId="2">
      <alignment horizontal="center" vertical="center" wrapText="1"/>
    </xf>
    <xf applyAlignment="1" applyBorder="1" applyFill="1" applyFont="1" applyNumberFormat="1" borderId="17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8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ont="1" applyNumberFormat="1" borderId="29" fillId="0" fontId="10" numFmtId="49" xfId="2">
      <alignment horizontal="left" vertical="top" wrapText="1"/>
    </xf>
    <xf applyAlignment="1" applyBorder="1" applyFont="1" applyNumberFormat="1" borderId="32" fillId="0" fontId="10" numFmtId="49" xfId="2">
      <alignment horizontal="center" vertical="top" wrapText="1"/>
    </xf>
    <xf applyAlignment="1" applyBorder="1" applyFont="1" applyNumberFormat="1" borderId="30" fillId="0" fontId="10" numFmtId="49" xfId="2">
      <alignment horizontal="center" vertical="top" wrapText="1"/>
    </xf>
    <xf applyAlignment="1" applyBorder="1" applyFont="1" applyNumberFormat="1" borderId="31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ont="1" applyNumberFormat="1" borderId="34" fillId="0" fontId="10" numFmtId="3" quotePrefix="1" xfId="1">
      <alignment horizontal="right" vertical="top" wrapText="1"/>
    </xf>
    <xf applyAlignment="1" applyBorder="1" applyFont="1" applyNumberFormat="1" borderId="35" fillId="0" fontId="10" numFmtId="3" quotePrefix="1" xfId="1">
      <alignment horizontal="right" vertical="top" wrapText="1"/>
    </xf>
    <xf applyAlignment="1" applyBorder="1" applyFont="1" applyNumberFormat="1" borderId="36" fillId="0" fontId="10" numFmtId="3" quotePrefix="1" xfId="1">
      <alignment horizontal="right" vertical="top" wrapText="1"/>
    </xf>
    <xf applyAlignment="1" applyBorder="1" applyFont="1" applyNumberFormat="1" borderId="29" fillId="0" fontId="10" numFmtId="49" xfId="2">
      <alignment horizontal="right" vertical="top" wrapText="1"/>
    </xf>
    <xf applyAlignment="1" applyBorder="1" applyFill="1" applyFont="1" applyNumberFormat="1" borderId="22" fillId="0" fontId="8" numFmtId="0" xfId="2">
      <alignment horizontal="center" vertical="center" wrapText="1"/>
    </xf>
    <xf applyAlignment="1" applyBorder="1" applyFill="1" applyFont="1" applyNumberFormat="1" borderId="26" fillId="0" fontId="8" numFmtId="0" xfId="2">
      <alignment horizontal="center" vertical="center" wrapText="1"/>
    </xf>
    <xf applyAlignment="1" applyBorder="1" applyFill="1" applyFont="1" applyNumberFormat="1" borderId="4" fillId="0" fontId="8" numFmtId="0" xfId="2">
      <alignment horizontal="center" vertical="center" wrapText="1"/>
    </xf>
    <xf applyAlignment="1" applyBorder="1" applyFill="1" applyFont="1" applyNumberFormat="1" borderId="5" fillId="0" fontId="8" numFmtId="0" xfId="2">
      <alignment horizontal="center" vertical="center" wrapText="1"/>
    </xf>
    <xf applyAlignment="1" applyBorder="1" applyFill="1" applyFont="1" applyNumberFormat="1" borderId="6" fillId="0" fontId="8" numFmtId="0" xfId="2">
      <alignment horizontal="center" vertical="center" wrapText="1"/>
    </xf>
    <xf applyAlignment="1" applyBorder="1" applyFill="1" applyFont="1" applyNumberFormat="1" borderId="9" fillId="0" fontId="8" numFmtId="0" xfId="2">
      <alignment horizontal="center" vertical="center" wrapText="1"/>
    </xf>
    <xf applyAlignment="1" applyBorder="1" applyFill="1" applyFont="1" applyNumberFormat="1" borderId="10" fillId="0" fontId="8" numFmtId="0" xfId="2">
      <alignment horizontal="center" vertical="center" wrapText="1"/>
    </xf>
    <xf applyAlignment="1" applyBorder="1" applyFill="1" applyFont="1" applyNumberFormat="1" borderId="11" fillId="0" fontId="8" numFmtId="0" xfId="2">
      <alignment horizontal="center" vertical="center" wrapText="1"/>
    </xf>
    <xf applyAlignment="1" applyBorder="1" applyFill="1" applyFont="1" applyNumberFormat="1" borderId="12" fillId="0" fontId="8" numFmtId="0" xfId="2">
      <alignment horizontal="center" vertical="center" wrapText="1"/>
    </xf>
    <xf applyAlignment="1" applyBorder="1" applyFill="1" applyFont="1" applyNumberFormat="1" borderId="13" fillId="0" fontId="8" numFmtId="0" xfId="2">
      <alignment horizontal="center" vertical="center" wrapText="1"/>
    </xf>
    <xf applyAlignment="1" applyBorder="1" applyFill="1" applyFont="1" applyNumberFormat="1" borderId="7" fillId="0" fontId="8" numFmtId="0" xfId="2">
      <alignment horizontal="center" vertical="center" wrapText="1"/>
    </xf>
    <xf applyAlignment="1" applyBorder="1" applyFill="1" applyFont="1" applyNumberFormat="1" borderId="21" fillId="0" fontId="8" numFmtId="0" xfId="2">
      <alignment horizontal="center" vertical="center" wrapText="1"/>
    </xf>
    <xf applyAlignment="1" applyBorder="1" applyFill="1" applyFont="1" applyNumberFormat="1" borderId="18" fillId="0" fontId="8" numFmtId="0" xfId="2">
      <alignment horizontal="center" vertical="center" wrapText="1"/>
    </xf>
    <xf applyAlignment="1" applyBorder="1" applyFill="1" applyFont="1" applyNumberFormat="1" borderId="19" fillId="0" fontId="8" numFmtId="0" xfId="2">
      <alignment horizontal="center" vertical="center" wrapText="1"/>
    </xf>
    <xf applyAlignment="1" applyBorder="1" applyFill="1" applyFont="1" applyNumberFormat="1" borderId="20" fillId="0" fontId="8" numFmtId="0" xfId="2">
      <alignment horizontal="center" vertical="center" wrapText="1"/>
    </xf>
    <xf applyAlignment="1" applyBorder="1" applyFill="1" applyFont="1" applyNumberFormat="1" borderId="3" fillId="0" fontId="8" numFmtId="0" xfId="2">
      <alignment horizontal="center" vertical="center" wrapText="1"/>
    </xf>
    <xf applyAlignment="1" applyBorder="1" applyFill="1" applyFont="1" applyNumberFormat="1" borderId="8" fillId="0" fontId="8" numFmtId="0" xfId="2">
      <alignment horizontal="center" vertical="center" wrapText="1"/>
    </xf>
    <xf applyAlignment="1" applyBorder="1" applyFill="1" applyFont="1" applyNumberFormat="1" borderId="2" fillId="0" fontId="8" numFmtId="0" xfId="2">
      <alignment horizontal="center" vertical="center" wrapText="1"/>
    </xf>
    <xf applyAlignment="1" applyBorder="1" applyFill="1" applyFont="1" applyNumberFormat="1" borderId="23" fillId="0" fontId="8" numFmtId="0" xfId="2">
      <alignment horizontal="center" vertical="center" wrapText="1"/>
    </xf>
    <xf applyAlignment="1" applyBorder="1" applyFill="1" applyFont="1" applyNumberFormat="1" borderId="24" fillId="0" fontId="8" numFmtId="0" xfId="2">
      <alignment horizontal="center" vertical="center" wrapText="1"/>
    </xf>
    <xf applyAlignment="1" applyBorder="1" applyFill="1" applyFont="1" applyNumberFormat="1" borderId="25" fillId="0" fontId="8" numFmtId="0" xfId="2">
      <alignment horizontal="center" vertical="center" wrapText="1"/>
    </xf>
    <xf applyAlignment="1" applyBorder="1" applyFill="1" applyFont="1" applyNumberFormat="1" borderId="27" fillId="0" fontId="8" numFmtId="0" xfId="2">
      <alignment horizontal="center" vertical="center" wrapText="1"/>
    </xf>
  </cellXfs>
  <cellStyles count="1940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10" xfId="547"/>
    <cellStyle name="メモ 2" xfId="548"/>
    <cellStyle name="メモ 2 2" xfId="549"/>
    <cellStyle name="メモ 2 2 2" xfId="550"/>
    <cellStyle name="メモ 2 2 2 2" xfId="551"/>
    <cellStyle name="メモ 2 2 2 2 2" xfId="552"/>
    <cellStyle name="メモ 2 2 2 3" xfId="553"/>
    <cellStyle name="メモ 2 2 2 3 2" xfId="554"/>
    <cellStyle name="メモ 2 2 2 4" xfId="555"/>
    <cellStyle name="メモ 2 2 2 4 2" xfId="556"/>
    <cellStyle name="メモ 2 2 2 5" xfId="557"/>
    <cellStyle name="メモ 2 2 2 5 2" xfId="558"/>
    <cellStyle name="メモ 2 2 2 6" xfId="559"/>
    <cellStyle name="メモ 2 2 2 6 2" xfId="560"/>
    <cellStyle name="メモ 2 2 2 7" xfId="561"/>
    <cellStyle name="メモ 2 2 3" xfId="562"/>
    <cellStyle name="メモ 2 2 3 2" xfId="563"/>
    <cellStyle name="メモ 2 2 4" xfId="564"/>
    <cellStyle name="メモ 2 3" xfId="565"/>
    <cellStyle name="メモ 2 3 2" xfId="566"/>
    <cellStyle name="メモ 2 3 2 2" xfId="567"/>
    <cellStyle name="メモ 2 3 2 2 2" xfId="568"/>
    <cellStyle name="メモ 2 3 2 3" xfId="569"/>
    <cellStyle name="メモ 2 3 2 3 2" xfId="570"/>
    <cellStyle name="メモ 2 3 2 4" xfId="571"/>
    <cellStyle name="メモ 2 3 2 4 2" xfId="572"/>
    <cellStyle name="メモ 2 3 2 5" xfId="573"/>
    <cellStyle name="メモ 2 3 2 5 2" xfId="574"/>
    <cellStyle name="メモ 2 3 2 6" xfId="575"/>
    <cellStyle name="メモ 2 3 2 6 2" xfId="576"/>
    <cellStyle name="メモ 2 3 2 7" xfId="577"/>
    <cellStyle name="メモ 2 3 3" xfId="578"/>
    <cellStyle name="メモ 2 3 3 2" xfId="579"/>
    <cellStyle name="メモ 2 4" xfId="580"/>
    <cellStyle name="メモ 2 4 2" xfId="581"/>
    <cellStyle name="メモ 2 4 2 2" xfId="582"/>
    <cellStyle name="メモ 2 4 2 2 2" xfId="583"/>
    <cellStyle name="メモ 2 4 2 3" xfId="584"/>
    <cellStyle name="メモ 2 4 2 3 2" xfId="585"/>
    <cellStyle name="メモ 2 4 2 4" xfId="586"/>
    <cellStyle name="メモ 2 4 2 4 2" xfId="587"/>
    <cellStyle name="メモ 2 4 2 5" xfId="588"/>
    <cellStyle name="メモ 2 4 2 5 2" xfId="589"/>
    <cellStyle name="メモ 2 4 2 6" xfId="590"/>
    <cellStyle name="メモ 2 4 2 6 2" xfId="591"/>
    <cellStyle name="メモ 2 4 2 7" xfId="592"/>
    <cellStyle name="メモ 2 4 3" xfId="593"/>
    <cellStyle name="メモ 2 4 3 2" xfId="594"/>
    <cellStyle name="メモ 2 4 4" xfId="595"/>
    <cellStyle name="メモ 2 4 4 2" xfId="596"/>
    <cellStyle name="メモ 2 4 5" xfId="597"/>
    <cellStyle name="メモ 2 4 5 2" xfId="598"/>
    <cellStyle name="メモ 2 4 6" xfId="599"/>
    <cellStyle name="メモ 2 4 6 2" xfId="600"/>
    <cellStyle name="メモ 2 4 7" xfId="601"/>
    <cellStyle name="メモ 2 4 7 2" xfId="602"/>
    <cellStyle name="メモ 2 4 8" xfId="603"/>
    <cellStyle name="メモ 2 5" xfId="604"/>
    <cellStyle name="メモ 2 5 2" xfId="605"/>
    <cellStyle name="メモ 2 5 2 2" xfId="606"/>
    <cellStyle name="メモ 2 5 2 2 2" xfId="607"/>
    <cellStyle name="メモ 2 5 2 3" xfId="608"/>
    <cellStyle name="メモ 2 5 2 3 2" xfId="609"/>
    <cellStyle name="メモ 2 5 2 4" xfId="610"/>
    <cellStyle name="メモ 2 5 2 4 2" xfId="611"/>
    <cellStyle name="メモ 2 5 2 5" xfId="612"/>
    <cellStyle name="メモ 2 5 2 5 2" xfId="613"/>
    <cellStyle name="メモ 2 5 2 6" xfId="614"/>
    <cellStyle name="メモ 2 5 2 6 2" xfId="615"/>
    <cellStyle name="メモ 2 5 2 7" xfId="616"/>
    <cellStyle name="メモ 2 5 3" xfId="617"/>
    <cellStyle name="メモ 2 5 3 2" xfId="618"/>
    <cellStyle name="メモ 2 5 4" xfId="619"/>
    <cellStyle name="メモ 2 5 4 2" xfId="620"/>
    <cellStyle name="メモ 2 5 5" xfId="621"/>
    <cellStyle name="メモ 2 5 5 2" xfId="622"/>
    <cellStyle name="メモ 2 5 6" xfId="623"/>
    <cellStyle name="メモ 2 5 6 2" xfId="624"/>
    <cellStyle name="メモ 2 5 7" xfId="625"/>
    <cellStyle name="メモ 2 5 7 2" xfId="626"/>
    <cellStyle name="メモ 2 5 8" xfId="627"/>
    <cellStyle name="メモ 2 6" xfId="628"/>
    <cellStyle name="メモ 2 6 2" xfId="629"/>
    <cellStyle name="メモ 2 6 2 2" xfId="630"/>
    <cellStyle name="メモ 2 6 2 2 2" xfId="631"/>
    <cellStyle name="メモ 2 6 2 3" xfId="632"/>
    <cellStyle name="メモ 2 6 2 3 2" xfId="633"/>
    <cellStyle name="メモ 2 6 2 4" xfId="634"/>
    <cellStyle name="メモ 2 6 2 4 2" xfId="635"/>
    <cellStyle name="メモ 2 6 2 5" xfId="636"/>
    <cellStyle name="メモ 2 6 2 5 2" xfId="637"/>
    <cellStyle name="メモ 2 6 2 6" xfId="638"/>
    <cellStyle name="メモ 2 6 2 6 2" xfId="639"/>
    <cellStyle name="メモ 2 6 2 7" xfId="640"/>
    <cellStyle name="メモ 2 6 3" xfId="641"/>
    <cellStyle name="メモ 2 6 3 2" xfId="642"/>
    <cellStyle name="メモ 2 6 4" xfId="643"/>
    <cellStyle name="メモ 2 6 4 2" xfId="644"/>
    <cellStyle name="メモ 2 6 5" xfId="645"/>
    <cellStyle name="メモ 2 6 5 2" xfId="646"/>
    <cellStyle name="メモ 2 6 6" xfId="647"/>
    <cellStyle name="メモ 2 6 6 2" xfId="648"/>
    <cellStyle name="メモ 2 6 7" xfId="649"/>
    <cellStyle name="メモ 2 6 7 2" xfId="650"/>
    <cellStyle name="メモ 2 6 8" xfId="651"/>
    <cellStyle name="メモ 2 7" xfId="652"/>
    <cellStyle name="メモ 2 7 2" xfId="653"/>
    <cellStyle name="メモ 2 7 2 2" xfId="654"/>
    <cellStyle name="メモ 2 7 3" xfId="655"/>
    <cellStyle name="メモ 2 7 3 2" xfId="656"/>
    <cellStyle name="メモ 2 7 4" xfId="657"/>
    <cellStyle name="メモ 2 7 4 2" xfId="658"/>
    <cellStyle name="メモ 2 7 5" xfId="659"/>
    <cellStyle name="メモ 2 7 5 2" xfId="660"/>
    <cellStyle name="メモ 2 7 6" xfId="661"/>
    <cellStyle name="メモ 2 7 6 2" xfId="662"/>
    <cellStyle name="メモ 2 7 7" xfId="663"/>
    <cellStyle name="メモ 2 8" xfId="664"/>
    <cellStyle name="メモ 2 8 2" xfId="665"/>
    <cellStyle name="メモ 3" xfId="666"/>
    <cellStyle name="メモ 3 2" xfId="667"/>
    <cellStyle name="メモ 3 2 2" xfId="668"/>
    <cellStyle name="メモ 3 2 2 2" xfId="669"/>
    <cellStyle name="メモ 3 2 3" xfId="670"/>
    <cellStyle name="メモ 3 2 3 2" xfId="671"/>
    <cellStyle name="メモ 3 2 4" xfId="672"/>
    <cellStyle name="メモ 3 2 4 2" xfId="673"/>
    <cellStyle name="メモ 3 2 5" xfId="674"/>
    <cellStyle name="メモ 3 2 5 2" xfId="675"/>
    <cellStyle name="メモ 3 2 6" xfId="676"/>
    <cellStyle name="メモ 3 2 6 2" xfId="677"/>
    <cellStyle name="メモ 3 2 7" xfId="678"/>
    <cellStyle name="メモ 3 3" xfId="679"/>
    <cellStyle name="メモ 3 3 2" xfId="680"/>
    <cellStyle name="メモ 3 4" xfId="681"/>
    <cellStyle name="メモ 3 5" xfId="682"/>
    <cellStyle name="メモ 4" xfId="683"/>
    <cellStyle name="メモ 4 2" xfId="684"/>
    <cellStyle name="メモ 4 2 2" xfId="685"/>
    <cellStyle name="メモ 4 2 2 2" xfId="686"/>
    <cellStyle name="メモ 4 2 3" xfId="687"/>
    <cellStyle name="メモ 4 2 3 2" xfId="688"/>
    <cellStyle name="メモ 4 2 4" xfId="689"/>
    <cellStyle name="メモ 4 2 4 2" xfId="690"/>
    <cellStyle name="メモ 4 2 5" xfId="691"/>
    <cellStyle name="メモ 4 2 5 2" xfId="692"/>
    <cellStyle name="メモ 4 2 6" xfId="693"/>
    <cellStyle name="メモ 4 2 6 2" xfId="694"/>
    <cellStyle name="メモ 4 2 7" xfId="695"/>
    <cellStyle name="メモ 4 3" xfId="696"/>
    <cellStyle name="メモ 4 3 2" xfId="697"/>
    <cellStyle name="メモ 4 4" xfId="698"/>
    <cellStyle name="メモ 5" xfId="699"/>
    <cellStyle name="メモ 5 2" xfId="700"/>
    <cellStyle name="メモ 5 2 2" xfId="701"/>
    <cellStyle name="メモ 5 3" xfId="702"/>
    <cellStyle name="メモ 5 3 2" xfId="703"/>
    <cellStyle name="メモ 5 4" xfId="704"/>
    <cellStyle name="メモ 5 4 2" xfId="705"/>
    <cellStyle name="メモ 5 5" xfId="706"/>
    <cellStyle name="メモ 5 5 2" xfId="707"/>
    <cellStyle name="メモ 5 6" xfId="708"/>
    <cellStyle name="メモ 5 6 2" xfId="709"/>
    <cellStyle name="メモ 5 7" xfId="710"/>
    <cellStyle name="メモ 5 7 2" xfId="711"/>
    <cellStyle name="メモ 6" xfId="712"/>
    <cellStyle name="メモ 7" xfId="713"/>
    <cellStyle name="メモ 8" xfId="714"/>
    <cellStyle name="メモ 9" xfId="715"/>
    <cellStyle name="リンク セル 2" xfId="716"/>
    <cellStyle name="リンク セル 3" xfId="717"/>
    <cellStyle name="リンク セル 4" xfId="718"/>
    <cellStyle name="リンク セル 5" xfId="719"/>
    <cellStyle name="リンク セル 6" xfId="720"/>
    <cellStyle name="リンク セル 7" xfId="721"/>
    <cellStyle name="リンク セル 8" xfId="722"/>
    <cellStyle name="リンク セル 9" xfId="723"/>
    <cellStyle name="_x001d_・_x000c_ﾏ・_x000d_ﾂ・_x0001__x0016__x0011_F5_x0007__x0001__x0001_" xfId="724"/>
    <cellStyle name="_x001d_・_x000c_ﾏ・_x000d_ﾂ・_x0001__x0016__x0011_F5_x0007__x0001__x0001_ 2" xfId="725"/>
    <cellStyle name="_x001d_・_x000c_ﾏ・_x000d_ﾂ・_x0001__x0016__x0011_F5_x0007__x0001__x0001_ 2 2" xfId="726"/>
    <cellStyle name="_x001d_・_x000c_ﾏ・_x000d_ﾂ・_x0001__x0016__x0011_F5_x0007__x0001__x0001_ 2 2 2" xfId="727"/>
    <cellStyle name="_x001d_・_x000c_ﾏ・_x000d_ﾂ・_x0001__x0016__x0011_F5_x0007__x0001__x0001_ 2 3" xfId="728"/>
    <cellStyle name="_x001d_・_x000c_ﾏ・_x000d_ﾂ・_x0001__x0016__x0011_F5_x0007__x0001__x0001_ 3" xfId="729"/>
    <cellStyle name="_x001d_・_x000c_ﾏ・_x000d_ﾂ・_x0001__x0016__x0011_F5_x0007__x0001__x0001_ 3 2" xfId="730"/>
    <cellStyle name="悪い 2" xfId="731"/>
    <cellStyle name="悪い 3" xfId="732"/>
    <cellStyle name="悪い 4" xfId="733"/>
    <cellStyle name="悪い 5" xfId="734"/>
    <cellStyle name="悪い 6" xfId="735"/>
    <cellStyle name="悪い 7" xfId="736"/>
    <cellStyle name="悪い 8" xfId="737"/>
    <cellStyle name="悪い 9" xfId="738"/>
    <cellStyle name="計算 2" xfId="739"/>
    <cellStyle name="計算 2 2" xfId="740"/>
    <cellStyle name="計算 2 2 2" xfId="741"/>
    <cellStyle name="計算 2 2 2 2" xfId="742"/>
    <cellStyle name="計算 2 2 2 2 2" xfId="743"/>
    <cellStyle name="計算 2 2 2 3" xfId="744"/>
    <cellStyle name="計算 2 2 2 3 2" xfId="745"/>
    <cellStyle name="計算 2 2 2 4" xfId="746"/>
    <cellStyle name="計算 2 2 2 4 2" xfId="747"/>
    <cellStyle name="計算 2 2 2 5" xfId="748"/>
    <cellStyle name="計算 2 2 2 5 2" xfId="749"/>
    <cellStyle name="計算 2 2 2 6" xfId="750"/>
    <cellStyle name="計算 2 2 2 6 2" xfId="751"/>
    <cellStyle name="計算 2 2 2 7" xfId="752"/>
    <cellStyle name="計算 2 2 3" xfId="753"/>
    <cellStyle name="計算 2 2 3 2" xfId="754"/>
    <cellStyle name="計算 2 2 4" xfId="755"/>
    <cellStyle name="計算 2 3" xfId="756"/>
    <cellStyle name="計算 2 3 2" xfId="757"/>
    <cellStyle name="計算 2 3 2 2" xfId="758"/>
    <cellStyle name="計算 2 3 3" xfId="759"/>
    <cellStyle name="計算 2 3 3 2" xfId="760"/>
    <cellStyle name="計算 2 3 4" xfId="761"/>
    <cellStyle name="計算 2 3 4 2" xfId="762"/>
    <cellStyle name="計算 2 3 5" xfId="763"/>
    <cellStyle name="計算 2 3 5 2" xfId="764"/>
    <cellStyle name="計算 2 3 6" xfId="765"/>
    <cellStyle name="計算 2 3 6 2" xfId="766"/>
    <cellStyle name="計算 2 3 7" xfId="767"/>
    <cellStyle name="計算 2 4" xfId="768"/>
    <cellStyle name="計算 2 4 2" xfId="769"/>
    <cellStyle name="計算 2 5" xfId="770"/>
    <cellStyle name="計算 3" xfId="771"/>
    <cellStyle name="計算 3 2" xfId="772"/>
    <cellStyle name="計算 3 2 2" xfId="773"/>
    <cellStyle name="計算 3 2 2 2" xfId="774"/>
    <cellStyle name="計算 3 2 3" xfId="775"/>
    <cellStyle name="計算 3 2 3 2" xfId="776"/>
    <cellStyle name="計算 3 2 4" xfId="777"/>
    <cellStyle name="計算 3 2 4 2" xfId="778"/>
    <cellStyle name="計算 3 2 5" xfId="779"/>
    <cellStyle name="計算 3 2 5 2" xfId="780"/>
    <cellStyle name="計算 3 2 6" xfId="781"/>
    <cellStyle name="計算 3 2 6 2" xfId="782"/>
    <cellStyle name="計算 3 2 7" xfId="783"/>
    <cellStyle name="計算 3 3" xfId="784"/>
    <cellStyle name="計算 3 3 2" xfId="785"/>
    <cellStyle name="計算 3 4" xfId="786"/>
    <cellStyle name="計算 4" xfId="787"/>
    <cellStyle name="計算 4 2" xfId="788"/>
    <cellStyle name="計算 4 2 2" xfId="789"/>
    <cellStyle name="計算 4 3" xfId="790"/>
    <cellStyle name="計算 4 3 2" xfId="791"/>
    <cellStyle name="計算 4 4" xfId="792"/>
    <cellStyle name="計算 4 4 2" xfId="793"/>
    <cellStyle name="計算 4 5" xfId="794"/>
    <cellStyle name="計算 4 5 2" xfId="795"/>
    <cellStyle name="計算 4 6" xfId="796"/>
    <cellStyle name="計算 4 6 2" xfId="797"/>
    <cellStyle name="計算 4 7" xfId="798"/>
    <cellStyle name="計算 5" xfId="799"/>
    <cellStyle name="計算 6" xfId="800"/>
    <cellStyle name="計算 7" xfId="801"/>
    <cellStyle name="計算 8" xfId="802"/>
    <cellStyle name="計算 9" xfId="803"/>
    <cellStyle name="警告文 2" xfId="804"/>
    <cellStyle name="警告文 3" xfId="805"/>
    <cellStyle name="警告文 4" xfId="806"/>
    <cellStyle name="警告文 5" xfId="807"/>
    <cellStyle name="警告文 6" xfId="808"/>
    <cellStyle name="警告文 7" xfId="809"/>
    <cellStyle name="警告文 8" xfId="810"/>
    <cellStyle name="警告文 9" xfId="811"/>
    <cellStyle name="桁蟻唇Ｆ [0.00]_laroux" xfId="812"/>
    <cellStyle name="桁蟻唇Ｆ_A°DAU±ATIsA" xfId="813"/>
    <cellStyle name="桁区切り 2" xfId="814"/>
    <cellStyle name="桁区切り 2 2" xfId="815"/>
    <cellStyle name="桁区切り 2 2 2" xfId="816"/>
    <cellStyle name="桁区切り 2 3" xfId="817"/>
    <cellStyle name="桁区切り 2 4" xfId="818"/>
    <cellStyle name="桁区切り 2 4 2" xfId="819"/>
    <cellStyle name="桁区切り 2 4 3" xfId="820"/>
    <cellStyle name="桁区切り 2 5" xfId="821"/>
    <cellStyle name="桁区切り 2 5 2" xfId="822"/>
    <cellStyle name="桁区切り 2 5 3" xfId="823"/>
    <cellStyle name="桁区切り 2 6" xfId="824"/>
    <cellStyle name="桁区切り 2_バックアップセンタ_切替テストスケジュール_20120406~10" xfId="825"/>
    <cellStyle name="桁区切り 3" xfId="826"/>
    <cellStyle name="桁区切り 3 2" xfId="827"/>
    <cellStyle name="桁区切り 3 2 2" xfId="828"/>
    <cellStyle name="桁区切り 3 2 3" xfId="829"/>
    <cellStyle name="桁区切り 3 3" xfId="830"/>
    <cellStyle name="桁区切り 4" xfId="831"/>
    <cellStyle name="桁区切り 4 2" xfId="832"/>
    <cellStyle name="桁区切り 4 2 2" xfId="833"/>
    <cellStyle name="桁区切り 4 2 3" xfId="834"/>
    <cellStyle name="桁区切り 4 3" xfId="835"/>
    <cellStyle name="桁区切り 4 4" xfId="836"/>
    <cellStyle name="桁区切り 5" xfId="837"/>
    <cellStyle name="桁区切り 5 2" xfId="838"/>
    <cellStyle name="桁区切り 5 3" xfId="839"/>
    <cellStyle name="桁区切り 6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"/>
    <cellStyle name="標準 133" xfId="1168"/>
    <cellStyle name="標準 136" xfId="1169"/>
    <cellStyle name="標準 14" xfId="1170"/>
    <cellStyle name="標準 14 2" xfId="1171"/>
    <cellStyle name="標準 14 2 2" xfId="1172"/>
    <cellStyle name="標準 14 2 3" xfId="1173"/>
    <cellStyle name="標準 14 3" xfId="1174"/>
    <cellStyle name="標準 14 4" xfId="1175"/>
    <cellStyle name="標準 15" xfId="1176"/>
    <cellStyle name="標準 15 2" xfId="1177"/>
    <cellStyle name="標準 15 2 2" xfId="1178"/>
    <cellStyle name="標準 15 2 3" xfId="1179"/>
    <cellStyle name="標準 15 3" xfId="1180"/>
    <cellStyle name="標準 15 4" xfId="1181"/>
    <cellStyle name="標準 15 5" xfId="1182"/>
    <cellStyle name="標準 15 6" xfId="1183"/>
    <cellStyle name="標準 16" xfId="1184"/>
    <cellStyle name="標準 16 2" xfId="1185"/>
    <cellStyle name="標準 16 2 2" xfId="1186"/>
    <cellStyle name="標準 16 2 3" xfId="1187"/>
    <cellStyle name="標準 16 3" xfId="1188"/>
    <cellStyle name="標準 16 4" xfId="1189"/>
    <cellStyle name="標準 16 5" xfId="1190"/>
    <cellStyle name="標準 17" xfId="1191"/>
    <cellStyle name="標準 17 2" xfId="1192"/>
    <cellStyle name="標準 17 2 2" xfId="1193"/>
    <cellStyle name="標準 17 2 3" xfId="1194"/>
    <cellStyle name="標準 17 3" xfId="1195"/>
    <cellStyle name="標準 17 4" xfId="1196"/>
    <cellStyle name="標準 17 5" xfId="1197"/>
    <cellStyle name="標準 18" xfId="1198"/>
    <cellStyle name="標準 18 2" xfId="1199"/>
    <cellStyle name="標準 18 2 2" xfId="1200"/>
    <cellStyle name="標準 18 2 3" xfId="1201"/>
    <cellStyle name="標準 18 2 4" xfId="1202"/>
    <cellStyle name="標準 18 3" xfId="1203"/>
    <cellStyle name="標準 18 4" xfId="1204"/>
    <cellStyle name="標準 18 5" xfId="1205"/>
    <cellStyle name="標準 18 6" xfId="1206"/>
    <cellStyle name="標準 19" xfId="1207"/>
    <cellStyle name="標準 19 2" xfId="1208"/>
    <cellStyle name="標準 19 3" xfId="1209"/>
    <cellStyle name="標準 2" xfId="2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195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3" width="6.5" collapsed="false"/>
    <col min="2" max="2" customWidth="true" style="3" width="30.625" collapsed="false"/>
    <col min="3" max="3" customWidth="true" style="4" width="30.625" collapsed="false"/>
    <col min="4" max="4" customWidth="true" style="3" width="4.625" collapsed="false"/>
    <col min="5" max="5" customWidth="true" style="3" width="22.625" collapsed="false"/>
    <col min="6" max="6" customWidth="true" style="3" width="4.625" collapsed="false"/>
    <col min="7" max="7" customWidth="true" style="3" width="22.625" collapsed="false"/>
    <col min="8" max="8" customWidth="true" style="3" width="4.625" collapsed="false"/>
    <col min="9" max="9" customWidth="true" style="3" width="22.625" collapsed="false"/>
    <col min="10" max="10" customWidth="true" style="3" width="4.625" collapsed="false"/>
    <col min="11" max="11" customWidth="true" style="3" width="22.625" collapsed="false"/>
    <col min="12" max="12" customWidth="true" style="3" width="4.625" collapsed="false"/>
    <col min="13" max="13" customWidth="true" style="3" width="22.625" collapsed="false"/>
    <col min="14" max="14" customWidth="true" style="3" width="4.625" collapsed="false"/>
    <col min="15" max="18" customWidth="true" style="3" width="22.625" collapsed="false"/>
    <col min="19" max="19" customWidth="true" style="3" width="4.625" collapsed="false"/>
    <col min="20" max="20" customWidth="true" style="3" width="22.625" collapsed="false"/>
    <col min="21" max="21" customWidth="true" style="3" width="4.625" collapsed="false"/>
    <col min="22" max="22" customWidth="true" style="3" width="22.625" collapsed="false"/>
    <col min="23" max="23" customWidth="true" style="3" width="4.625" collapsed="false"/>
    <col min="24" max="24" customWidth="true" style="3" width="22.625" collapsed="false"/>
    <col min="25" max="25" customWidth="true" style="3" width="4.625" collapsed="false"/>
    <col min="26" max="26" customWidth="true" style="3" width="22.625" collapsed="false"/>
    <col min="27" max="27" customWidth="true" style="3" width="4.625" collapsed="false"/>
    <col min="28" max="28" customWidth="true" style="3" width="22.625" collapsed="false"/>
    <col min="29" max="29" customWidth="true" style="3" width="4.625" collapsed="false"/>
    <col min="30" max="30" customWidth="true" style="3" width="22.625" collapsed="false"/>
    <col min="31" max="31" customWidth="true" style="1" width="9.0" collapsed="false"/>
    <col min="32" max="16384" style="1" width="9.0" collapsed="false"/>
  </cols>
  <sheetData>
    <row customFormat="1" customHeight="1" ht="30" r="1" s="6" spans="1: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customFormat="1" customHeight="1" ht="30" r="2" s="8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customFormat="1" customHeight="1" ht="15" r="3" s="8" spans="1:30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customFormat="1" customHeight="1" ht="17.100000000000001" r="4" s="12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12" spans="1:30">
      <c r="A5" s="46" t="s">
        <v>4</v>
      </c>
      <c r="B5" s="46" t="s">
        <v>5</v>
      </c>
      <c r="C5" s="33" t="s">
        <v>6</v>
      </c>
      <c r="D5" s="33" t="s">
        <v>7</v>
      </c>
      <c r="E5" s="34"/>
      <c r="F5" s="34" t="s">
        <v>8</v>
      </c>
      <c r="G5" s="34"/>
      <c r="H5" s="34" t="s">
        <v>8</v>
      </c>
      <c r="I5" s="35"/>
      <c r="J5" s="33" t="s">
        <v>9</v>
      </c>
      <c r="K5" s="34"/>
      <c r="L5" s="34" t="s">
        <v>8</v>
      </c>
      <c r="M5" s="34"/>
      <c r="N5" s="34" t="s">
        <v>8</v>
      </c>
      <c r="O5" s="35"/>
      <c r="P5" s="34" t="s">
        <v>10</v>
      </c>
      <c r="Q5" s="34"/>
      <c r="R5" s="35"/>
      <c r="S5" s="33" t="s">
        <v>11</v>
      </c>
      <c r="T5" s="34"/>
      <c r="U5" s="34" t="s">
        <v>8</v>
      </c>
      <c r="V5" s="34"/>
      <c r="W5" s="34" t="s">
        <v>8</v>
      </c>
      <c r="X5" s="35"/>
      <c r="Y5" s="33" t="s">
        <v>12</v>
      </c>
      <c r="Z5" s="34"/>
      <c r="AA5" s="34" t="s">
        <v>8</v>
      </c>
      <c r="AB5" s="34"/>
      <c r="AC5" s="34" t="s">
        <v>8</v>
      </c>
      <c r="AD5" s="35"/>
    </row>
    <row customFormat="1" customHeight="1" ht="17.100000000000001" r="6" s="12" spans="1:30">
      <c r="A6" s="41"/>
      <c r="B6" s="41"/>
      <c r="C6" s="47"/>
      <c r="D6" s="36" t="s">
        <v>13</v>
      </c>
      <c r="E6" s="37"/>
      <c r="F6" s="38" t="s">
        <v>14</v>
      </c>
      <c r="G6" s="39"/>
      <c r="H6" s="37" t="s">
        <v>15</v>
      </c>
      <c r="I6" s="40"/>
      <c r="J6" s="36" t="s">
        <v>13</v>
      </c>
      <c r="K6" s="37"/>
      <c r="L6" s="38" t="s">
        <v>14</v>
      </c>
      <c r="M6" s="39"/>
      <c r="N6" s="37" t="s">
        <v>15</v>
      </c>
      <c r="O6" s="40"/>
      <c r="P6" s="13" t="s">
        <v>13</v>
      </c>
      <c r="Q6" s="14" t="s">
        <v>14</v>
      </c>
      <c r="R6" s="15" t="s">
        <v>16</v>
      </c>
      <c r="S6" s="36" t="s">
        <v>13</v>
      </c>
      <c r="T6" s="37"/>
      <c r="U6" s="38" t="s">
        <v>14</v>
      </c>
      <c r="V6" s="39"/>
      <c r="W6" s="37" t="s">
        <v>15</v>
      </c>
      <c r="X6" s="40"/>
      <c r="Y6" s="36" t="s">
        <v>13</v>
      </c>
      <c r="Z6" s="37"/>
      <c r="AA6" s="38" t="s">
        <v>14</v>
      </c>
      <c r="AB6" s="39"/>
      <c r="AC6" s="37" t="s">
        <v>15</v>
      </c>
      <c r="AD6" s="40"/>
    </row>
    <row customFormat="1" customHeight="1" ht="1.5" r="7" s="12" spans="1:30">
      <c r="A7" s="16"/>
      <c r="B7" s="41"/>
      <c r="C7" s="4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8"/>
    </row>
    <row customFormat="1" customHeight="1" ht="17.100000000000001" r="8" s="12" spans="1:30">
      <c r="A8" s="41" t="s">
        <v>17</v>
      </c>
      <c r="B8" s="41"/>
      <c r="C8" s="47"/>
      <c r="D8" s="43" t="s">
        <v>18</v>
      </c>
      <c r="E8" s="44"/>
      <c r="F8" s="44"/>
      <c r="G8" s="44"/>
      <c r="H8" s="44"/>
      <c r="I8" s="45"/>
      <c r="J8" s="43" t="s">
        <v>19</v>
      </c>
      <c r="K8" s="44"/>
      <c r="L8" s="44"/>
      <c r="M8" s="44"/>
      <c r="N8" s="44"/>
      <c r="O8" s="45"/>
      <c r="P8" s="44" t="s">
        <v>20</v>
      </c>
      <c r="Q8" s="44"/>
      <c r="R8" s="45"/>
      <c r="S8" s="43" t="s">
        <v>21</v>
      </c>
      <c r="T8" s="44"/>
      <c r="U8" s="44"/>
      <c r="V8" s="44"/>
      <c r="W8" s="44"/>
      <c r="X8" s="45"/>
      <c r="Y8" s="43" t="s">
        <v>22</v>
      </c>
      <c r="Z8" s="44"/>
      <c r="AA8" s="44"/>
      <c r="AB8" s="44"/>
      <c r="AC8" s="44"/>
      <c r="AD8" s="45"/>
    </row>
    <row customFormat="1" customHeight="1" ht="17.100000000000001" r="9" s="12" spans="1:30">
      <c r="A9" s="42"/>
      <c r="B9" s="42"/>
      <c r="C9" s="31"/>
      <c r="D9" s="31" t="s">
        <v>23</v>
      </c>
      <c r="E9" s="48"/>
      <c r="F9" s="49" t="s">
        <v>24</v>
      </c>
      <c r="G9" s="50"/>
      <c r="H9" s="48" t="s">
        <v>25</v>
      </c>
      <c r="I9" s="51"/>
      <c r="J9" s="31" t="s">
        <v>23</v>
      </c>
      <c r="K9" s="32"/>
      <c r="L9" s="52" t="s">
        <v>24</v>
      </c>
      <c r="M9" s="50"/>
      <c r="N9" s="48" t="s">
        <v>25</v>
      </c>
      <c r="O9" s="51"/>
      <c r="P9" s="19" t="s">
        <v>23</v>
      </c>
      <c r="Q9" s="20" t="s">
        <v>24</v>
      </c>
      <c r="R9" s="21" t="s">
        <v>25</v>
      </c>
      <c r="S9" s="31" t="s">
        <v>23</v>
      </c>
      <c r="T9" s="32"/>
      <c r="U9" s="52" t="s">
        <v>24</v>
      </c>
      <c r="V9" s="50"/>
      <c r="W9" s="48" t="s">
        <v>25</v>
      </c>
      <c r="X9" s="51"/>
      <c r="Y9" s="31" t="s">
        <v>23</v>
      </c>
      <c r="Z9" s="32"/>
      <c r="AA9" s="52" t="s">
        <v>24</v>
      </c>
      <c r="AB9" s="50"/>
      <c r="AC9" s="48" t="s">
        <v>25</v>
      </c>
      <c r="AD9" s="51"/>
    </row>
    <row customFormat="1" customHeight="1" ht="13.5" r="10" s="2" spans="1:30">
      <c r="A10" s="30" t="s">
        <v>26</v>
      </c>
      <c r="B10" s="22" t="s">
        <v>27</v>
      </c>
      <c r="C10" s="22" t="s">
        <v>28</v>
      </c>
      <c r="D10" s="24"/>
      <c r="E10" s="25" t="n">
        <f>59961</f>
        <v>59961.0</v>
      </c>
      <c r="F10" s="23"/>
      <c r="G10" s="25" t="n">
        <f>45066</f>
        <v>45066.0</v>
      </c>
      <c r="H10" s="23"/>
      <c r="I10" s="26" t="n">
        <f>105027</f>
        <v>105027.0</v>
      </c>
      <c r="J10" s="24"/>
      <c r="K10" s="25" t="n">
        <f>15069418338</f>
        <v>1.5069418338E10</v>
      </c>
      <c r="L10" s="23"/>
      <c r="M10" s="25" t="n">
        <f>15581993380</f>
        <v>1.558199338E10</v>
      </c>
      <c r="N10" s="23"/>
      <c r="O10" s="26" t="n">
        <f>30651411718</f>
        <v>3.0651411718E10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4"/>
      <c r="T10" s="25" t="n">
        <f>10050</f>
        <v>10050.0</v>
      </c>
      <c r="U10" s="23"/>
      <c r="V10" s="25" t="n">
        <f>10187</f>
        <v>10187.0</v>
      </c>
      <c r="W10" s="23"/>
      <c r="X10" s="26" t="n">
        <f>20237</f>
        <v>20237.0</v>
      </c>
      <c r="Y10" s="24"/>
      <c r="Z10" s="25" t="n">
        <f>859805</f>
        <v>859805.0</v>
      </c>
      <c r="AA10" s="23"/>
      <c r="AB10" s="25" t="n">
        <f>535978</f>
        <v>535978.0</v>
      </c>
      <c r="AC10" s="23"/>
      <c r="AD10" s="26" t="n">
        <f>1395783</f>
        <v>1395783.0</v>
      </c>
    </row>
    <row r="11">
      <c r="A11" s="30" t="s">
        <v>29</v>
      </c>
      <c r="B11" s="22" t="s">
        <v>27</v>
      </c>
      <c r="C11" s="22" t="s">
        <v>28</v>
      </c>
      <c r="D11" s="24"/>
      <c r="E11" s="25"/>
      <c r="F11" s="23"/>
      <c r="G11" s="25"/>
      <c r="H11" s="23"/>
      <c r="I11" s="26"/>
      <c r="J11" s="24"/>
      <c r="K11" s="25"/>
      <c r="L11" s="23"/>
      <c r="M11" s="25"/>
      <c r="N11" s="23"/>
      <c r="O11" s="26"/>
      <c r="P11" s="27"/>
      <c r="Q11" s="28"/>
      <c r="R11" s="29"/>
      <c r="S11" s="24"/>
      <c r="T11" s="25"/>
      <c r="U11" s="23"/>
      <c r="V11" s="25"/>
      <c r="W11" s="23"/>
      <c r="X11" s="26"/>
      <c r="Y11" s="24"/>
      <c r="Z11" s="25"/>
      <c r="AA11" s="23"/>
      <c r="AB11" s="25"/>
      <c r="AC11" s="23"/>
      <c r="AD11" s="26"/>
    </row>
    <row r="12">
      <c r="A12" s="30" t="s">
        <v>30</v>
      </c>
      <c r="B12" s="22" t="s">
        <v>27</v>
      </c>
      <c r="C12" s="22" t="s">
        <v>28</v>
      </c>
      <c r="D12" s="24"/>
      <c r="E12" s="25"/>
      <c r="F12" s="23"/>
      <c r="G12" s="25"/>
      <c r="H12" s="23"/>
      <c r="I12" s="26"/>
      <c r="J12" s="24"/>
      <c r="K12" s="25"/>
      <c r="L12" s="23"/>
      <c r="M12" s="25"/>
      <c r="N12" s="23"/>
      <c r="O12" s="26"/>
      <c r="P12" s="27"/>
      <c r="Q12" s="28"/>
      <c r="R12" s="29"/>
      <c r="S12" s="24"/>
      <c r="T12" s="25"/>
      <c r="U12" s="23"/>
      <c r="V12" s="25"/>
      <c r="W12" s="23"/>
      <c r="X12" s="26"/>
      <c r="Y12" s="24"/>
      <c r="Z12" s="25"/>
      <c r="AA12" s="23"/>
      <c r="AB12" s="25"/>
      <c r="AC12" s="23"/>
      <c r="AD12" s="26"/>
    </row>
    <row r="13">
      <c r="A13" s="30" t="s">
        <v>31</v>
      </c>
      <c r="B13" s="22" t="s">
        <v>27</v>
      </c>
      <c r="C13" s="22" t="s">
        <v>28</v>
      </c>
      <c r="D13" s="24"/>
      <c r="E13" s="25" t="n">
        <f>64465</f>
        <v>64465.0</v>
      </c>
      <c r="F13" s="23"/>
      <c r="G13" s="25" t="n">
        <f>51384</f>
        <v>51384.0</v>
      </c>
      <c r="H13" s="23"/>
      <c r="I13" s="26" t="n">
        <f>115849</f>
        <v>115849.0</v>
      </c>
      <c r="J13" s="24"/>
      <c r="K13" s="25" t="n">
        <f>25178884909</f>
        <v>2.5178884909E10</v>
      </c>
      <c r="L13" s="23"/>
      <c r="M13" s="25" t="n">
        <f>34229361295</f>
        <v>3.4229361295E10</v>
      </c>
      <c r="N13" s="23"/>
      <c r="O13" s="26" t="n">
        <f>59408246204</f>
        <v>5.9408246204E10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4" t="s">
        <v>32</v>
      </c>
      <c r="T13" s="25" t="n">
        <f>22719</f>
        <v>22719.0</v>
      </c>
      <c r="U13" s="23" t="s">
        <v>32</v>
      </c>
      <c r="V13" s="25" t="n">
        <f>17818</f>
        <v>17818.0</v>
      </c>
      <c r="W13" s="23" t="s">
        <v>32</v>
      </c>
      <c r="X13" s="26" t="n">
        <f>40537</f>
        <v>40537.0</v>
      </c>
      <c r="Y13" s="24"/>
      <c r="Z13" s="25" t="n">
        <f>874061</f>
        <v>874061.0</v>
      </c>
      <c r="AA13" s="23"/>
      <c r="AB13" s="25" t="n">
        <f>539181</f>
        <v>539181.0</v>
      </c>
      <c r="AC13" s="23"/>
      <c r="AD13" s="26" t="n">
        <f>1413242</f>
        <v>1413242.0</v>
      </c>
    </row>
    <row r="14">
      <c r="A14" s="30" t="s">
        <v>33</v>
      </c>
      <c r="B14" s="22" t="s">
        <v>27</v>
      </c>
      <c r="C14" s="22" t="s">
        <v>28</v>
      </c>
      <c r="D14" s="24"/>
      <c r="E14" s="25" t="n">
        <f>59242</f>
        <v>59242.0</v>
      </c>
      <c r="F14" s="23"/>
      <c r="G14" s="25" t="n">
        <f>39414</f>
        <v>39414.0</v>
      </c>
      <c r="H14" s="23"/>
      <c r="I14" s="26" t="n">
        <f>98656</f>
        <v>98656.0</v>
      </c>
      <c r="J14" s="24" t="s">
        <v>32</v>
      </c>
      <c r="K14" s="25" t="n">
        <f>34982847370</f>
        <v>3.498284737E10</v>
      </c>
      <c r="L14" s="23" t="s">
        <v>32</v>
      </c>
      <c r="M14" s="25" t="n">
        <f>45464633710</f>
        <v>4.546463371E10</v>
      </c>
      <c r="N14" s="23" t="s">
        <v>32</v>
      </c>
      <c r="O14" s="26" t="n">
        <f>80447481080</f>
        <v>8.044748108E10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4"/>
      <c r="T14" s="25" t="n">
        <f>19294</f>
        <v>19294.0</v>
      </c>
      <c r="U14" s="23"/>
      <c r="V14" s="25" t="n">
        <f>12540</f>
        <v>12540.0</v>
      </c>
      <c r="W14" s="23"/>
      <c r="X14" s="26" t="n">
        <f>31834</f>
        <v>31834.0</v>
      </c>
      <c r="Y14" s="24"/>
      <c r="Z14" s="25" t="n">
        <f>898784</f>
        <v>898784.0</v>
      </c>
      <c r="AA14" s="23"/>
      <c r="AB14" s="25" t="n">
        <f>549452</f>
        <v>549452.0</v>
      </c>
      <c r="AC14" s="23"/>
      <c r="AD14" s="26" t="n">
        <f>1448236</f>
        <v>1448236.0</v>
      </c>
    </row>
    <row r="15">
      <c r="A15" s="30" t="s">
        <v>34</v>
      </c>
      <c r="B15" s="22" t="s">
        <v>27</v>
      </c>
      <c r="C15" s="22" t="s">
        <v>28</v>
      </c>
      <c r="D15" s="24"/>
      <c r="E15" s="25" t="n">
        <f>58549</f>
        <v>58549.0</v>
      </c>
      <c r="F15" s="23"/>
      <c r="G15" s="25" t="n">
        <f>33227</f>
        <v>33227.0</v>
      </c>
      <c r="H15" s="23"/>
      <c r="I15" s="26" t="n">
        <f>91776</f>
        <v>91776.0</v>
      </c>
      <c r="J15" s="24"/>
      <c r="K15" s="25" t="n">
        <f>26086899421</f>
        <v>2.6086899421E10</v>
      </c>
      <c r="L15" s="23"/>
      <c r="M15" s="25" t="n">
        <f>14143406487</f>
        <v>1.4143406487E10</v>
      </c>
      <c r="N15" s="23"/>
      <c r="O15" s="26" t="n">
        <f>40230305908</f>
        <v>4.0230305908E10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4"/>
      <c r="T15" s="25" t="n">
        <f>15114</f>
        <v>15114.0</v>
      </c>
      <c r="U15" s="23"/>
      <c r="V15" s="25" t="n">
        <f>8439</f>
        <v>8439.0</v>
      </c>
      <c r="W15" s="23"/>
      <c r="X15" s="26" t="n">
        <f>23553</f>
        <v>23553.0</v>
      </c>
      <c r="Y15" s="24"/>
      <c r="Z15" s="25" t="n">
        <f>920708</f>
        <v>920708.0</v>
      </c>
      <c r="AA15" s="23"/>
      <c r="AB15" s="25" t="n">
        <f>553563</f>
        <v>553563.0</v>
      </c>
      <c r="AC15" s="23"/>
      <c r="AD15" s="26" t="n">
        <f>1474271</f>
        <v>1474271.0</v>
      </c>
    </row>
    <row r="16">
      <c r="A16" s="30" t="s">
        <v>35</v>
      </c>
      <c r="B16" s="22" t="s">
        <v>27</v>
      </c>
      <c r="C16" s="22" t="s">
        <v>28</v>
      </c>
      <c r="D16" s="24"/>
      <c r="E16" s="25" t="n">
        <f>59846</f>
        <v>59846.0</v>
      </c>
      <c r="F16" s="23" t="s">
        <v>32</v>
      </c>
      <c r="G16" s="25" t="n">
        <f>58233</f>
        <v>58233.0</v>
      </c>
      <c r="H16" s="23" t="s">
        <v>32</v>
      </c>
      <c r="I16" s="26" t="n">
        <f>118079</f>
        <v>118079.0</v>
      </c>
      <c r="J16" s="24"/>
      <c r="K16" s="25" t="n">
        <f>21413644651</f>
        <v>2.1413644651E10</v>
      </c>
      <c r="L16" s="23"/>
      <c r="M16" s="25" t="n">
        <f>26670486200</f>
        <v>2.66704862E10</v>
      </c>
      <c r="N16" s="23"/>
      <c r="O16" s="26" t="n">
        <f>48084130851</f>
        <v>4.8084130851E10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4"/>
      <c r="T16" s="25" t="n">
        <f>13006</f>
        <v>13006.0</v>
      </c>
      <c r="U16" s="23"/>
      <c r="V16" s="25" t="n">
        <f>12500</f>
        <v>12500.0</v>
      </c>
      <c r="W16" s="23"/>
      <c r="X16" s="26" t="n">
        <f>25506</f>
        <v>25506.0</v>
      </c>
      <c r="Y16" s="24" t="s">
        <v>32</v>
      </c>
      <c r="Z16" s="25" t="n">
        <f>933841</f>
        <v>933841.0</v>
      </c>
      <c r="AA16" s="23" t="s">
        <v>32</v>
      </c>
      <c r="AB16" s="25" t="n">
        <f>563184</f>
        <v>563184.0</v>
      </c>
      <c r="AC16" s="23" t="s">
        <v>32</v>
      </c>
      <c r="AD16" s="26" t="n">
        <f>1497025</f>
        <v>1497025.0</v>
      </c>
    </row>
    <row r="17">
      <c r="A17" s="30" t="s">
        <v>36</v>
      </c>
      <c r="B17" s="22" t="s">
        <v>27</v>
      </c>
      <c r="C17" s="22" t="s">
        <v>28</v>
      </c>
      <c r="D17" s="24"/>
      <c r="E17" s="25" t="n">
        <f>33669</f>
        <v>33669.0</v>
      </c>
      <c r="F17" s="23"/>
      <c r="G17" s="25" t="n">
        <f>26005</f>
        <v>26005.0</v>
      </c>
      <c r="H17" s="23"/>
      <c r="I17" s="26" t="n">
        <f>59674</f>
        <v>59674.0</v>
      </c>
      <c r="J17" s="24"/>
      <c r="K17" s="25" t="n">
        <f>12749557205</f>
        <v>1.2749557205E10</v>
      </c>
      <c r="L17" s="23"/>
      <c r="M17" s="25" t="n">
        <f>12865591187</f>
        <v>1.2865591187E10</v>
      </c>
      <c r="N17" s="23"/>
      <c r="O17" s="26" t="n">
        <f>25615148392</f>
        <v>2.5615148392E10</v>
      </c>
      <c r="P17" s="27" t="n">
        <f>4900</f>
        <v>4900.0</v>
      </c>
      <c r="Q17" s="28" t="n">
        <f>124868</f>
        <v>124868.0</v>
      </c>
      <c r="R17" s="29" t="n">
        <f>129768</f>
        <v>129768.0</v>
      </c>
      <c r="S17" s="24"/>
      <c r="T17" s="25" t="n">
        <f>7014</f>
        <v>7014.0</v>
      </c>
      <c r="U17" s="23"/>
      <c r="V17" s="25" t="n">
        <f>5827</f>
        <v>5827.0</v>
      </c>
      <c r="W17" s="23"/>
      <c r="X17" s="26" t="n">
        <f>12841</f>
        <v>12841.0</v>
      </c>
      <c r="Y17" s="24" t="s">
        <v>37</v>
      </c>
      <c r="Z17" s="25" t="n">
        <f>670092</f>
        <v>670092.0</v>
      </c>
      <c r="AA17" s="23" t="s">
        <v>37</v>
      </c>
      <c r="AB17" s="25" t="n">
        <f>410008</f>
        <v>410008.0</v>
      </c>
      <c r="AC17" s="23" t="s">
        <v>37</v>
      </c>
      <c r="AD17" s="26" t="n">
        <f>1080100</f>
        <v>1080100.0</v>
      </c>
    </row>
    <row r="18">
      <c r="A18" s="30" t="s">
        <v>38</v>
      </c>
      <c r="B18" s="22" t="s">
        <v>27</v>
      </c>
      <c r="C18" s="22" t="s">
        <v>28</v>
      </c>
      <c r="D18" s="24"/>
      <c r="E18" s="25"/>
      <c r="F18" s="23"/>
      <c r="G18" s="25"/>
      <c r="H18" s="23"/>
      <c r="I18" s="26"/>
      <c r="J18" s="24"/>
      <c r="K18" s="25"/>
      <c r="L18" s="23"/>
      <c r="M18" s="25"/>
      <c r="N18" s="23"/>
      <c r="O18" s="26"/>
      <c r="P18" s="27"/>
      <c r="Q18" s="28"/>
      <c r="R18" s="29"/>
      <c r="S18" s="24"/>
      <c r="T18" s="25"/>
      <c r="U18" s="23"/>
      <c r="V18" s="25"/>
      <c r="W18" s="23"/>
      <c r="X18" s="26"/>
      <c r="Y18" s="24"/>
      <c r="Z18" s="25"/>
      <c r="AA18" s="23"/>
      <c r="AB18" s="25"/>
      <c r="AC18" s="23"/>
      <c r="AD18" s="26"/>
    </row>
    <row r="19">
      <c r="A19" s="30" t="s">
        <v>39</v>
      </c>
      <c r="B19" s="22" t="s">
        <v>27</v>
      </c>
      <c r="C19" s="22" t="s">
        <v>28</v>
      </c>
      <c r="D19" s="24"/>
      <c r="E19" s="25"/>
      <c r="F19" s="23"/>
      <c r="G19" s="25"/>
      <c r="H19" s="23"/>
      <c r="I19" s="26"/>
      <c r="J19" s="24"/>
      <c r="K19" s="25"/>
      <c r="L19" s="23"/>
      <c r="M19" s="25"/>
      <c r="N19" s="23"/>
      <c r="O19" s="26"/>
      <c r="P19" s="27"/>
      <c r="Q19" s="28"/>
      <c r="R19" s="29"/>
      <c r="S19" s="24"/>
      <c r="T19" s="25"/>
      <c r="U19" s="23"/>
      <c r="V19" s="25"/>
      <c r="W19" s="23"/>
      <c r="X19" s="26"/>
      <c r="Y19" s="24"/>
      <c r="Z19" s="25"/>
      <c r="AA19" s="23"/>
      <c r="AB19" s="25"/>
      <c r="AC19" s="23"/>
      <c r="AD19" s="26"/>
    </row>
    <row r="20">
      <c r="A20" s="30" t="s">
        <v>40</v>
      </c>
      <c r="B20" s="22" t="s">
        <v>27</v>
      </c>
      <c r="C20" s="22" t="s">
        <v>28</v>
      </c>
      <c r="D20" s="24" t="s">
        <v>32</v>
      </c>
      <c r="E20" s="25" t="n">
        <f>64477</f>
        <v>64477.0</v>
      </c>
      <c r="F20" s="23"/>
      <c r="G20" s="25" t="n">
        <f>33077</f>
        <v>33077.0</v>
      </c>
      <c r="H20" s="23"/>
      <c r="I20" s="26" t="n">
        <f>97554</f>
        <v>97554.0</v>
      </c>
      <c r="J20" s="24"/>
      <c r="K20" s="25" t="n">
        <f>31561588060</f>
        <v>3.156158806E10</v>
      </c>
      <c r="L20" s="23"/>
      <c r="M20" s="25" t="n">
        <f>10652553630</f>
        <v>1.065255363E10</v>
      </c>
      <c r="N20" s="23"/>
      <c r="O20" s="26" t="n">
        <f>42214141690</f>
        <v>4.221414169E10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4"/>
      <c r="T20" s="25" t="n">
        <f>16947</f>
        <v>16947.0</v>
      </c>
      <c r="U20" s="23"/>
      <c r="V20" s="25" t="n">
        <f>11391</f>
        <v>11391.0</v>
      </c>
      <c r="W20" s="23"/>
      <c r="X20" s="26" t="n">
        <f>28338</f>
        <v>28338.0</v>
      </c>
      <c r="Y20" s="24"/>
      <c r="Z20" s="25" t="n">
        <f>691161</f>
        <v>691161.0</v>
      </c>
      <c r="AA20" s="23"/>
      <c r="AB20" s="25" t="n">
        <f>418683</f>
        <v>418683.0</v>
      </c>
      <c r="AC20" s="23"/>
      <c r="AD20" s="26" t="n">
        <f>1109844</f>
        <v>1109844.0</v>
      </c>
    </row>
    <row r="21">
      <c r="A21" s="30" t="s">
        <v>41</v>
      </c>
      <c r="B21" s="22" t="s">
        <v>27</v>
      </c>
      <c r="C21" s="22" t="s">
        <v>28</v>
      </c>
      <c r="D21" s="24"/>
      <c r="E21" s="25" t="n">
        <f>48806</f>
        <v>48806.0</v>
      </c>
      <c r="F21" s="23"/>
      <c r="G21" s="25" t="n">
        <f>26470</f>
        <v>26470.0</v>
      </c>
      <c r="H21" s="23"/>
      <c r="I21" s="26" t="n">
        <f>75276</f>
        <v>75276.0</v>
      </c>
      <c r="J21" s="24"/>
      <c r="K21" s="25" t="n">
        <f>27730786515</f>
        <v>2.7730786515E10</v>
      </c>
      <c r="L21" s="23"/>
      <c r="M21" s="25" t="n">
        <f>14312181040</f>
        <v>1.431218104E10</v>
      </c>
      <c r="N21" s="23"/>
      <c r="O21" s="26" t="n">
        <f>42042967555</f>
        <v>4.2042967555E10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4"/>
      <c r="T21" s="25" t="n">
        <f>11413</f>
        <v>11413.0</v>
      </c>
      <c r="U21" s="23"/>
      <c r="V21" s="25" t="n">
        <f>4839</f>
        <v>4839.0</v>
      </c>
      <c r="W21" s="23"/>
      <c r="X21" s="26" t="n">
        <f>16252</f>
        <v>16252.0</v>
      </c>
      <c r="Y21" s="24"/>
      <c r="Z21" s="25" t="n">
        <f>701604</f>
        <v>701604.0</v>
      </c>
      <c r="AA21" s="23"/>
      <c r="AB21" s="25" t="n">
        <f>425069</f>
        <v>425069.0</v>
      </c>
      <c r="AC21" s="23"/>
      <c r="AD21" s="26" t="n">
        <f>1126673</f>
        <v>1126673.0</v>
      </c>
    </row>
    <row r="22">
      <c r="A22" s="30" t="s">
        <v>42</v>
      </c>
      <c r="B22" s="22" t="s">
        <v>27</v>
      </c>
      <c r="C22" s="22" t="s">
        <v>28</v>
      </c>
      <c r="D22" s="24"/>
      <c r="E22" s="25" t="n">
        <f>36798</f>
        <v>36798.0</v>
      </c>
      <c r="F22" s="23"/>
      <c r="G22" s="25" t="n">
        <f>25648</f>
        <v>25648.0</v>
      </c>
      <c r="H22" s="23"/>
      <c r="I22" s="26" t="n">
        <f>62446</f>
        <v>62446.0</v>
      </c>
      <c r="J22" s="24"/>
      <c r="K22" s="25" t="n">
        <f>20624140293</f>
        <v>2.0624140293E10</v>
      </c>
      <c r="L22" s="23"/>
      <c r="M22" s="25" t="n">
        <f>10552654460</f>
        <v>1.055265446E10</v>
      </c>
      <c r="N22" s="23"/>
      <c r="O22" s="26" t="n">
        <f>31176794753</f>
        <v>3.1176794753E10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4"/>
      <c r="T22" s="25" t="n">
        <f>8806</f>
        <v>8806.0</v>
      </c>
      <c r="U22" s="23"/>
      <c r="V22" s="25" t="n">
        <f>7397</f>
        <v>7397.0</v>
      </c>
      <c r="W22" s="23"/>
      <c r="X22" s="26" t="n">
        <f>16203</f>
        <v>16203.0</v>
      </c>
      <c r="Y22" s="24"/>
      <c r="Z22" s="25" t="n">
        <f>711637</f>
        <v>711637.0</v>
      </c>
      <c r="AA22" s="23"/>
      <c r="AB22" s="25" t="n">
        <f>431811</f>
        <v>431811.0</v>
      </c>
      <c r="AC22" s="23"/>
      <c r="AD22" s="26" t="n">
        <f>1143448</f>
        <v>1143448.0</v>
      </c>
    </row>
    <row r="23">
      <c r="A23" s="30" t="s">
        <v>43</v>
      </c>
      <c r="B23" s="22" t="s">
        <v>27</v>
      </c>
      <c r="C23" s="22" t="s">
        <v>28</v>
      </c>
      <c r="D23" s="24" t="s">
        <v>37</v>
      </c>
      <c r="E23" s="25" t="n">
        <f>18566</f>
        <v>18566.0</v>
      </c>
      <c r="F23" s="23"/>
      <c r="G23" s="25" t="n">
        <f>15589</f>
        <v>15589.0</v>
      </c>
      <c r="H23" s="23" t="s">
        <v>37</v>
      </c>
      <c r="I23" s="26" t="n">
        <f>34155</f>
        <v>34155.0</v>
      </c>
      <c r="J23" s="24"/>
      <c r="K23" s="25" t="n">
        <f>9540435670</f>
        <v>9.54043567E9</v>
      </c>
      <c r="L23" s="23" t="s">
        <v>37</v>
      </c>
      <c r="M23" s="25" t="n">
        <f>4394542280</f>
        <v>4.39454228E9</v>
      </c>
      <c r="N23" s="23" t="s">
        <v>37</v>
      </c>
      <c r="O23" s="26" t="n">
        <f>13934977950</f>
        <v>1.393497795E10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4" t="s">
        <v>37</v>
      </c>
      <c r="T23" s="25" t="n">
        <f>1747</f>
        <v>1747.0</v>
      </c>
      <c r="U23" s="23"/>
      <c r="V23" s="25" t="n">
        <f>3578</f>
        <v>3578.0</v>
      </c>
      <c r="W23" s="23" t="s">
        <v>37</v>
      </c>
      <c r="X23" s="26" t="n">
        <f>5325</f>
        <v>5325.0</v>
      </c>
      <c r="Y23" s="24"/>
      <c r="Z23" s="25" t="n">
        <f>714323</f>
        <v>714323.0</v>
      </c>
      <c r="AA23" s="23"/>
      <c r="AB23" s="25" t="n">
        <f>433982</f>
        <v>433982.0</v>
      </c>
      <c r="AC23" s="23"/>
      <c r="AD23" s="26" t="n">
        <f>1148305</f>
        <v>1148305.0</v>
      </c>
    </row>
    <row r="24">
      <c r="A24" s="30" t="s">
        <v>44</v>
      </c>
      <c r="B24" s="22" t="s">
        <v>27</v>
      </c>
      <c r="C24" s="22" t="s">
        <v>28</v>
      </c>
      <c r="D24" s="24"/>
      <c r="E24" s="25" t="n">
        <f>29785</f>
        <v>29785.0</v>
      </c>
      <c r="F24" s="23"/>
      <c r="G24" s="25" t="n">
        <f>21964</f>
        <v>21964.0</v>
      </c>
      <c r="H24" s="23"/>
      <c r="I24" s="26" t="n">
        <f>51749</f>
        <v>51749.0</v>
      </c>
      <c r="J24" s="24"/>
      <c r="K24" s="25" t="n">
        <f>21897806000</f>
        <v>2.1897806E10</v>
      </c>
      <c r="L24" s="23"/>
      <c r="M24" s="25" t="n">
        <f>14419690500</f>
        <v>1.44196905E10</v>
      </c>
      <c r="N24" s="23"/>
      <c r="O24" s="26" t="n">
        <f>36317496500</f>
        <v>3.63174965E10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4"/>
      <c r="T24" s="25" t="n">
        <f>4743</f>
        <v>4743.0</v>
      </c>
      <c r="U24" s="23"/>
      <c r="V24" s="25" t="n">
        <f>5667</f>
        <v>5667.0</v>
      </c>
      <c r="W24" s="23"/>
      <c r="X24" s="26" t="n">
        <f>10410</f>
        <v>10410.0</v>
      </c>
      <c r="Y24" s="24"/>
      <c r="Z24" s="25" t="n">
        <f>722037</f>
        <v>722037.0</v>
      </c>
      <c r="AA24" s="23"/>
      <c r="AB24" s="25" t="n">
        <f>443842</f>
        <v>443842.0</v>
      </c>
      <c r="AC24" s="23"/>
      <c r="AD24" s="26" t="n">
        <f>1165879</f>
        <v>1165879.0</v>
      </c>
    </row>
    <row r="25">
      <c r="A25" s="30" t="s">
        <v>45</v>
      </c>
      <c r="B25" s="22" t="s">
        <v>27</v>
      </c>
      <c r="C25" s="22" t="s">
        <v>28</v>
      </c>
      <c r="D25" s="24"/>
      <c r="E25" s="25"/>
      <c r="F25" s="23"/>
      <c r="G25" s="25"/>
      <c r="H25" s="23"/>
      <c r="I25" s="26"/>
      <c r="J25" s="24"/>
      <c r="K25" s="25"/>
      <c r="L25" s="23"/>
      <c r="M25" s="25"/>
      <c r="N25" s="23"/>
      <c r="O25" s="26"/>
      <c r="P25" s="27"/>
      <c r="Q25" s="28"/>
      <c r="R25" s="29"/>
      <c r="S25" s="24"/>
      <c r="T25" s="25"/>
      <c r="U25" s="23"/>
      <c r="V25" s="25"/>
      <c r="W25" s="23"/>
      <c r="X25" s="26"/>
      <c r="Y25" s="24"/>
      <c r="Z25" s="25"/>
      <c r="AA25" s="23"/>
      <c r="AB25" s="25"/>
      <c r="AC25" s="23"/>
      <c r="AD25" s="26"/>
    </row>
    <row r="26">
      <c r="A26" s="30" t="s">
        <v>46</v>
      </c>
      <c r="B26" s="22" t="s">
        <v>27</v>
      </c>
      <c r="C26" s="22" t="s">
        <v>28</v>
      </c>
      <c r="D26" s="24"/>
      <c r="E26" s="25"/>
      <c r="F26" s="23"/>
      <c r="G26" s="25"/>
      <c r="H26" s="23"/>
      <c r="I26" s="26"/>
      <c r="J26" s="24"/>
      <c r="K26" s="25"/>
      <c r="L26" s="23"/>
      <c r="M26" s="25"/>
      <c r="N26" s="23"/>
      <c r="O26" s="26"/>
      <c r="P26" s="27"/>
      <c r="Q26" s="28"/>
      <c r="R26" s="29"/>
      <c r="S26" s="24"/>
      <c r="T26" s="25"/>
      <c r="U26" s="23"/>
      <c r="V26" s="25"/>
      <c r="W26" s="23"/>
      <c r="X26" s="26"/>
      <c r="Y26" s="24"/>
      <c r="Z26" s="25"/>
      <c r="AA26" s="23"/>
      <c r="AB26" s="25"/>
      <c r="AC26" s="23"/>
      <c r="AD26" s="26"/>
    </row>
    <row r="27">
      <c r="A27" s="30" t="s">
        <v>47</v>
      </c>
      <c r="B27" s="22" t="s">
        <v>27</v>
      </c>
      <c r="C27" s="22" t="s">
        <v>28</v>
      </c>
      <c r="D27" s="24"/>
      <c r="E27" s="25" t="n">
        <f>45917</f>
        <v>45917.0</v>
      </c>
      <c r="F27" s="23"/>
      <c r="G27" s="25" t="n">
        <f>35721</f>
        <v>35721.0</v>
      </c>
      <c r="H27" s="23"/>
      <c r="I27" s="26" t="n">
        <f>81638</f>
        <v>81638.0</v>
      </c>
      <c r="J27" s="24"/>
      <c r="K27" s="25" t="n">
        <f>17885419420</f>
        <v>1.788541942E10</v>
      </c>
      <c r="L27" s="23"/>
      <c r="M27" s="25" t="n">
        <f>23847157700</f>
        <v>2.38471577E10</v>
      </c>
      <c r="N27" s="23"/>
      <c r="O27" s="26" t="n">
        <f>41732577120</f>
        <v>4.173257712E10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4"/>
      <c r="T27" s="25" t="n">
        <f>9145</f>
        <v>9145.0</v>
      </c>
      <c r="U27" s="23"/>
      <c r="V27" s="25" t="n">
        <f>8127</f>
        <v>8127.0</v>
      </c>
      <c r="W27" s="23"/>
      <c r="X27" s="26" t="n">
        <f>17272</f>
        <v>17272.0</v>
      </c>
      <c r="Y27" s="24"/>
      <c r="Z27" s="25" t="n">
        <f>727961</f>
        <v>727961.0</v>
      </c>
      <c r="AA27" s="23"/>
      <c r="AB27" s="25" t="n">
        <f>451727</f>
        <v>451727.0</v>
      </c>
      <c r="AC27" s="23"/>
      <c r="AD27" s="26" t="n">
        <f>1179688</f>
        <v>1179688.0</v>
      </c>
    </row>
    <row r="28">
      <c r="A28" s="30" t="s">
        <v>48</v>
      </c>
      <c r="B28" s="22" t="s">
        <v>27</v>
      </c>
      <c r="C28" s="22" t="s">
        <v>28</v>
      </c>
      <c r="D28" s="24"/>
      <c r="E28" s="25" t="n">
        <f>29359</f>
        <v>29359.0</v>
      </c>
      <c r="F28" s="23"/>
      <c r="G28" s="25" t="n">
        <f>22320</f>
        <v>22320.0</v>
      </c>
      <c r="H28" s="23"/>
      <c r="I28" s="26" t="n">
        <f>51679</f>
        <v>51679.0</v>
      </c>
      <c r="J28" s="24"/>
      <c r="K28" s="25" t="n">
        <f>10021884480</f>
        <v>1.002188448E10</v>
      </c>
      <c r="L28" s="23"/>
      <c r="M28" s="25" t="n">
        <f>8596288040</f>
        <v>8.59628804E9</v>
      </c>
      <c r="N28" s="23"/>
      <c r="O28" s="26" t="n">
        <f>18618172520</f>
        <v>1.861817252E10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4"/>
      <c r="T28" s="25" t="n">
        <f>4279</f>
        <v>4279.0</v>
      </c>
      <c r="U28" s="23"/>
      <c r="V28" s="25" t="n">
        <f>4427</f>
        <v>4427.0</v>
      </c>
      <c r="W28" s="23"/>
      <c r="X28" s="26" t="n">
        <f>8706</f>
        <v>8706.0</v>
      </c>
      <c r="Y28" s="24"/>
      <c r="Z28" s="25" t="n">
        <f>733787</f>
        <v>733787.0</v>
      </c>
      <c r="AA28" s="23"/>
      <c r="AB28" s="25" t="n">
        <f>452937</f>
        <v>452937.0</v>
      </c>
      <c r="AC28" s="23"/>
      <c r="AD28" s="26" t="n">
        <f>1186724</f>
        <v>1186724.0</v>
      </c>
    </row>
    <row r="29">
      <c r="A29" s="30" t="s">
        <v>49</v>
      </c>
      <c r="B29" s="22" t="s">
        <v>27</v>
      </c>
      <c r="C29" s="22" t="s">
        <v>28</v>
      </c>
      <c r="D29" s="24"/>
      <c r="E29" s="25"/>
      <c r="F29" s="23"/>
      <c r="G29" s="25"/>
      <c r="H29" s="23"/>
      <c r="I29" s="26"/>
      <c r="J29" s="24"/>
      <c r="K29" s="25"/>
      <c r="L29" s="23"/>
      <c r="M29" s="25"/>
      <c r="N29" s="23"/>
      <c r="O29" s="26"/>
      <c r="P29" s="27"/>
      <c r="Q29" s="28"/>
      <c r="R29" s="29"/>
      <c r="S29" s="24"/>
      <c r="T29" s="25"/>
      <c r="U29" s="23"/>
      <c r="V29" s="25"/>
      <c r="W29" s="23"/>
      <c r="X29" s="26"/>
      <c r="Y29" s="24"/>
      <c r="Z29" s="25"/>
      <c r="AA29" s="23"/>
      <c r="AB29" s="25"/>
      <c r="AC29" s="23"/>
      <c r="AD29" s="26"/>
    </row>
    <row r="30">
      <c r="A30" s="30" t="s">
        <v>50</v>
      </c>
      <c r="B30" s="22" t="s">
        <v>27</v>
      </c>
      <c r="C30" s="22" t="s">
        <v>28</v>
      </c>
      <c r="D30" s="24"/>
      <c r="E30" s="25" t="n">
        <f>57644</f>
        <v>57644.0</v>
      </c>
      <c r="F30" s="23"/>
      <c r="G30" s="25" t="n">
        <f>41742</f>
        <v>41742.0</v>
      </c>
      <c r="H30" s="23"/>
      <c r="I30" s="26" t="n">
        <f>99386</f>
        <v>99386.0</v>
      </c>
      <c r="J30" s="24"/>
      <c r="K30" s="25" t="n">
        <f>20846249560</f>
        <v>2.084624956E10</v>
      </c>
      <c r="L30" s="23"/>
      <c r="M30" s="25" t="n">
        <f>24500571802</f>
        <v>2.4500571802E10</v>
      </c>
      <c r="N30" s="23"/>
      <c r="O30" s="26" t="n">
        <f>45346821362</f>
        <v>4.5346821362E10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4"/>
      <c r="T30" s="25" t="n">
        <f>16917</f>
        <v>16917.0</v>
      </c>
      <c r="U30" s="23"/>
      <c r="V30" s="25" t="n">
        <f>11424</f>
        <v>11424.0</v>
      </c>
      <c r="W30" s="23"/>
      <c r="X30" s="26" t="n">
        <f>28341</f>
        <v>28341.0</v>
      </c>
      <c r="Y30" s="24"/>
      <c r="Z30" s="25" t="n">
        <f>749876</f>
        <v>749876.0</v>
      </c>
      <c r="AA30" s="23"/>
      <c r="AB30" s="25" t="n">
        <f>459511</f>
        <v>459511.0</v>
      </c>
      <c r="AC30" s="23"/>
      <c r="AD30" s="26" t="n">
        <f>1209387</f>
        <v>1209387.0</v>
      </c>
    </row>
    <row r="31">
      <c r="A31" s="30" t="s">
        <v>51</v>
      </c>
      <c r="B31" s="22" t="s">
        <v>27</v>
      </c>
      <c r="C31" s="22" t="s">
        <v>28</v>
      </c>
      <c r="D31" s="24"/>
      <c r="E31" s="25" t="n">
        <f>49668</f>
        <v>49668.0</v>
      </c>
      <c r="F31" s="23"/>
      <c r="G31" s="25" t="n">
        <f>29940</f>
        <v>29940.0</v>
      </c>
      <c r="H31" s="23"/>
      <c r="I31" s="26" t="n">
        <f>79608</f>
        <v>79608.0</v>
      </c>
      <c r="J31" s="24"/>
      <c r="K31" s="25" t="n">
        <f>13769863808</f>
        <v>1.3769863808E10</v>
      </c>
      <c r="L31" s="23"/>
      <c r="M31" s="25" t="n">
        <f>33931794210</f>
        <v>3.393179421E10</v>
      </c>
      <c r="N31" s="23"/>
      <c r="O31" s="26" t="n">
        <f>47701658018</f>
        <v>4.7701658018E10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4"/>
      <c r="T31" s="25" t="n">
        <f>13194</f>
        <v>13194.0</v>
      </c>
      <c r="U31" s="23"/>
      <c r="V31" s="25" t="n">
        <f>8848</f>
        <v>8848.0</v>
      </c>
      <c r="W31" s="23"/>
      <c r="X31" s="26" t="n">
        <f>22042</f>
        <v>22042.0</v>
      </c>
      <c r="Y31" s="24"/>
      <c r="Z31" s="25" t="n">
        <f>753372</f>
        <v>753372.0</v>
      </c>
      <c r="AA31" s="23"/>
      <c r="AB31" s="25" t="n">
        <f>459724</f>
        <v>459724.0</v>
      </c>
      <c r="AC31" s="23"/>
      <c r="AD31" s="26" t="n">
        <f>1213096</f>
        <v>1213096.0</v>
      </c>
    </row>
    <row r="32">
      <c r="A32" s="30" t="s">
        <v>52</v>
      </c>
      <c r="B32" s="22" t="s">
        <v>27</v>
      </c>
      <c r="C32" s="22" t="s">
        <v>28</v>
      </c>
      <c r="D32" s="24"/>
      <c r="E32" s="25"/>
      <c r="F32" s="23"/>
      <c r="G32" s="25"/>
      <c r="H32" s="23"/>
      <c r="I32" s="26"/>
      <c r="J32" s="24"/>
      <c r="K32" s="25"/>
      <c r="L32" s="23"/>
      <c r="M32" s="25"/>
      <c r="N32" s="23"/>
      <c r="O32" s="26"/>
      <c r="P32" s="27"/>
      <c r="Q32" s="28"/>
      <c r="R32" s="29"/>
      <c r="S32" s="24"/>
      <c r="T32" s="25"/>
      <c r="U32" s="23"/>
      <c r="V32" s="25"/>
      <c r="W32" s="23"/>
      <c r="X32" s="26"/>
      <c r="Y32" s="24"/>
      <c r="Z32" s="25"/>
      <c r="AA32" s="23"/>
      <c r="AB32" s="25"/>
      <c r="AC32" s="23"/>
      <c r="AD32" s="26"/>
    </row>
    <row r="33">
      <c r="A33" s="30" t="s">
        <v>53</v>
      </c>
      <c r="B33" s="22" t="s">
        <v>27</v>
      </c>
      <c r="C33" s="22" t="s">
        <v>28</v>
      </c>
      <c r="D33" s="24"/>
      <c r="E33" s="25"/>
      <c r="F33" s="23"/>
      <c r="G33" s="25"/>
      <c r="H33" s="23"/>
      <c r="I33" s="26"/>
      <c r="J33" s="24"/>
      <c r="K33" s="25"/>
      <c r="L33" s="23"/>
      <c r="M33" s="25"/>
      <c r="N33" s="23"/>
      <c r="O33" s="26"/>
      <c r="P33" s="27"/>
      <c r="Q33" s="28"/>
      <c r="R33" s="29"/>
      <c r="S33" s="24"/>
      <c r="T33" s="25"/>
      <c r="U33" s="23"/>
      <c r="V33" s="25"/>
      <c r="W33" s="23"/>
      <c r="X33" s="26"/>
      <c r="Y33" s="24"/>
      <c r="Z33" s="25"/>
      <c r="AA33" s="23"/>
      <c r="AB33" s="25"/>
      <c r="AC33" s="23"/>
      <c r="AD33" s="26"/>
    </row>
    <row r="34">
      <c r="A34" s="30" t="s">
        <v>54</v>
      </c>
      <c r="B34" s="22" t="s">
        <v>27</v>
      </c>
      <c r="C34" s="22" t="s">
        <v>28</v>
      </c>
      <c r="D34" s="24"/>
      <c r="E34" s="25" t="n">
        <f>35242</f>
        <v>35242.0</v>
      </c>
      <c r="F34" s="23"/>
      <c r="G34" s="25" t="n">
        <f>15583</f>
        <v>15583.0</v>
      </c>
      <c r="H34" s="23"/>
      <c r="I34" s="26" t="n">
        <f>50825</f>
        <v>50825.0</v>
      </c>
      <c r="J34" s="24"/>
      <c r="K34" s="25" t="n">
        <f>11681011214</f>
        <v>1.1681011214E10</v>
      </c>
      <c r="L34" s="23"/>
      <c r="M34" s="25" t="n">
        <f>16538824690</f>
        <v>1.653882469E10</v>
      </c>
      <c r="N34" s="23"/>
      <c r="O34" s="26" t="n">
        <f>28219835904</f>
        <v>2.8219835904E10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4"/>
      <c r="T34" s="25" t="n">
        <f>10514</f>
        <v>10514.0</v>
      </c>
      <c r="U34" s="23"/>
      <c r="V34" s="25" t="n">
        <f>2299</f>
        <v>2299.0</v>
      </c>
      <c r="W34" s="23"/>
      <c r="X34" s="26" t="n">
        <f>12813</f>
        <v>12813.0</v>
      </c>
      <c r="Y34" s="24"/>
      <c r="Z34" s="25" t="n">
        <f>760718</f>
        <v>760718.0</v>
      </c>
      <c r="AA34" s="23"/>
      <c r="AB34" s="25" t="n">
        <f>461828</f>
        <v>461828.0</v>
      </c>
      <c r="AC34" s="23"/>
      <c r="AD34" s="26" t="n">
        <f>1222546</f>
        <v>1222546.0</v>
      </c>
    </row>
    <row r="35">
      <c r="A35" s="30" t="s">
        <v>55</v>
      </c>
      <c r="B35" s="22" t="s">
        <v>27</v>
      </c>
      <c r="C35" s="22" t="s">
        <v>28</v>
      </c>
      <c r="D35" s="24"/>
      <c r="E35" s="25" t="n">
        <f>33908</f>
        <v>33908.0</v>
      </c>
      <c r="F35" s="23"/>
      <c r="G35" s="25" t="n">
        <f>15123</f>
        <v>15123.0</v>
      </c>
      <c r="H35" s="23"/>
      <c r="I35" s="26" t="n">
        <f>49031</f>
        <v>49031.0</v>
      </c>
      <c r="J35" s="24"/>
      <c r="K35" s="25" t="n">
        <f>17740197530</f>
        <v>1.774019753E10</v>
      </c>
      <c r="L35" s="23"/>
      <c r="M35" s="25" t="n">
        <f>8928013790</f>
        <v>8.92801379E9</v>
      </c>
      <c r="N35" s="23"/>
      <c r="O35" s="26" t="n">
        <f>26668211320</f>
        <v>2.666821132E10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4"/>
      <c r="T35" s="25" t="n">
        <f>8751</f>
        <v>8751.0</v>
      </c>
      <c r="U35" s="23"/>
      <c r="V35" s="25" t="n">
        <f>4101</f>
        <v>4101.0</v>
      </c>
      <c r="W35" s="23"/>
      <c r="X35" s="26" t="n">
        <f>12852</f>
        <v>12852.0</v>
      </c>
      <c r="Y35" s="24"/>
      <c r="Z35" s="25" t="n">
        <f>768196</f>
        <v>768196.0</v>
      </c>
      <c r="AA35" s="23"/>
      <c r="AB35" s="25" t="n">
        <f>463044</f>
        <v>463044.0</v>
      </c>
      <c r="AC35" s="23"/>
      <c r="AD35" s="26" t="n">
        <f>1231240</f>
        <v>1231240.0</v>
      </c>
    </row>
    <row r="36">
      <c r="A36" s="30" t="s">
        <v>56</v>
      </c>
      <c r="B36" s="22" t="s">
        <v>27</v>
      </c>
      <c r="C36" s="22" t="s">
        <v>28</v>
      </c>
      <c r="D36" s="24"/>
      <c r="E36" s="25" t="n">
        <f>44019</f>
        <v>44019.0</v>
      </c>
      <c r="F36" s="23"/>
      <c r="G36" s="25" t="n">
        <f>24265</f>
        <v>24265.0</v>
      </c>
      <c r="H36" s="23"/>
      <c r="I36" s="26" t="n">
        <f>68284</f>
        <v>68284.0</v>
      </c>
      <c r="J36" s="24"/>
      <c r="K36" s="25" t="n">
        <f>17272037590</f>
        <v>1.727203759E10</v>
      </c>
      <c r="L36" s="23"/>
      <c r="M36" s="25" t="n">
        <f>16291860360</f>
        <v>1.629186036E10</v>
      </c>
      <c r="N36" s="23"/>
      <c r="O36" s="26" t="n">
        <f>33563897950</f>
        <v>3.356389795E10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4"/>
      <c r="T36" s="25" t="n">
        <f>9227</f>
        <v>9227.0</v>
      </c>
      <c r="U36" s="23"/>
      <c r="V36" s="25" t="n">
        <f>8169</f>
        <v>8169.0</v>
      </c>
      <c r="W36" s="23"/>
      <c r="X36" s="26" t="n">
        <f>17396</f>
        <v>17396.0</v>
      </c>
      <c r="Y36" s="24"/>
      <c r="Z36" s="25" t="n">
        <f>778321</f>
        <v>778321.0</v>
      </c>
      <c r="AA36" s="23"/>
      <c r="AB36" s="25" t="n">
        <f>465801</f>
        <v>465801.0</v>
      </c>
      <c r="AC36" s="23"/>
      <c r="AD36" s="26" t="n">
        <f>1244122</f>
        <v>1244122.0</v>
      </c>
    </row>
    <row r="37">
      <c r="A37" s="30" t="s">
        <v>57</v>
      </c>
      <c r="B37" s="22" t="s">
        <v>27</v>
      </c>
      <c r="C37" s="22" t="s">
        <v>28</v>
      </c>
      <c r="D37" s="24"/>
      <c r="E37" s="25" t="n">
        <f>34416</f>
        <v>34416.0</v>
      </c>
      <c r="F37" s="23"/>
      <c r="G37" s="25" t="n">
        <f>22229</f>
        <v>22229.0</v>
      </c>
      <c r="H37" s="23"/>
      <c r="I37" s="26" t="n">
        <f>56645</f>
        <v>56645.0</v>
      </c>
      <c r="J37" s="24"/>
      <c r="K37" s="25" t="n">
        <f>15715801290</f>
        <v>1.571580129E10</v>
      </c>
      <c r="L37" s="23"/>
      <c r="M37" s="25" t="n">
        <f>13706679061</f>
        <v>1.3706679061E10</v>
      </c>
      <c r="N37" s="23"/>
      <c r="O37" s="26" t="n">
        <f>29422480351</f>
        <v>2.9422480351E10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4"/>
      <c r="T37" s="25" t="n">
        <f>7633</f>
        <v>7633.0</v>
      </c>
      <c r="U37" s="23"/>
      <c r="V37" s="25" t="n">
        <f>4314</f>
        <v>4314.0</v>
      </c>
      <c r="W37" s="23"/>
      <c r="X37" s="26" t="n">
        <f>11947</f>
        <v>11947.0</v>
      </c>
      <c r="Y37" s="24"/>
      <c r="Z37" s="25" t="n">
        <f>788522</f>
        <v>788522.0</v>
      </c>
      <c r="AA37" s="23"/>
      <c r="AB37" s="25" t="n">
        <f>472691</f>
        <v>472691.0</v>
      </c>
      <c r="AC37" s="23"/>
      <c r="AD37" s="26" t="n">
        <f>1261213</f>
        <v>1261213.0</v>
      </c>
    </row>
    <row r="38">
      <c r="A38" s="30" t="s">
        <v>58</v>
      </c>
      <c r="B38" s="22" t="s">
        <v>27</v>
      </c>
      <c r="C38" s="22" t="s">
        <v>28</v>
      </c>
      <c r="D38" s="24"/>
      <c r="E38" s="25" t="n">
        <f>37419</f>
        <v>37419.0</v>
      </c>
      <c r="F38" s="23" t="s">
        <v>37</v>
      </c>
      <c r="G38" s="25" t="n">
        <f>14152</f>
        <v>14152.0</v>
      </c>
      <c r="H38" s="23"/>
      <c r="I38" s="26" t="n">
        <f>51571</f>
        <v>51571.0</v>
      </c>
      <c r="J38" s="24" t="s">
        <v>37</v>
      </c>
      <c r="K38" s="25" t="n">
        <f>8785657390</f>
        <v>8.78565739E9</v>
      </c>
      <c r="L38" s="23"/>
      <c r="M38" s="25" t="n">
        <f>7236511500</f>
        <v>7.2365115E9</v>
      </c>
      <c r="N38" s="23"/>
      <c r="O38" s="26" t="n">
        <f>16022168890</f>
        <v>1.602216889E10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4"/>
      <c r="T38" s="25" t="n">
        <f>11473</f>
        <v>11473.0</v>
      </c>
      <c r="U38" s="23" t="s">
        <v>37</v>
      </c>
      <c r="V38" s="25" t="n">
        <f>2012</f>
        <v>2012.0</v>
      </c>
      <c r="W38" s="23"/>
      <c r="X38" s="26" t="n">
        <f>13485</f>
        <v>13485.0</v>
      </c>
      <c r="Y38" s="24"/>
      <c r="Z38" s="25" t="n">
        <f>801049</f>
        <v>801049.0</v>
      </c>
      <c r="AA38" s="23"/>
      <c r="AB38" s="25" t="n">
        <f>473105</f>
        <v>473105.0</v>
      </c>
      <c r="AC38" s="23"/>
      <c r="AD38" s="26" t="n">
        <f>1274154</f>
        <v>1274154.0</v>
      </c>
    </row>
    <row r="39">
      <c r="A39" s="30" t="s">
        <v>59</v>
      </c>
      <c r="B39" s="22" t="s">
        <v>27</v>
      </c>
      <c r="C39" s="22" t="s">
        <v>28</v>
      </c>
      <c r="D39" s="24"/>
      <c r="E39" s="25"/>
      <c r="F39" s="23"/>
      <c r="G39" s="25"/>
      <c r="H39" s="23"/>
      <c r="I39" s="26"/>
      <c r="J39" s="24"/>
      <c r="K39" s="25"/>
      <c r="L39" s="23"/>
      <c r="M39" s="25"/>
      <c r="N39" s="23"/>
      <c r="O39" s="26"/>
      <c r="P39" s="27"/>
      <c r="Q39" s="28"/>
      <c r="R39" s="29"/>
      <c r="S39" s="24"/>
      <c r="T39" s="25"/>
      <c r="U39" s="23"/>
      <c r="V39" s="25"/>
      <c r="W39" s="23"/>
      <c r="X39" s="26"/>
      <c r="Y39" s="24"/>
      <c r="Z39" s="25"/>
      <c r="AA39" s="23"/>
      <c r="AB39" s="25"/>
      <c r="AC39" s="23"/>
      <c r="AD39" s="26"/>
    </row>
    <row r="40">
      <c r="A40" s="30" t="s">
        <v>60</v>
      </c>
      <c r="B40" s="22" t="s">
        <v>27</v>
      </c>
      <c r="C40" s="22" t="s">
        <v>28</v>
      </c>
      <c r="D40" s="24"/>
      <c r="E40" s="25"/>
      <c r="F40" s="23"/>
      <c r="G40" s="25"/>
      <c r="H40" s="23"/>
      <c r="I40" s="26"/>
      <c r="J40" s="24"/>
      <c r="K40" s="25"/>
      <c r="L40" s="23"/>
      <c r="M40" s="25"/>
      <c r="N40" s="23"/>
      <c r="O40" s="26"/>
      <c r="P40" s="27"/>
      <c r="Q40" s="28"/>
      <c r="R40" s="29"/>
      <c r="S40" s="24"/>
      <c r="T40" s="25"/>
      <c r="U40" s="23"/>
      <c r="V40" s="25"/>
      <c r="W40" s="23"/>
      <c r="X40" s="26"/>
      <c r="Y40" s="24"/>
      <c r="Z40" s="25"/>
      <c r="AA40" s="23"/>
      <c r="AB40" s="25"/>
      <c r="AC40" s="23"/>
      <c r="AD40" s="26"/>
    </row>
    <row r="41">
      <c r="A41" s="30" t="s">
        <v>26</v>
      </c>
      <c r="B41" s="22" t="s">
        <v>61</v>
      </c>
      <c r="C41" s="22" t="s">
        <v>62</v>
      </c>
      <c r="D41" s="24"/>
      <c r="E41" s="25" t="n">
        <f>12088</f>
        <v>12088.0</v>
      </c>
      <c r="F41" s="23"/>
      <c r="G41" s="25" t="n">
        <f>12894</f>
        <v>12894.0</v>
      </c>
      <c r="H41" s="23"/>
      <c r="I41" s="26" t="n">
        <f>24982</f>
        <v>24982.0</v>
      </c>
      <c r="J41" s="24"/>
      <c r="K41" s="25" t="n">
        <f>140542170</f>
        <v>1.4054217E8</v>
      </c>
      <c r="L41" s="23"/>
      <c r="M41" s="25" t="n">
        <f>280396580</f>
        <v>2.8039658E8</v>
      </c>
      <c r="N41" s="23"/>
      <c r="O41" s="26" t="n">
        <f>420938750</f>
        <v>4.2093875E8</v>
      </c>
      <c r="P41" s="27" t="n">
        <f>282</f>
        <v>282.0</v>
      </c>
      <c r="Q41" s="28" t="n">
        <f>2114</f>
        <v>2114.0</v>
      </c>
      <c r="R41" s="29" t="n">
        <f>2396</f>
        <v>2396.0</v>
      </c>
      <c r="S41" s="24"/>
      <c r="T41" s="25" t="n">
        <f>1380</f>
        <v>1380.0</v>
      </c>
      <c r="U41" s="23"/>
      <c r="V41" s="25" t="n">
        <f>420</f>
        <v>420.0</v>
      </c>
      <c r="W41" s="23"/>
      <c r="X41" s="26" t="n">
        <f>1800</f>
        <v>1800.0</v>
      </c>
      <c r="Y41" s="24" t="s">
        <v>37</v>
      </c>
      <c r="Z41" s="25" t="n">
        <f>15749</f>
        <v>15749.0</v>
      </c>
      <c r="AA41" s="23"/>
      <c r="AB41" s="25" t="n">
        <f>20620</f>
        <v>20620.0</v>
      </c>
      <c r="AC41" s="23" t="s">
        <v>37</v>
      </c>
      <c r="AD41" s="26" t="n">
        <f>36369</f>
        <v>36369.0</v>
      </c>
    </row>
    <row r="42">
      <c r="A42" s="30" t="s">
        <v>29</v>
      </c>
      <c r="B42" s="22" t="s">
        <v>61</v>
      </c>
      <c r="C42" s="22" t="s">
        <v>62</v>
      </c>
      <c r="D42" s="24"/>
      <c r="E42" s="25"/>
      <c r="F42" s="23"/>
      <c r="G42" s="25"/>
      <c r="H42" s="23"/>
      <c r="I42" s="26"/>
      <c r="J42" s="24"/>
      <c r="K42" s="25"/>
      <c r="L42" s="23"/>
      <c r="M42" s="25"/>
      <c r="N42" s="23"/>
      <c r="O42" s="26"/>
      <c r="P42" s="27"/>
      <c r="Q42" s="28"/>
      <c r="R42" s="29"/>
      <c r="S42" s="24"/>
      <c r="T42" s="25"/>
      <c r="U42" s="23"/>
      <c r="V42" s="25"/>
      <c r="W42" s="23"/>
      <c r="X42" s="26"/>
      <c r="Y42" s="24"/>
      <c r="Z42" s="25"/>
      <c r="AA42" s="23"/>
      <c r="AB42" s="25"/>
      <c r="AC42" s="23"/>
      <c r="AD42" s="26"/>
    </row>
    <row r="43">
      <c r="A43" s="30" t="s">
        <v>30</v>
      </c>
      <c r="B43" s="22" t="s">
        <v>61</v>
      </c>
      <c r="C43" s="22" t="s">
        <v>62</v>
      </c>
      <c r="D43" s="24"/>
      <c r="E43" s="25"/>
      <c r="F43" s="23"/>
      <c r="G43" s="25"/>
      <c r="H43" s="23"/>
      <c r="I43" s="26"/>
      <c r="J43" s="24"/>
      <c r="K43" s="25"/>
      <c r="L43" s="23"/>
      <c r="M43" s="25"/>
      <c r="N43" s="23"/>
      <c r="O43" s="26"/>
      <c r="P43" s="27"/>
      <c r="Q43" s="28"/>
      <c r="R43" s="29"/>
      <c r="S43" s="24"/>
      <c r="T43" s="25"/>
      <c r="U43" s="23"/>
      <c r="V43" s="25"/>
      <c r="W43" s="23"/>
      <c r="X43" s="26"/>
      <c r="Y43" s="24"/>
      <c r="Z43" s="25"/>
      <c r="AA43" s="23"/>
      <c r="AB43" s="25"/>
      <c r="AC43" s="23"/>
      <c r="AD43" s="26"/>
    </row>
    <row r="44">
      <c r="A44" s="30" t="s">
        <v>31</v>
      </c>
      <c r="B44" s="22" t="s">
        <v>61</v>
      </c>
      <c r="C44" s="22" t="s">
        <v>62</v>
      </c>
      <c r="D44" s="24"/>
      <c r="E44" s="25" t="n">
        <f>16965</f>
        <v>16965.0</v>
      </c>
      <c r="F44" s="23"/>
      <c r="G44" s="25" t="n">
        <f>16791</f>
        <v>16791.0</v>
      </c>
      <c r="H44" s="23"/>
      <c r="I44" s="26" t="n">
        <f>33756</f>
        <v>33756.0</v>
      </c>
      <c r="J44" s="24"/>
      <c r="K44" s="25" t="n">
        <f>187392930</f>
        <v>1.8739293E8</v>
      </c>
      <c r="L44" s="23"/>
      <c r="M44" s="25" t="n">
        <f>376212630</f>
        <v>3.7621263E8</v>
      </c>
      <c r="N44" s="23"/>
      <c r="O44" s="26" t="n">
        <f>563605560</f>
        <v>5.6360556E8</v>
      </c>
      <c r="P44" s="27" t="str">
        <f>"－"</f>
        <v>－</v>
      </c>
      <c r="Q44" s="28" t="str">
        <f>"－"</f>
        <v>－</v>
      </c>
      <c r="R44" s="29" t="str">
        <f>"－"</f>
        <v>－</v>
      </c>
      <c r="S44" s="24"/>
      <c r="T44" s="25" t="n">
        <f>1130</f>
        <v>1130.0</v>
      </c>
      <c r="U44" s="23"/>
      <c r="V44" s="25" t="n">
        <f>850</f>
        <v>850.0</v>
      </c>
      <c r="W44" s="23"/>
      <c r="X44" s="26" t="n">
        <f>1980</f>
        <v>1980.0</v>
      </c>
      <c r="Y44" s="24"/>
      <c r="Z44" s="25" t="n">
        <f>21469</f>
        <v>21469.0</v>
      </c>
      <c r="AA44" s="23"/>
      <c r="AB44" s="25" t="n">
        <f>24324</f>
        <v>24324.0</v>
      </c>
      <c r="AC44" s="23"/>
      <c r="AD44" s="26" t="n">
        <f>45793</f>
        <v>45793.0</v>
      </c>
    </row>
    <row r="45">
      <c r="A45" s="30" t="s">
        <v>33</v>
      </c>
      <c r="B45" s="22" t="s">
        <v>61</v>
      </c>
      <c r="C45" s="22" t="s">
        <v>62</v>
      </c>
      <c r="D45" s="24"/>
      <c r="E45" s="25" t="n">
        <f>14329</f>
        <v>14329.0</v>
      </c>
      <c r="F45" s="23"/>
      <c r="G45" s="25" t="n">
        <f>11076</f>
        <v>11076.0</v>
      </c>
      <c r="H45" s="23"/>
      <c r="I45" s="26" t="n">
        <f>25405</f>
        <v>25405.0</v>
      </c>
      <c r="J45" s="24"/>
      <c r="K45" s="25" t="n">
        <f>160460650</f>
        <v>1.6046065E8</v>
      </c>
      <c r="L45" s="23"/>
      <c r="M45" s="25" t="n">
        <f>180092880</f>
        <v>1.8009288E8</v>
      </c>
      <c r="N45" s="23"/>
      <c r="O45" s="26" t="n">
        <f>340553530</f>
        <v>3.4055353E8</v>
      </c>
      <c r="P45" s="27" t="str">
        <f>"－"</f>
        <v>－</v>
      </c>
      <c r="Q45" s="28" t="str">
        <f>"－"</f>
        <v>－</v>
      </c>
      <c r="R45" s="29" t="str">
        <f>"－"</f>
        <v>－</v>
      </c>
      <c r="S45" s="24"/>
      <c r="T45" s="25" t="n">
        <f>1830</f>
        <v>1830.0</v>
      </c>
      <c r="U45" s="23"/>
      <c r="V45" s="25" t="n">
        <f>480</f>
        <v>480.0</v>
      </c>
      <c r="W45" s="23"/>
      <c r="X45" s="26" t="n">
        <f>2310</f>
        <v>2310.0</v>
      </c>
      <c r="Y45" s="24"/>
      <c r="Z45" s="25" t="n">
        <f>22350</f>
        <v>22350.0</v>
      </c>
      <c r="AA45" s="23"/>
      <c r="AB45" s="25" t="n">
        <f>25192</f>
        <v>25192.0</v>
      </c>
      <c r="AC45" s="23"/>
      <c r="AD45" s="26" t="n">
        <f>47542</f>
        <v>47542.0</v>
      </c>
    </row>
    <row r="46">
      <c r="A46" s="30" t="s">
        <v>34</v>
      </c>
      <c r="B46" s="22" t="s">
        <v>61</v>
      </c>
      <c r="C46" s="22" t="s">
        <v>62</v>
      </c>
      <c r="D46" s="24"/>
      <c r="E46" s="25" t="n">
        <f>13116</f>
        <v>13116.0</v>
      </c>
      <c r="F46" s="23"/>
      <c r="G46" s="25" t="n">
        <f>12247</f>
        <v>12247.0</v>
      </c>
      <c r="H46" s="23"/>
      <c r="I46" s="26" t="n">
        <f>25363</f>
        <v>25363.0</v>
      </c>
      <c r="J46" s="24"/>
      <c r="K46" s="25" t="n">
        <f>167712210</f>
        <v>1.6771221E8</v>
      </c>
      <c r="L46" s="23"/>
      <c r="M46" s="25" t="n">
        <f>178485360</f>
        <v>1.7848536E8</v>
      </c>
      <c r="N46" s="23"/>
      <c r="O46" s="26" t="n">
        <f>346197570</f>
        <v>3.4619757E8</v>
      </c>
      <c r="P46" s="27" t="str">
        <f>"－"</f>
        <v>－</v>
      </c>
      <c r="Q46" s="28" t="str">
        <f>"－"</f>
        <v>－</v>
      </c>
      <c r="R46" s="29" t="str">
        <f>"－"</f>
        <v>－</v>
      </c>
      <c r="S46" s="24"/>
      <c r="T46" s="25" t="n">
        <f>1871</f>
        <v>1871.0</v>
      </c>
      <c r="U46" s="23"/>
      <c r="V46" s="25" t="n">
        <f>700</f>
        <v>700.0</v>
      </c>
      <c r="W46" s="23"/>
      <c r="X46" s="26" t="n">
        <f>2571</f>
        <v>2571.0</v>
      </c>
      <c r="Y46" s="24"/>
      <c r="Z46" s="25" t="n">
        <f>24578</f>
        <v>24578.0</v>
      </c>
      <c r="AA46" s="23"/>
      <c r="AB46" s="25" t="n">
        <f>25587</f>
        <v>25587.0</v>
      </c>
      <c r="AC46" s="23"/>
      <c r="AD46" s="26" t="n">
        <f>50165</f>
        <v>50165.0</v>
      </c>
    </row>
    <row r="47">
      <c r="A47" s="30" t="s">
        <v>35</v>
      </c>
      <c r="B47" s="22" t="s">
        <v>61</v>
      </c>
      <c r="C47" s="22" t="s">
        <v>62</v>
      </c>
      <c r="D47" s="24"/>
      <c r="E47" s="25" t="n">
        <f>25448</f>
        <v>25448.0</v>
      </c>
      <c r="F47" s="23"/>
      <c r="G47" s="25" t="n">
        <f>20619</f>
        <v>20619.0</v>
      </c>
      <c r="H47" s="23"/>
      <c r="I47" s="26" t="n">
        <f>46067</f>
        <v>46067.0</v>
      </c>
      <c r="J47" s="24"/>
      <c r="K47" s="25" t="n">
        <f>258252260</f>
        <v>2.5825226E8</v>
      </c>
      <c r="L47" s="23"/>
      <c r="M47" s="25" t="n">
        <f>293030960</f>
        <v>2.9303096E8</v>
      </c>
      <c r="N47" s="23"/>
      <c r="O47" s="26" t="n">
        <f>551283220</f>
        <v>5.5128322E8</v>
      </c>
      <c r="P47" s="27" t="str">
        <f>"－"</f>
        <v>－</v>
      </c>
      <c r="Q47" s="28" t="str">
        <f>"－"</f>
        <v>－</v>
      </c>
      <c r="R47" s="29" t="str">
        <f>"－"</f>
        <v>－</v>
      </c>
      <c r="S47" s="24"/>
      <c r="T47" s="25" t="n">
        <f>2790</f>
        <v>2790.0</v>
      </c>
      <c r="U47" s="23"/>
      <c r="V47" s="25" t="n">
        <f>2190</f>
        <v>2190.0</v>
      </c>
      <c r="W47" s="23"/>
      <c r="X47" s="26" t="n">
        <f>4980</f>
        <v>4980.0</v>
      </c>
      <c r="Y47" s="24"/>
      <c r="Z47" s="25" t="n">
        <f>25837</f>
        <v>25837.0</v>
      </c>
      <c r="AA47" s="23"/>
      <c r="AB47" s="25" t="n">
        <f>26695</f>
        <v>26695.0</v>
      </c>
      <c r="AC47" s="23"/>
      <c r="AD47" s="26" t="n">
        <f>52532</f>
        <v>52532.0</v>
      </c>
    </row>
    <row r="48">
      <c r="A48" s="30" t="s">
        <v>36</v>
      </c>
      <c r="B48" s="22" t="s">
        <v>61</v>
      </c>
      <c r="C48" s="22" t="s">
        <v>62</v>
      </c>
      <c r="D48" s="24"/>
      <c r="E48" s="25" t="n">
        <f>22275</f>
        <v>22275.0</v>
      </c>
      <c r="F48" s="23"/>
      <c r="G48" s="25" t="n">
        <f>11568</f>
        <v>11568.0</v>
      </c>
      <c r="H48" s="23"/>
      <c r="I48" s="26" t="n">
        <f>33843</f>
        <v>33843.0</v>
      </c>
      <c r="J48" s="24"/>
      <c r="K48" s="25" t="n">
        <f>374276720</f>
        <v>3.7427672E8</v>
      </c>
      <c r="L48" s="23"/>
      <c r="M48" s="25" t="n">
        <f>244573190</f>
        <v>2.4457319E8</v>
      </c>
      <c r="N48" s="23"/>
      <c r="O48" s="26" t="n">
        <f>618849910</f>
        <v>6.1884991E8</v>
      </c>
      <c r="P48" s="27" t="n">
        <f>677</f>
        <v>677.0</v>
      </c>
      <c r="Q48" s="28" t="n">
        <f>4328</f>
        <v>4328.0</v>
      </c>
      <c r="R48" s="29" t="n">
        <f>5005</f>
        <v>5005.0</v>
      </c>
      <c r="S48" s="24"/>
      <c r="T48" s="25" t="n">
        <f>1290</f>
        <v>1290.0</v>
      </c>
      <c r="U48" s="23"/>
      <c r="V48" s="25" t="n">
        <f>400</f>
        <v>400.0</v>
      </c>
      <c r="W48" s="23" t="s">
        <v>37</v>
      </c>
      <c r="X48" s="26" t="n">
        <f>1690</f>
        <v>1690.0</v>
      </c>
      <c r="Y48" s="24"/>
      <c r="Z48" s="25" t="n">
        <f>20783</f>
        <v>20783.0</v>
      </c>
      <c r="AA48" s="23"/>
      <c r="AB48" s="25" t="n">
        <f>18371</f>
        <v>18371.0</v>
      </c>
      <c r="AC48" s="23"/>
      <c r="AD48" s="26" t="n">
        <f>39154</f>
        <v>39154.0</v>
      </c>
    </row>
    <row r="49">
      <c r="A49" s="30" t="s">
        <v>38</v>
      </c>
      <c r="B49" s="22" t="s">
        <v>61</v>
      </c>
      <c r="C49" s="22" t="s">
        <v>62</v>
      </c>
      <c r="D49" s="24"/>
      <c r="E49" s="25"/>
      <c r="F49" s="23"/>
      <c r="G49" s="25"/>
      <c r="H49" s="23"/>
      <c r="I49" s="26"/>
      <c r="J49" s="24"/>
      <c r="K49" s="25"/>
      <c r="L49" s="23"/>
      <c r="M49" s="25"/>
      <c r="N49" s="23"/>
      <c r="O49" s="26"/>
      <c r="P49" s="27"/>
      <c r="Q49" s="28"/>
      <c r="R49" s="29"/>
      <c r="S49" s="24"/>
      <c r="T49" s="25"/>
      <c r="U49" s="23"/>
      <c r="V49" s="25"/>
      <c r="W49" s="23"/>
      <c r="X49" s="26"/>
      <c r="Y49" s="24"/>
      <c r="Z49" s="25"/>
      <c r="AA49" s="23"/>
      <c r="AB49" s="25"/>
      <c r="AC49" s="23"/>
      <c r="AD49" s="26"/>
    </row>
    <row r="50">
      <c r="A50" s="30" t="s">
        <v>39</v>
      </c>
      <c r="B50" s="22" t="s">
        <v>61</v>
      </c>
      <c r="C50" s="22" t="s">
        <v>62</v>
      </c>
      <c r="D50" s="24"/>
      <c r="E50" s="25"/>
      <c r="F50" s="23"/>
      <c r="G50" s="25"/>
      <c r="H50" s="23"/>
      <c r="I50" s="26"/>
      <c r="J50" s="24"/>
      <c r="K50" s="25"/>
      <c r="L50" s="23"/>
      <c r="M50" s="25"/>
      <c r="N50" s="23"/>
      <c r="O50" s="26"/>
      <c r="P50" s="27"/>
      <c r="Q50" s="28"/>
      <c r="R50" s="29"/>
      <c r="S50" s="24"/>
      <c r="T50" s="25"/>
      <c r="U50" s="23"/>
      <c r="V50" s="25"/>
      <c r="W50" s="23"/>
      <c r="X50" s="26"/>
      <c r="Y50" s="24"/>
      <c r="Z50" s="25"/>
      <c r="AA50" s="23"/>
      <c r="AB50" s="25"/>
      <c r="AC50" s="23"/>
      <c r="AD50" s="26"/>
    </row>
    <row r="51">
      <c r="A51" s="30" t="s">
        <v>40</v>
      </c>
      <c r="B51" s="22" t="s">
        <v>61</v>
      </c>
      <c r="C51" s="22" t="s">
        <v>62</v>
      </c>
      <c r="D51" s="24"/>
      <c r="E51" s="25" t="n">
        <f>37989</f>
        <v>37989.0</v>
      </c>
      <c r="F51" s="23"/>
      <c r="G51" s="25" t="n">
        <f>39891</f>
        <v>39891.0</v>
      </c>
      <c r="H51" s="23"/>
      <c r="I51" s="26" t="n">
        <f>77880</f>
        <v>77880.0</v>
      </c>
      <c r="J51" s="24" t="s">
        <v>32</v>
      </c>
      <c r="K51" s="25" t="n">
        <f>716748850</f>
        <v>7.1674885E8</v>
      </c>
      <c r="L51" s="23"/>
      <c r="M51" s="25" t="n">
        <f>562268390</f>
        <v>5.6226839E8</v>
      </c>
      <c r="N51" s="23" t="s">
        <v>32</v>
      </c>
      <c r="O51" s="26" t="n">
        <f>1279017240</f>
        <v>1.27901724E9</v>
      </c>
      <c r="P51" s="27" t="str">
        <f>"－"</f>
        <v>－</v>
      </c>
      <c r="Q51" s="28" t="str">
        <f>"－"</f>
        <v>－</v>
      </c>
      <c r="R51" s="29" t="str">
        <f>"－"</f>
        <v>－</v>
      </c>
      <c r="S51" s="24"/>
      <c r="T51" s="25" t="n">
        <f>3480</f>
        <v>3480.0</v>
      </c>
      <c r="U51" s="23"/>
      <c r="V51" s="25" t="n">
        <f>4050</f>
        <v>4050.0</v>
      </c>
      <c r="W51" s="23"/>
      <c r="X51" s="26" t="n">
        <f>7530</f>
        <v>7530.0</v>
      </c>
      <c r="Y51" s="24"/>
      <c r="Z51" s="25" t="n">
        <f>32179</f>
        <v>32179.0</v>
      </c>
      <c r="AA51" s="23"/>
      <c r="AB51" s="25" t="n">
        <f>24308</f>
        <v>24308.0</v>
      </c>
      <c r="AC51" s="23"/>
      <c r="AD51" s="26" t="n">
        <f>56487</f>
        <v>56487.0</v>
      </c>
    </row>
    <row r="52">
      <c r="A52" s="30" t="s">
        <v>41</v>
      </c>
      <c r="B52" s="22" t="s">
        <v>61</v>
      </c>
      <c r="C52" s="22" t="s">
        <v>62</v>
      </c>
      <c r="D52" s="24"/>
      <c r="E52" s="25" t="n">
        <f>28119</f>
        <v>28119.0</v>
      </c>
      <c r="F52" s="23"/>
      <c r="G52" s="25" t="n">
        <f>26067</f>
        <v>26067.0</v>
      </c>
      <c r="H52" s="23"/>
      <c r="I52" s="26" t="n">
        <f>54186</f>
        <v>54186.0</v>
      </c>
      <c r="J52" s="24"/>
      <c r="K52" s="25" t="n">
        <f>602054670</f>
        <v>6.0205467E8</v>
      </c>
      <c r="L52" s="23"/>
      <c r="M52" s="25" t="n">
        <f>382651490</f>
        <v>3.8265149E8</v>
      </c>
      <c r="N52" s="23"/>
      <c r="O52" s="26" t="n">
        <f>984706160</f>
        <v>9.8470616E8</v>
      </c>
      <c r="P52" s="27" t="str">
        <f>"－"</f>
        <v>－</v>
      </c>
      <c r="Q52" s="28" t="str">
        <f>"－"</f>
        <v>－</v>
      </c>
      <c r="R52" s="29" t="str">
        <f>"－"</f>
        <v>－</v>
      </c>
      <c r="S52" s="24"/>
      <c r="T52" s="25" t="n">
        <f>2060</f>
        <v>2060.0</v>
      </c>
      <c r="U52" s="23"/>
      <c r="V52" s="25" t="n">
        <f>2980</f>
        <v>2980.0</v>
      </c>
      <c r="W52" s="23"/>
      <c r="X52" s="26" t="n">
        <f>5040</f>
        <v>5040.0</v>
      </c>
      <c r="Y52" s="24"/>
      <c r="Z52" s="25" t="n">
        <f>35190</f>
        <v>35190.0</v>
      </c>
      <c r="AA52" s="23"/>
      <c r="AB52" s="25" t="n">
        <f>30410</f>
        <v>30410.0</v>
      </c>
      <c r="AC52" s="23"/>
      <c r="AD52" s="26" t="n">
        <f>65600</f>
        <v>65600.0</v>
      </c>
    </row>
    <row r="53">
      <c r="A53" s="30" t="s">
        <v>42</v>
      </c>
      <c r="B53" s="22" t="s">
        <v>61</v>
      </c>
      <c r="C53" s="22" t="s">
        <v>62</v>
      </c>
      <c r="D53" s="24"/>
      <c r="E53" s="25" t="n">
        <f>34341</f>
        <v>34341.0</v>
      </c>
      <c r="F53" s="23"/>
      <c r="G53" s="25" t="n">
        <f>32616</f>
        <v>32616.0</v>
      </c>
      <c r="H53" s="23"/>
      <c r="I53" s="26" t="n">
        <f>66957</f>
        <v>66957.0</v>
      </c>
      <c r="J53" s="24"/>
      <c r="K53" s="25" t="n">
        <f>384397420</f>
        <v>3.8439742E8</v>
      </c>
      <c r="L53" s="23"/>
      <c r="M53" s="25" t="n">
        <f>353138940</f>
        <v>3.5313894E8</v>
      </c>
      <c r="N53" s="23"/>
      <c r="O53" s="26" t="n">
        <f>737536360</f>
        <v>7.3753636E8</v>
      </c>
      <c r="P53" s="27" t="str">
        <f>"－"</f>
        <v>－</v>
      </c>
      <c r="Q53" s="28" t="str">
        <f>"－"</f>
        <v>－</v>
      </c>
      <c r="R53" s="29" t="str">
        <f>"－"</f>
        <v>－</v>
      </c>
      <c r="S53" s="24"/>
      <c r="T53" s="25" t="n">
        <f>3750</f>
        <v>3750.0</v>
      </c>
      <c r="U53" s="23" t="s">
        <v>32</v>
      </c>
      <c r="V53" s="25" t="n">
        <f>4830</f>
        <v>4830.0</v>
      </c>
      <c r="W53" s="23"/>
      <c r="X53" s="26" t="n">
        <f>8580</f>
        <v>8580.0</v>
      </c>
      <c r="Y53" s="24"/>
      <c r="Z53" s="25" t="n">
        <f>40150</f>
        <v>40150.0</v>
      </c>
      <c r="AA53" s="23"/>
      <c r="AB53" s="25" t="n">
        <f>34181</f>
        <v>34181.0</v>
      </c>
      <c r="AC53" s="23"/>
      <c r="AD53" s="26" t="n">
        <f>74331</f>
        <v>74331.0</v>
      </c>
    </row>
    <row r="54">
      <c r="A54" s="30" t="s">
        <v>43</v>
      </c>
      <c r="B54" s="22" t="s">
        <v>61</v>
      </c>
      <c r="C54" s="22" t="s">
        <v>62</v>
      </c>
      <c r="D54" s="24"/>
      <c r="E54" s="25" t="n">
        <f>31287</f>
        <v>31287.0</v>
      </c>
      <c r="F54" s="23"/>
      <c r="G54" s="25" t="n">
        <f>27378</f>
        <v>27378.0</v>
      </c>
      <c r="H54" s="23"/>
      <c r="I54" s="26" t="n">
        <f>58665</f>
        <v>58665.0</v>
      </c>
      <c r="J54" s="24"/>
      <c r="K54" s="25" t="n">
        <f>213543600</f>
        <v>2.135436E8</v>
      </c>
      <c r="L54" s="23"/>
      <c r="M54" s="25" t="n">
        <f>246664920</f>
        <v>2.4666492E8</v>
      </c>
      <c r="N54" s="23"/>
      <c r="O54" s="26" t="n">
        <f>460208520</f>
        <v>4.6020852E8</v>
      </c>
      <c r="P54" s="27" t="str">
        <f>"－"</f>
        <v>－</v>
      </c>
      <c r="Q54" s="28" t="str">
        <f>"－"</f>
        <v>－</v>
      </c>
      <c r="R54" s="29" t="str">
        <f>"－"</f>
        <v>－</v>
      </c>
      <c r="S54" s="24"/>
      <c r="T54" s="25" t="n">
        <f>5490</f>
        <v>5490.0</v>
      </c>
      <c r="U54" s="23"/>
      <c r="V54" s="25" t="n">
        <f>4170</f>
        <v>4170.0</v>
      </c>
      <c r="W54" s="23"/>
      <c r="X54" s="26" t="n">
        <f>9660</f>
        <v>9660.0</v>
      </c>
      <c r="Y54" s="24"/>
      <c r="Z54" s="25" t="n">
        <f>44451</f>
        <v>44451.0</v>
      </c>
      <c r="AA54" s="23"/>
      <c r="AB54" s="25" t="n">
        <f>36854</f>
        <v>36854.0</v>
      </c>
      <c r="AC54" s="23"/>
      <c r="AD54" s="26" t="n">
        <f>81305</f>
        <v>81305.0</v>
      </c>
    </row>
    <row r="55">
      <c r="A55" s="30" t="s">
        <v>44</v>
      </c>
      <c r="B55" s="22" t="s">
        <v>61</v>
      </c>
      <c r="C55" s="22" t="s">
        <v>62</v>
      </c>
      <c r="D55" s="24"/>
      <c r="E55" s="25" t="n">
        <f>15752</f>
        <v>15752.0</v>
      </c>
      <c r="F55" s="23"/>
      <c r="G55" s="25" t="n">
        <f>11785</f>
        <v>11785.0</v>
      </c>
      <c r="H55" s="23"/>
      <c r="I55" s="26" t="n">
        <f>27537</f>
        <v>27537.0</v>
      </c>
      <c r="J55" s="24"/>
      <c r="K55" s="25" t="n">
        <f>220961510</f>
        <v>2.2096151E8</v>
      </c>
      <c r="L55" s="23"/>
      <c r="M55" s="25" t="n">
        <f>181023180</f>
        <v>1.8102318E8</v>
      </c>
      <c r="N55" s="23"/>
      <c r="O55" s="26" t="n">
        <f>401984690</f>
        <v>4.0198469E8</v>
      </c>
      <c r="P55" s="27" t="n">
        <f>2435</f>
        <v>2435.0</v>
      </c>
      <c r="Q55" s="28" t="n">
        <f>714</f>
        <v>714.0</v>
      </c>
      <c r="R55" s="29" t="n">
        <f>3149</f>
        <v>3149.0</v>
      </c>
      <c r="S55" s="24" t="s">
        <v>37</v>
      </c>
      <c r="T55" s="25" t="n">
        <f>830</f>
        <v>830.0</v>
      </c>
      <c r="U55" s="23"/>
      <c r="V55" s="25" t="n">
        <f>960</f>
        <v>960.0</v>
      </c>
      <c r="W55" s="23"/>
      <c r="X55" s="26" t="n">
        <f>1790</f>
        <v>1790.0</v>
      </c>
      <c r="Y55" s="24"/>
      <c r="Z55" s="25" t="n">
        <f>27577</f>
        <v>27577.0</v>
      </c>
      <c r="AA55" s="23"/>
      <c r="AB55" s="25" t="n">
        <f>24253</f>
        <v>24253.0</v>
      </c>
      <c r="AC55" s="23"/>
      <c r="AD55" s="26" t="n">
        <f>51830</f>
        <v>51830.0</v>
      </c>
    </row>
    <row r="56">
      <c r="A56" s="30" t="s">
        <v>45</v>
      </c>
      <c r="B56" s="22" t="s">
        <v>61</v>
      </c>
      <c r="C56" s="22" t="s">
        <v>62</v>
      </c>
      <c r="D56" s="24"/>
      <c r="E56" s="25"/>
      <c r="F56" s="23"/>
      <c r="G56" s="25"/>
      <c r="H56" s="23"/>
      <c r="I56" s="26"/>
      <c r="J56" s="24"/>
      <c r="K56" s="25"/>
      <c r="L56" s="23"/>
      <c r="M56" s="25"/>
      <c r="N56" s="23"/>
      <c r="O56" s="26"/>
      <c r="P56" s="27"/>
      <c r="Q56" s="28"/>
      <c r="R56" s="29"/>
      <c r="S56" s="24"/>
      <c r="T56" s="25"/>
      <c r="U56" s="23"/>
      <c r="V56" s="25"/>
      <c r="W56" s="23"/>
      <c r="X56" s="26"/>
      <c r="Y56" s="24"/>
      <c r="Z56" s="25"/>
      <c r="AA56" s="23"/>
      <c r="AB56" s="25"/>
      <c r="AC56" s="23"/>
      <c r="AD56" s="26"/>
    </row>
    <row r="57">
      <c r="A57" s="30" t="s">
        <v>46</v>
      </c>
      <c r="B57" s="22" t="s">
        <v>61</v>
      </c>
      <c r="C57" s="22" t="s">
        <v>62</v>
      </c>
      <c r="D57" s="24"/>
      <c r="E57" s="25"/>
      <c r="F57" s="23"/>
      <c r="G57" s="25"/>
      <c r="H57" s="23"/>
      <c r="I57" s="26"/>
      <c r="J57" s="24"/>
      <c r="K57" s="25"/>
      <c r="L57" s="23"/>
      <c r="M57" s="25"/>
      <c r="N57" s="23"/>
      <c r="O57" s="26"/>
      <c r="P57" s="27"/>
      <c r="Q57" s="28"/>
      <c r="R57" s="29"/>
      <c r="S57" s="24"/>
      <c r="T57" s="25"/>
      <c r="U57" s="23"/>
      <c r="V57" s="25"/>
      <c r="W57" s="23"/>
      <c r="X57" s="26"/>
      <c r="Y57" s="24"/>
      <c r="Z57" s="25"/>
      <c r="AA57" s="23"/>
      <c r="AB57" s="25"/>
      <c r="AC57" s="23"/>
      <c r="AD57" s="26"/>
    </row>
    <row r="58">
      <c r="A58" s="30" t="s">
        <v>47</v>
      </c>
      <c r="B58" s="22" t="s">
        <v>61</v>
      </c>
      <c r="C58" s="22" t="s">
        <v>62</v>
      </c>
      <c r="D58" s="24"/>
      <c r="E58" s="25" t="n">
        <f>36109</f>
        <v>36109.0</v>
      </c>
      <c r="F58" s="23"/>
      <c r="G58" s="25" t="n">
        <f>21176</f>
        <v>21176.0</v>
      </c>
      <c r="H58" s="23"/>
      <c r="I58" s="26" t="n">
        <f>57285</f>
        <v>57285.0</v>
      </c>
      <c r="J58" s="24"/>
      <c r="K58" s="25" t="n">
        <f>356135560</f>
        <v>3.5613556E8</v>
      </c>
      <c r="L58" s="23"/>
      <c r="M58" s="25" t="n">
        <f>366091540</f>
        <v>3.6609154E8</v>
      </c>
      <c r="N58" s="23"/>
      <c r="O58" s="26" t="n">
        <f>722227100</f>
        <v>7.222271E8</v>
      </c>
      <c r="P58" s="27" t="str">
        <f>"－"</f>
        <v>－</v>
      </c>
      <c r="Q58" s="28" t="str">
        <f>"－"</f>
        <v>－</v>
      </c>
      <c r="R58" s="29" t="str">
        <f>"－"</f>
        <v>－</v>
      </c>
      <c r="S58" s="24"/>
      <c r="T58" s="25" t="n">
        <f>5120</f>
        <v>5120.0</v>
      </c>
      <c r="U58" s="23"/>
      <c r="V58" s="25" t="n">
        <f>3840</f>
        <v>3840.0</v>
      </c>
      <c r="W58" s="23"/>
      <c r="X58" s="26" t="n">
        <f>8960</f>
        <v>8960.0</v>
      </c>
      <c r="Y58" s="24"/>
      <c r="Z58" s="25" t="n">
        <f>40997</f>
        <v>40997.0</v>
      </c>
      <c r="AA58" s="23"/>
      <c r="AB58" s="25" t="n">
        <f>30040</f>
        <v>30040.0</v>
      </c>
      <c r="AC58" s="23"/>
      <c r="AD58" s="26" t="n">
        <f>71037</f>
        <v>71037.0</v>
      </c>
    </row>
    <row r="59">
      <c r="A59" s="30" t="s">
        <v>48</v>
      </c>
      <c r="B59" s="22" t="s">
        <v>61</v>
      </c>
      <c r="C59" s="22" t="s">
        <v>62</v>
      </c>
      <c r="D59" s="24"/>
      <c r="E59" s="25" t="n">
        <f>36542</f>
        <v>36542.0</v>
      </c>
      <c r="F59" s="23"/>
      <c r="G59" s="25" t="n">
        <f>24288</f>
        <v>24288.0</v>
      </c>
      <c r="H59" s="23"/>
      <c r="I59" s="26" t="n">
        <f>60830</f>
        <v>60830.0</v>
      </c>
      <c r="J59" s="24"/>
      <c r="K59" s="25" t="n">
        <f>269419030</f>
        <v>2.6941903E8</v>
      </c>
      <c r="L59" s="23"/>
      <c r="M59" s="25" t="n">
        <f>377344550</f>
        <v>3.7734455E8</v>
      </c>
      <c r="N59" s="23"/>
      <c r="O59" s="26" t="n">
        <f>646763580</f>
        <v>6.4676358E8</v>
      </c>
      <c r="P59" s="27" t="str">
        <f>"－"</f>
        <v>－</v>
      </c>
      <c r="Q59" s="28" t="str">
        <f>"－"</f>
        <v>－</v>
      </c>
      <c r="R59" s="29" t="str">
        <f>"－"</f>
        <v>－</v>
      </c>
      <c r="S59" s="24"/>
      <c r="T59" s="25" t="n">
        <f>7886</f>
        <v>7886.0</v>
      </c>
      <c r="U59" s="23"/>
      <c r="V59" s="25" t="n">
        <f>3610</f>
        <v>3610.0</v>
      </c>
      <c r="W59" s="23"/>
      <c r="X59" s="26" t="n">
        <f>11496</f>
        <v>11496.0</v>
      </c>
      <c r="Y59" s="24"/>
      <c r="Z59" s="25" t="n">
        <f>50474</f>
        <v>50474.0</v>
      </c>
      <c r="AA59" s="23"/>
      <c r="AB59" s="25" t="n">
        <f>31190</f>
        <v>31190.0</v>
      </c>
      <c r="AC59" s="23"/>
      <c r="AD59" s="26" t="n">
        <f>81664</f>
        <v>81664.0</v>
      </c>
    </row>
    <row r="60">
      <c r="A60" s="30" t="s">
        <v>49</v>
      </c>
      <c r="B60" s="22" t="s">
        <v>61</v>
      </c>
      <c r="C60" s="22" t="s">
        <v>62</v>
      </c>
      <c r="D60" s="24"/>
      <c r="E60" s="25"/>
      <c r="F60" s="23"/>
      <c r="G60" s="25"/>
      <c r="H60" s="23"/>
      <c r="I60" s="26"/>
      <c r="J60" s="24"/>
      <c r="K60" s="25"/>
      <c r="L60" s="23"/>
      <c r="M60" s="25"/>
      <c r="N60" s="23"/>
      <c r="O60" s="26"/>
      <c r="P60" s="27"/>
      <c r="Q60" s="28"/>
      <c r="R60" s="29"/>
      <c r="S60" s="24"/>
      <c r="T60" s="25"/>
      <c r="U60" s="23"/>
      <c r="V60" s="25"/>
      <c r="W60" s="23"/>
      <c r="X60" s="26"/>
      <c r="Y60" s="24"/>
      <c r="Z60" s="25"/>
      <c r="AA60" s="23"/>
      <c r="AB60" s="25"/>
      <c r="AC60" s="23"/>
      <c r="AD60" s="26"/>
    </row>
    <row r="61">
      <c r="A61" s="30" t="s">
        <v>50</v>
      </c>
      <c r="B61" s="22" t="s">
        <v>61</v>
      </c>
      <c r="C61" s="22" t="s">
        <v>62</v>
      </c>
      <c r="D61" s="24" t="s">
        <v>32</v>
      </c>
      <c r="E61" s="25" t="n">
        <f>77061</f>
        <v>77061.0</v>
      </c>
      <c r="F61" s="23" t="s">
        <v>32</v>
      </c>
      <c r="G61" s="25" t="n">
        <f>46027</f>
        <v>46027.0</v>
      </c>
      <c r="H61" s="23" t="s">
        <v>32</v>
      </c>
      <c r="I61" s="26" t="n">
        <f>123088</f>
        <v>123088.0</v>
      </c>
      <c r="J61" s="24"/>
      <c r="K61" s="25" t="n">
        <f>501501930</f>
        <v>5.0150193E8</v>
      </c>
      <c r="L61" s="23" t="s">
        <v>32</v>
      </c>
      <c r="M61" s="25" t="n">
        <f>751935060</f>
        <v>7.5193506E8</v>
      </c>
      <c r="N61" s="23"/>
      <c r="O61" s="26" t="n">
        <f>1253436990</f>
        <v>1.25343699E9</v>
      </c>
      <c r="P61" s="27" t="str">
        <f>"－"</f>
        <v>－</v>
      </c>
      <c r="Q61" s="28" t="str">
        <f>"－"</f>
        <v>－</v>
      </c>
      <c r="R61" s="29" t="str">
        <f>"－"</f>
        <v>－</v>
      </c>
      <c r="S61" s="24" t="s">
        <v>32</v>
      </c>
      <c r="T61" s="25" t="n">
        <f>12751</f>
        <v>12751.0</v>
      </c>
      <c r="U61" s="23"/>
      <c r="V61" s="25" t="n">
        <f>3360</f>
        <v>3360.0</v>
      </c>
      <c r="W61" s="23" t="s">
        <v>32</v>
      </c>
      <c r="X61" s="26" t="n">
        <f>16111</f>
        <v>16111.0</v>
      </c>
      <c r="Y61" s="24" t="s">
        <v>32</v>
      </c>
      <c r="Z61" s="25" t="n">
        <f>73127</f>
        <v>73127.0</v>
      </c>
      <c r="AA61" s="23" t="s">
        <v>32</v>
      </c>
      <c r="AB61" s="25" t="n">
        <f>37335</f>
        <v>37335.0</v>
      </c>
      <c r="AC61" s="23" t="s">
        <v>32</v>
      </c>
      <c r="AD61" s="26" t="n">
        <f>110462</f>
        <v>110462.0</v>
      </c>
    </row>
    <row r="62">
      <c r="A62" s="30" t="s">
        <v>51</v>
      </c>
      <c r="B62" s="22" t="s">
        <v>61</v>
      </c>
      <c r="C62" s="22" t="s">
        <v>62</v>
      </c>
      <c r="D62" s="24"/>
      <c r="E62" s="25" t="n">
        <f>26262</f>
        <v>26262.0</v>
      </c>
      <c r="F62" s="23"/>
      <c r="G62" s="25" t="n">
        <f>13822</f>
        <v>13822.0</v>
      </c>
      <c r="H62" s="23"/>
      <c r="I62" s="26" t="n">
        <f>40084</f>
        <v>40084.0</v>
      </c>
      <c r="J62" s="24"/>
      <c r="K62" s="25" t="n">
        <f>314445510</f>
        <v>3.1444551E8</v>
      </c>
      <c r="L62" s="23"/>
      <c r="M62" s="25" t="n">
        <f>329921190</f>
        <v>3.2992119E8</v>
      </c>
      <c r="N62" s="23"/>
      <c r="O62" s="26" t="n">
        <f>644366700</f>
        <v>6.443667E8</v>
      </c>
      <c r="P62" s="27" t="n">
        <f>54</f>
        <v>54.0</v>
      </c>
      <c r="Q62" s="28" t="n">
        <f>15198</f>
        <v>15198.0</v>
      </c>
      <c r="R62" s="29" t="n">
        <f>15252</f>
        <v>15252.0</v>
      </c>
      <c r="S62" s="24"/>
      <c r="T62" s="25" t="n">
        <f>3475</f>
        <v>3475.0</v>
      </c>
      <c r="U62" s="23"/>
      <c r="V62" s="25" t="n">
        <f>1410</f>
        <v>1410.0</v>
      </c>
      <c r="W62" s="23"/>
      <c r="X62" s="26" t="n">
        <f>4885</f>
        <v>4885.0</v>
      </c>
      <c r="Y62" s="24"/>
      <c r="Z62" s="25" t="n">
        <f>31621</f>
        <v>31621.0</v>
      </c>
      <c r="AA62" s="23" t="s">
        <v>37</v>
      </c>
      <c r="AB62" s="25" t="n">
        <f>12477</f>
        <v>12477.0</v>
      </c>
      <c r="AC62" s="23"/>
      <c r="AD62" s="26" t="n">
        <f>44098</f>
        <v>44098.0</v>
      </c>
    </row>
    <row r="63">
      <c r="A63" s="30" t="s">
        <v>52</v>
      </c>
      <c r="B63" s="22" t="s">
        <v>61</v>
      </c>
      <c r="C63" s="22" t="s">
        <v>62</v>
      </c>
      <c r="D63" s="24"/>
      <c r="E63" s="25"/>
      <c r="F63" s="23"/>
      <c r="G63" s="25"/>
      <c r="H63" s="23"/>
      <c r="I63" s="26"/>
      <c r="J63" s="24"/>
      <c r="K63" s="25"/>
      <c r="L63" s="23"/>
      <c r="M63" s="25"/>
      <c r="N63" s="23"/>
      <c r="O63" s="26"/>
      <c r="P63" s="27"/>
      <c r="Q63" s="28"/>
      <c r="R63" s="29"/>
      <c r="S63" s="24"/>
      <c r="T63" s="25"/>
      <c r="U63" s="23"/>
      <c r="V63" s="25"/>
      <c r="W63" s="23"/>
      <c r="X63" s="26"/>
      <c r="Y63" s="24"/>
      <c r="Z63" s="25"/>
      <c r="AA63" s="23"/>
      <c r="AB63" s="25"/>
      <c r="AC63" s="23"/>
      <c r="AD63" s="26"/>
    </row>
    <row r="64">
      <c r="A64" s="30" t="s">
        <v>53</v>
      </c>
      <c r="B64" s="22" t="s">
        <v>61</v>
      </c>
      <c r="C64" s="22" t="s">
        <v>62</v>
      </c>
      <c r="D64" s="24"/>
      <c r="E64" s="25"/>
      <c r="F64" s="23"/>
      <c r="G64" s="25"/>
      <c r="H64" s="23"/>
      <c r="I64" s="26"/>
      <c r="J64" s="24"/>
      <c r="K64" s="25"/>
      <c r="L64" s="23"/>
      <c r="M64" s="25"/>
      <c r="N64" s="23"/>
      <c r="O64" s="26"/>
      <c r="P64" s="27"/>
      <c r="Q64" s="28"/>
      <c r="R64" s="29"/>
      <c r="S64" s="24"/>
      <c r="T64" s="25"/>
      <c r="U64" s="23"/>
      <c r="V64" s="25"/>
      <c r="W64" s="23"/>
      <c r="X64" s="26"/>
      <c r="Y64" s="24"/>
      <c r="Z64" s="25"/>
      <c r="AA64" s="23"/>
      <c r="AB64" s="25"/>
      <c r="AC64" s="23"/>
      <c r="AD64" s="26"/>
    </row>
    <row r="65">
      <c r="A65" s="30" t="s">
        <v>54</v>
      </c>
      <c r="B65" s="22" t="s">
        <v>61</v>
      </c>
      <c r="C65" s="22" t="s">
        <v>62</v>
      </c>
      <c r="D65" s="24"/>
      <c r="E65" s="25" t="n">
        <f>25103</f>
        <v>25103.0</v>
      </c>
      <c r="F65" s="23"/>
      <c r="G65" s="25" t="n">
        <f>14150</f>
        <v>14150.0</v>
      </c>
      <c r="H65" s="23"/>
      <c r="I65" s="26" t="n">
        <f>39253</f>
        <v>39253.0</v>
      </c>
      <c r="J65" s="24"/>
      <c r="K65" s="25" t="n">
        <f>190363280</f>
        <v>1.9036328E8</v>
      </c>
      <c r="L65" s="23"/>
      <c r="M65" s="25" t="n">
        <f>189710780</f>
        <v>1.8971078E8</v>
      </c>
      <c r="N65" s="23"/>
      <c r="O65" s="26" t="n">
        <f>380074060</f>
        <v>3.8007406E8</v>
      </c>
      <c r="P65" s="27" t="str">
        <f>"－"</f>
        <v>－</v>
      </c>
      <c r="Q65" s="28" t="str">
        <f>"－"</f>
        <v>－</v>
      </c>
      <c r="R65" s="29" t="str">
        <f>"－"</f>
        <v>－</v>
      </c>
      <c r="S65" s="24"/>
      <c r="T65" s="25" t="n">
        <f>5050</f>
        <v>5050.0</v>
      </c>
      <c r="U65" s="23"/>
      <c r="V65" s="25" t="n">
        <f>1170</f>
        <v>1170.0</v>
      </c>
      <c r="W65" s="23"/>
      <c r="X65" s="26" t="n">
        <f>6220</f>
        <v>6220.0</v>
      </c>
      <c r="Y65" s="24"/>
      <c r="Z65" s="25" t="n">
        <f>38579</f>
        <v>38579.0</v>
      </c>
      <c r="AA65" s="23"/>
      <c r="AB65" s="25" t="n">
        <f>15249</f>
        <v>15249.0</v>
      </c>
      <c r="AC65" s="23"/>
      <c r="AD65" s="26" t="n">
        <f>53828</f>
        <v>53828.0</v>
      </c>
    </row>
    <row r="66">
      <c r="A66" s="30" t="s">
        <v>55</v>
      </c>
      <c r="B66" s="22" t="s">
        <v>61</v>
      </c>
      <c r="C66" s="22" t="s">
        <v>62</v>
      </c>
      <c r="D66" s="24"/>
      <c r="E66" s="25" t="n">
        <f>16256</f>
        <v>16256.0</v>
      </c>
      <c r="F66" s="23"/>
      <c r="G66" s="25" t="n">
        <f>17373</f>
        <v>17373.0</v>
      </c>
      <c r="H66" s="23"/>
      <c r="I66" s="26" t="n">
        <f>33629</f>
        <v>33629.0</v>
      </c>
      <c r="J66" s="24"/>
      <c r="K66" s="25" t="n">
        <f>177563230</f>
        <v>1.7756323E8</v>
      </c>
      <c r="L66" s="23"/>
      <c r="M66" s="25" t="n">
        <f>164940890</f>
        <v>1.6494089E8</v>
      </c>
      <c r="N66" s="23"/>
      <c r="O66" s="26" t="n">
        <f>342504120</f>
        <v>3.4250412E8</v>
      </c>
      <c r="P66" s="27" t="str">
        <f>"－"</f>
        <v>－</v>
      </c>
      <c r="Q66" s="28" t="str">
        <f>"－"</f>
        <v>－</v>
      </c>
      <c r="R66" s="29" t="str">
        <f>"－"</f>
        <v>－</v>
      </c>
      <c r="S66" s="24"/>
      <c r="T66" s="25" t="n">
        <f>2034</f>
        <v>2034.0</v>
      </c>
      <c r="U66" s="23"/>
      <c r="V66" s="25" t="n">
        <f>1885</f>
        <v>1885.0</v>
      </c>
      <c r="W66" s="23"/>
      <c r="X66" s="26" t="n">
        <f>3919</f>
        <v>3919.0</v>
      </c>
      <c r="Y66" s="24"/>
      <c r="Z66" s="25" t="n">
        <f>40367</f>
        <v>40367.0</v>
      </c>
      <c r="AA66" s="23"/>
      <c r="AB66" s="25" t="n">
        <f>17130</f>
        <v>17130.0</v>
      </c>
      <c r="AC66" s="23"/>
      <c r="AD66" s="26" t="n">
        <f>57497</f>
        <v>57497.0</v>
      </c>
    </row>
    <row r="67">
      <c r="A67" s="30" t="s">
        <v>56</v>
      </c>
      <c r="B67" s="22" t="s">
        <v>61</v>
      </c>
      <c r="C67" s="22" t="s">
        <v>62</v>
      </c>
      <c r="D67" s="24"/>
      <c r="E67" s="25" t="n">
        <f>26029</f>
        <v>26029.0</v>
      </c>
      <c r="F67" s="23"/>
      <c r="G67" s="25" t="n">
        <f>15872</f>
        <v>15872.0</v>
      </c>
      <c r="H67" s="23"/>
      <c r="I67" s="26" t="n">
        <f>41901</f>
        <v>41901.0</v>
      </c>
      <c r="J67" s="24"/>
      <c r="K67" s="25" t="n">
        <f>171163660</f>
        <v>1.7116366E8</v>
      </c>
      <c r="L67" s="23"/>
      <c r="M67" s="25" t="n">
        <f>196276340</f>
        <v>1.9627634E8</v>
      </c>
      <c r="N67" s="23"/>
      <c r="O67" s="26" t="n">
        <f>367440000</f>
        <v>3.6744E8</v>
      </c>
      <c r="P67" s="27" t="str">
        <f>"－"</f>
        <v>－</v>
      </c>
      <c r="Q67" s="28" t="str">
        <f>"－"</f>
        <v>－</v>
      </c>
      <c r="R67" s="29" t="str">
        <f>"－"</f>
        <v>－</v>
      </c>
      <c r="S67" s="24"/>
      <c r="T67" s="25" t="n">
        <f>6420</f>
        <v>6420.0</v>
      </c>
      <c r="U67" s="23"/>
      <c r="V67" s="25" t="n">
        <f>2050</f>
        <v>2050.0</v>
      </c>
      <c r="W67" s="23"/>
      <c r="X67" s="26" t="n">
        <f>8470</f>
        <v>8470.0</v>
      </c>
      <c r="Y67" s="24"/>
      <c r="Z67" s="25" t="n">
        <f>44931</f>
        <v>44931.0</v>
      </c>
      <c r="AA67" s="23"/>
      <c r="AB67" s="25" t="n">
        <f>19774</f>
        <v>19774.0</v>
      </c>
      <c r="AC67" s="23"/>
      <c r="AD67" s="26" t="n">
        <f>64705</f>
        <v>64705.0</v>
      </c>
    </row>
    <row r="68">
      <c r="A68" s="30" t="s">
        <v>57</v>
      </c>
      <c r="B68" s="22" t="s">
        <v>61</v>
      </c>
      <c r="C68" s="22" t="s">
        <v>62</v>
      </c>
      <c r="D68" s="24"/>
      <c r="E68" s="25" t="n">
        <f>29161</f>
        <v>29161.0</v>
      </c>
      <c r="F68" s="23"/>
      <c r="G68" s="25" t="n">
        <f>19666</f>
        <v>19666.0</v>
      </c>
      <c r="H68" s="23"/>
      <c r="I68" s="26" t="n">
        <f>48827</f>
        <v>48827.0</v>
      </c>
      <c r="J68" s="24"/>
      <c r="K68" s="25" t="n">
        <f>216110560</f>
        <v>2.1611056E8</v>
      </c>
      <c r="L68" s="23"/>
      <c r="M68" s="25" t="n">
        <f>173415720</f>
        <v>1.7341572E8</v>
      </c>
      <c r="N68" s="23"/>
      <c r="O68" s="26" t="n">
        <f>389526280</f>
        <v>3.8952628E8</v>
      </c>
      <c r="P68" s="27" t="str">
        <f>"－"</f>
        <v>－</v>
      </c>
      <c r="Q68" s="28" t="str">
        <f>"－"</f>
        <v>－</v>
      </c>
      <c r="R68" s="29" t="str">
        <f>"－"</f>
        <v>－</v>
      </c>
      <c r="S68" s="24"/>
      <c r="T68" s="25" t="n">
        <f>5170</f>
        <v>5170.0</v>
      </c>
      <c r="U68" s="23"/>
      <c r="V68" s="25" t="n">
        <f>3180</f>
        <v>3180.0</v>
      </c>
      <c r="W68" s="23"/>
      <c r="X68" s="26" t="n">
        <f>8350</f>
        <v>8350.0</v>
      </c>
      <c r="Y68" s="24"/>
      <c r="Z68" s="25" t="n">
        <f>50300</f>
        <v>50300.0</v>
      </c>
      <c r="AA68" s="23"/>
      <c r="AB68" s="25" t="n">
        <f>19812</f>
        <v>19812.0</v>
      </c>
      <c r="AC68" s="23"/>
      <c r="AD68" s="26" t="n">
        <f>70112</f>
        <v>70112.0</v>
      </c>
    </row>
    <row r="69">
      <c r="A69" s="30" t="s">
        <v>58</v>
      </c>
      <c r="B69" s="22" t="s">
        <v>61</v>
      </c>
      <c r="C69" s="22" t="s">
        <v>62</v>
      </c>
      <c r="D69" s="24" t="s">
        <v>37</v>
      </c>
      <c r="E69" s="25" t="n">
        <f>11750</f>
        <v>11750.0</v>
      </c>
      <c r="F69" s="23" t="s">
        <v>37</v>
      </c>
      <c r="G69" s="25" t="n">
        <f>6066</f>
        <v>6066.0</v>
      </c>
      <c r="H69" s="23" t="s">
        <v>37</v>
      </c>
      <c r="I69" s="26" t="n">
        <f>17816</f>
        <v>17816.0</v>
      </c>
      <c r="J69" s="24" t="s">
        <v>37</v>
      </c>
      <c r="K69" s="25" t="n">
        <f>107118020</f>
        <v>1.0711802E8</v>
      </c>
      <c r="L69" s="23" t="s">
        <v>37</v>
      </c>
      <c r="M69" s="25" t="n">
        <f>92340620</f>
        <v>9.234062E7</v>
      </c>
      <c r="N69" s="23" t="s">
        <v>37</v>
      </c>
      <c r="O69" s="26" t="n">
        <f>199458640</f>
        <v>1.9945864E8</v>
      </c>
      <c r="P69" s="27" t="n">
        <f>366</f>
        <v>366.0</v>
      </c>
      <c r="Q69" s="28" t="n">
        <f>658</f>
        <v>658.0</v>
      </c>
      <c r="R69" s="29" t="n">
        <f>1024</f>
        <v>1024.0</v>
      </c>
      <c r="S69" s="24"/>
      <c r="T69" s="25" t="n">
        <f>2020</f>
        <v>2020.0</v>
      </c>
      <c r="U69" s="23" t="s">
        <v>37</v>
      </c>
      <c r="V69" s="25" t="n">
        <f>180</f>
        <v>180.0</v>
      </c>
      <c r="W69" s="23"/>
      <c r="X69" s="26" t="n">
        <f>2200</f>
        <v>2200.0</v>
      </c>
      <c r="Y69" s="24"/>
      <c r="Z69" s="25" t="n">
        <f>24329</f>
        <v>24329.0</v>
      </c>
      <c r="AA69" s="23"/>
      <c r="AB69" s="25" t="n">
        <f>13456</f>
        <v>13456.0</v>
      </c>
      <c r="AC69" s="23"/>
      <c r="AD69" s="26" t="n">
        <f>37785</f>
        <v>37785.0</v>
      </c>
    </row>
    <row r="70">
      <c r="A70" s="30" t="s">
        <v>59</v>
      </c>
      <c r="B70" s="22" t="s">
        <v>61</v>
      </c>
      <c r="C70" s="22" t="s">
        <v>62</v>
      </c>
      <c r="D70" s="24"/>
      <c r="E70" s="25"/>
      <c r="F70" s="23"/>
      <c r="G70" s="25"/>
      <c r="H70" s="23"/>
      <c r="I70" s="26"/>
      <c r="J70" s="24"/>
      <c r="K70" s="25"/>
      <c r="L70" s="23"/>
      <c r="M70" s="25"/>
      <c r="N70" s="23"/>
      <c r="O70" s="26"/>
      <c r="P70" s="27"/>
      <c r="Q70" s="28"/>
      <c r="R70" s="29"/>
      <c r="S70" s="24"/>
      <c r="T70" s="25"/>
      <c r="U70" s="23"/>
      <c r="V70" s="25"/>
      <c r="W70" s="23"/>
      <c r="X70" s="26"/>
      <c r="Y70" s="24"/>
      <c r="Z70" s="25"/>
      <c r="AA70" s="23"/>
      <c r="AB70" s="25"/>
      <c r="AC70" s="23"/>
      <c r="AD70" s="26"/>
    </row>
    <row r="71">
      <c r="A71" s="30" t="s">
        <v>60</v>
      </c>
      <c r="B71" s="22" t="s">
        <v>61</v>
      </c>
      <c r="C71" s="22" t="s">
        <v>62</v>
      </c>
      <c r="D71" s="24"/>
      <c r="E71" s="25"/>
      <c r="F71" s="23"/>
      <c r="G71" s="25"/>
      <c r="H71" s="23"/>
      <c r="I71" s="26"/>
      <c r="J71" s="24"/>
      <c r="K71" s="25"/>
      <c r="L71" s="23"/>
      <c r="M71" s="25"/>
      <c r="N71" s="23"/>
      <c r="O71" s="26"/>
      <c r="P71" s="27"/>
      <c r="Q71" s="28"/>
      <c r="R71" s="29"/>
      <c r="S71" s="24"/>
      <c r="T71" s="25"/>
      <c r="U71" s="23"/>
      <c r="V71" s="25"/>
      <c r="W71" s="23"/>
      <c r="X71" s="26"/>
      <c r="Y71" s="24"/>
      <c r="Z71" s="25"/>
      <c r="AA71" s="23"/>
      <c r="AB71" s="25"/>
      <c r="AC71" s="23"/>
      <c r="AD71" s="26"/>
    </row>
    <row r="72">
      <c r="A72" s="30" t="s">
        <v>26</v>
      </c>
      <c r="B72" s="22" t="s">
        <v>63</v>
      </c>
      <c r="C72" s="22" t="s">
        <v>64</v>
      </c>
      <c r="D72" s="24"/>
      <c r="E72" s="25" t="n">
        <f>3230</f>
        <v>3230.0</v>
      </c>
      <c r="F72" s="23"/>
      <c r="G72" s="25" t="n">
        <f>2560</f>
        <v>2560.0</v>
      </c>
      <c r="H72" s="23"/>
      <c r="I72" s="26" t="n">
        <f>5790</f>
        <v>5790.0</v>
      </c>
      <c r="J72" s="24"/>
      <c r="K72" s="25" t="n">
        <f>1684450000</f>
        <v>1.68445E9</v>
      </c>
      <c r="L72" s="23"/>
      <c r="M72" s="25" t="n">
        <f>2030875590</f>
        <v>2.03087559E9</v>
      </c>
      <c r="N72" s="23"/>
      <c r="O72" s="26" t="n">
        <f>3715325590</f>
        <v>3.71532559E9</v>
      </c>
      <c r="P72" s="27" t="str">
        <f>"－"</f>
        <v>－</v>
      </c>
      <c r="Q72" s="28" t="str">
        <f>"－"</f>
        <v>－</v>
      </c>
      <c r="R72" s="29" t="str">
        <f>"－"</f>
        <v>－</v>
      </c>
      <c r="S72" s="24"/>
      <c r="T72" s="25" t="n">
        <f>150</f>
        <v>150.0</v>
      </c>
      <c r="U72" s="23"/>
      <c r="V72" s="25" t="n">
        <f>128</f>
        <v>128.0</v>
      </c>
      <c r="W72" s="23"/>
      <c r="X72" s="26" t="n">
        <f>278</f>
        <v>278.0</v>
      </c>
      <c r="Y72" s="24"/>
      <c r="Z72" s="25" t="n">
        <f>122452</f>
        <v>122452.0</v>
      </c>
      <c r="AA72" s="23"/>
      <c r="AB72" s="25" t="n">
        <f>76253</f>
        <v>76253.0</v>
      </c>
      <c r="AC72" s="23"/>
      <c r="AD72" s="26" t="n">
        <f>198705</f>
        <v>198705.0</v>
      </c>
    </row>
    <row r="73">
      <c r="A73" s="30" t="s">
        <v>29</v>
      </c>
      <c r="B73" s="22" t="s">
        <v>63</v>
      </c>
      <c r="C73" s="22" t="s">
        <v>64</v>
      </c>
      <c r="D73" s="24"/>
      <c r="E73" s="25"/>
      <c r="F73" s="23"/>
      <c r="G73" s="25"/>
      <c r="H73" s="23"/>
      <c r="I73" s="26"/>
      <c r="J73" s="24"/>
      <c r="K73" s="25"/>
      <c r="L73" s="23"/>
      <c r="M73" s="25"/>
      <c r="N73" s="23"/>
      <c r="O73" s="26"/>
      <c r="P73" s="27"/>
      <c r="Q73" s="28"/>
      <c r="R73" s="29"/>
      <c r="S73" s="24"/>
      <c r="T73" s="25"/>
      <c r="U73" s="23"/>
      <c r="V73" s="25"/>
      <c r="W73" s="23"/>
      <c r="X73" s="26"/>
      <c r="Y73" s="24"/>
      <c r="Z73" s="25"/>
      <c r="AA73" s="23"/>
      <c r="AB73" s="25"/>
      <c r="AC73" s="23"/>
      <c r="AD73" s="26"/>
    </row>
    <row r="74">
      <c r="A74" s="30" t="s">
        <v>30</v>
      </c>
      <c r="B74" s="22" t="s">
        <v>63</v>
      </c>
      <c r="C74" s="22" t="s">
        <v>64</v>
      </c>
      <c r="D74" s="24"/>
      <c r="E74" s="25"/>
      <c r="F74" s="23"/>
      <c r="G74" s="25"/>
      <c r="H74" s="23"/>
      <c r="I74" s="26"/>
      <c r="J74" s="24"/>
      <c r="K74" s="25"/>
      <c r="L74" s="23"/>
      <c r="M74" s="25"/>
      <c r="N74" s="23"/>
      <c r="O74" s="26"/>
      <c r="P74" s="27"/>
      <c r="Q74" s="28"/>
      <c r="R74" s="29"/>
      <c r="S74" s="24"/>
      <c r="T74" s="25"/>
      <c r="U74" s="23"/>
      <c r="V74" s="25"/>
      <c r="W74" s="23"/>
      <c r="X74" s="26"/>
      <c r="Y74" s="24"/>
      <c r="Z74" s="25"/>
      <c r="AA74" s="23"/>
      <c r="AB74" s="25"/>
      <c r="AC74" s="23"/>
      <c r="AD74" s="26"/>
    </row>
    <row r="75">
      <c r="A75" s="30" t="s">
        <v>31</v>
      </c>
      <c r="B75" s="22" t="s">
        <v>63</v>
      </c>
      <c r="C75" s="22" t="s">
        <v>64</v>
      </c>
      <c r="D75" s="24"/>
      <c r="E75" s="25" t="n">
        <f>1100</f>
        <v>1100.0</v>
      </c>
      <c r="F75" s="23"/>
      <c r="G75" s="25" t="n">
        <f>1600</f>
        <v>1600.0</v>
      </c>
      <c r="H75" s="23"/>
      <c r="I75" s="26" t="n">
        <f>2700</f>
        <v>2700.0</v>
      </c>
      <c r="J75" s="24"/>
      <c r="K75" s="25" t="n">
        <f>1250500000</f>
        <v>1.2505E9</v>
      </c>
      <c r="L75" s="23"/>
      <c r="M75" s="25" t="n">
        <f>1635250000</f>
        <v>1.63525E9</v>
      </c>
      <c r="N75" s="23"/>
      <c r="O75" s="26" t="n">
        <f>2885750000</f>
        <v>2.88575E9</v>
      </c>
      <c r="P75" s="27" t="str">
        <f>"－"</f>
        <v>－</v>
      </c>
      <c r="Q75" s="28" t="str">
        <f>"－"</f>
        <v>－</v>
      </c>
      <c r="R75" s="29" t="str">
        <f>"－"</f>
        <v>－</v>
      </c>
      <c r="S75" s="24"/>
      <c r="T75" s="25" t="n">
        <f>500</f>
        <v>500.0</v>
      </c>
      <c r="U75" s="23"/>
      <c r="V75" s="25" t="n">
        <f>500</f>
        <v>500.0</v>
      </c>
      <c r="W75" s="23"/>
      <c r="X75" s="26" t="n">
        <f>1000</f>
        <v>1000.0</v>
      </c>
      <c r="Y75" s="24"/>
      <c r="Z75" s="25" t="n">
        <f>123552</f>
        <v>123552.0</v>
      </c>
      <c r="AA75" s="23"/>
      <c r="AB75" s="25" t="n">
        <f>77353</f>
        <v>77353.0</v>
      </c>
      <c r="AC75" s="23"/>
      <c r="AD75" s="26" t="n">
        <f>200905</f>
        <v>200905.0</v>
      </c>
    </row>
    <row r="76">
      <c r="A76" s="30" t="s">
        <v>33</v>
      </c>
      <c r="B76" s="22" t="s">
        <v>63</v>
      </c>
      <c r="C76" s="22" t="s">
        <v>64</v>
      </c>
      <c r="D76" s="24"/>
      <c r="E76" s="25" t="n">
        <f>2444</f>
        <v>2444.0</v>
      </c>
      <c r="F76" s="23"/>
      <c r="G76" s="25" t="n">
        <f>2398</f>
        <v>2398.0</v>
      </c>
      <c r="H76" s="23"/>
      <c r="I76" s="26" t="n">
        <f>4842</f>
        <v>4842.0</v>
      </c>
      <c r="J76" s="24"/>
      <c r="K76" s="25" t="n">
        <f>3528154000</f>
        <v>3.528154E9</v>
      </c>
      <c r="L76" s="23" t="s">
        <v>32</v>
      </c>
      <c r="M76" s="25" t="n">
        <f>8935111296</f>
        <v>8.935111296E9</v>
      </c>
      <c r="N76" s="23" t="s">
        <v>32</v>
      </c>
      <c r="O76" s="26" t="n">
        <f>12463265296</f>
        <v>1.2463265296E10</v>
      </c>
      <c r="P76" s="27" t="str">
        <f>"－"</f>
        <v>－</v>
      </c>
      <c r="Q76" s="28" t="str">
        <f>"－"</f>
        <v>－</v>
      </c>
      <c r="R76" s="29" t="str">
        <f>"－"</f>
        <v>－</v>
      </c>
      <c r="S76" s="24"/>
      <c r="T76" s="25" t="n">
        <f>200</f>
        <v>200.0</v>
      </c>
      <c r="U76" s="23"/>
      <c r="V76" s="25" t="n">
        <f>224</f>
        <v>224.0</v>
      </c>
      <c r="W76" s="23"/>
      <c r="X76" s="26" t="n">
        <f>424</f>
        <v>424.0</v>
      </c>
      <c r="Y76" s="24"/>
      <c r="Z76" s="25" t="n">
        <f>125642</f>
        <v>125642.0</v>
      </c>
      <c r="AA76" s="23"/>
      <c r="AB76" s="25" t="n">
        <f>78549</f>
        <v>78549.0</v>
      </c>
      <c r="AC76" s="23"/>
      <c r="AD76" s="26" t="n">
        <f>204191</f>
        <v>204191.0</v>
      </c>
    </row>
    <row r="77">
      <c r="A77" s="30" t="s">
        <v>34</v>
      </c>
      <c r="B77" s="22" t="s">
        <v>63</v>
      </c>
      <c r="C77" s="22" t="s">
        <v>64</v>
      </c>
      <c r="D77" s="24"/>
      <c r="E77" s="25" t="n">
        <f>1100</f>
        <v>1100.0</v>
      </c>
      <c r="F77" s="23"/>
      <c r="G77" s="25" t="n">
        <f>590</f>
        <v>590.0</v>
      </c>
      <c r="H77" s="23"/>
      <c r="I77" s="26" t="n">
        <f>1690</f>
        <v>1690.0</v>
      </c>
      <c r="J77" s="24"/>
      <c r="K77" s="25" t="n">
        <f>954270000</f>
        <v>9.5427E8</v>
      </c>
      <c r="L77" s="23"/>
      <c r="M77" s="25" t="n">
        <f>739232600</f>
        <v>7.392326E8</v>
      </c>
      <c r="N77" s="23"/>
      <c r="O77" s="26" t="n">
        <f>1693502600</f>
        <v>1.6935026E9</v>
      </c>
      <c r="P77" s="27" t="str">
        <f>"－"</f>
        <v>－</v>
      </c>
      <c r="Q77" s="28" t="str">
        <f>"－"</f>
        <v>－</v>
      </c>
      <c r="R77" s="29" t="str">
        <f>"－"</f>
        <v>－</v>
      </c>
      <c r="S77" s="24"/>
      <c r="T77" s="25" t="n">
        <f>350</f>
        <v>350.0</v>
      </c>
      <c r="U77" s="23"/>
      <c r="V77" s="25" t="n">
        <f>490</f>
        <v>490.0</v>
      </c>
      <c r="W77" s="23"/>
      <c r="X77" s="26" t="n">
        <f>840</f>
        <v>840.0</v>
      </c>
      <c r="Y77" s="24"/>
      <c r="Z77" s="25" t="n">
        <f>126642</f>
        <v>126642.0</v>
      </c>
      <c r="AA77" s="23"/>
      <c r="AB77" s="25" t="n">
        <f>78819</f>
        <v>78819.0</v>
      </c>
      <c r="AC77" s="23"/>
      <c r="AD77" s="26" t="n">
        <f>205461</f>
        <v>205461.0</v>
      </c>
    </row>
    <row r="78">
      <c r="A78" s="30" t="s">
        <v>35</v>
      </c>
      <c r="B78" s="22" t="s">
        <v>63</v>
      </c>
      <c r="C78" s="22" t="s">
        <v>64</v>
      </c>
      <c r="D78" s="24"/>
      <c r="E78" s="25" t="n">
        <f>3060</f>
        <v>3060.0</v>
      </c>
      <c r="F78" s="23"/>
      <c r="G78" s="25" t="n">
        <f>1150</f>
        <v>1150.0</v>
      </c>
      <c r="H78" s="23"/>
      <c r="I78" s="26" t="n">
        <f>4210</f>
        <v>4210.0</v>
      </c>
      <c r="J78" s="24"/>
      <c r="K78" s="25" t="n">
        <f>1739361360</f>
        <v>1.73936136E9</v>
      </c>
      <c r="L78" s="23"/>
      <c r="M78" s="25" t="n">
        <f>2859709300</f>
        <v>2.8597093E9</v>
      </c>
      <c r="N78" s="23"/>
      <c r="O78" s="26" t="n">
        <f>4599070660</f>
        <v>4.59907066E9</v>
      </c>
      <c r="P78" s="27" t="str">
        <f>"－"</f>
        <v>－</v>
      </c>
      <c r="Q78" s="28" t="str">
        <f>"－"</f>
        <v>－</v>
      </c>
      <c r="R78" s="29" t="str">
        <f>"－"</f>
        <v>－</v>
      </c>
      <c r="S78" s="24"/>
      <c r="T78" s="25" t="n">
        <f>2260</f>
        <v>2260.0</v>
      </c>
      <c r="U78" s="23"/>
      <c r="V78" s="25" t="n">
        <f>350</f>
        <v>350.0</v>
      </c>
      <c r="W78" s="23"/>
      <c r="X78" s="26" t="n">
        <f>2610</f>
        <v>2610.0</v>
      </c>
      <c r="Y78" s="24" t="s">
        <v>32</v>
      </c>
      <c r="Z78" s="25" t="n">
        <f>127747</f>
        <v>127747.0</v>
      </c>
      <c r="AA78" s="23"/>
      <c r="AB78" s="25" t="n">
        <f>79269</f>
        <v>79269.0</v>
      </c>
      <c r="AC78" s="23" t="s">
        <v>32</v>
      </c>
      <c r="AD78" s="26" t="n">
        <f>207016</f>
        <v>207016.0</v>
      </c>
    </row>
    <row r="79">
      <c r="A79" s="30" t="s">
        <v>36</v>
      </c>
      <c r="B79" s="22" t="s">
        <v>63</v>
      </c>
      <c r="C79" s="22" t="s">
        <v>64</v>
      </c>
      <c r="D79" s="24"/>
      <c r="E79" s="25" t="n">
        <f>400</f>
        <v>400.0</v>
      </c>
      <c r="F79" s="23"/>
      <c r="G79" s="25" t="n">
        <f>1300</f>
        <v>1300.0</v>
      </c>
      <c r="H79" s="23"/>
      <c r="I79" s="26" t="n">
        <f>1700</f>
        <v>1700.0</v>
      </c>
      <c r="J79" s="24"/>
      <c r="K79" s="25" t="n">
        <f>218000000</f>
        <v>2.18E8</v>
      </c>
      <c r="L79" s="23"/>
      <c r="M79" s="25" t="n">
        <f>1555350000</f>
        <v>1.55535E9</v>
      </c>
      <c r="N79" s="23"/>
      <c r="O79" s="26" t="n">
        <f>1773350000</f>
        <v>1.77335E9</v>
      </c>
      <c r="P79" s="27" t="str">
        <f>"－"</f>
        <v>－</v>
      </c>
      <c r="Q79" s="28" t="n">
        <f>12878</f>
        <v>12878.0</v>
      </c>
      <c r="R79" s="29" t="n">
        <f>12878</f>
        <v>12878.0</v>
      </c>
      <c r="S79" s="24" t="s">
        <v>37</v>
      </c>
      <c r="T79" s="25" t="str">
        <f>"－"</f>
        <v>－</v>
      </c>
      <c r="U79" s="23"/>
      <c r="V79" s="25" t="n">
        <f>800</f>
        <v>800.0</v>
      </c>
      <c r="W79" s="23"/>
      <c r="X79" s="26" t="n">
        <f>800</f>
        <v>800.0</v>
      </c>
      <c r="Y79" s="24" t="s">
        <v>37</v>
      </c>
      <c r="Z79" s="25" t="n">
        <f>96211</f>
        <v>96211.0</v>
      </c>
      <c r="AA79" s="23" t="s">
        <v>37</v>
      </c>
      <c r="AB79" s="25" t="n">
        <f>66934</f>
        <v>66934.0</v>
      </c>
      <c r="AC79" s="23" t="s">
        <v>37</v>
      </c>
      <c r="AD79" s="26" t="n">
        <f>163145</f>
        <v>163145.0</v>
      </c>
    </row>
    <row r="80">
      <c r="A80" s="30" t="s">
        <v>38</v>
      </c>
      <c r="B80" s="22" t="s">
        <v>63</v>
      </c>
      <c r="C80" s="22" t="s">
        <v>64</v>
      </c>
      <c r="D80" s="24"/>
      <c r="E80" s="25"/>
      <c r="F80" s="23"/>
      <c r="G80" s="25"/>
      <c r="H80" s="23"/>
      <c r="I80" s="26"/>
      <c r="J80" s="24"/>
      <c r="K80" s="25"/>
      <c r="L80" s="23"/>
      <c r="M80" s="25"/>
      <c r="N80" s="23"/>
      <c r="O80" s="26"/>
      <c r="P80" s="27"/>
      <c r="Q80" s="28"/>
      <c r="R80" s="29"/>
      <c r="S80" s="24"/>
      <c r="T80" s="25"/>
      <c r="U80" s="23"/>
      <c r="V80" s="25"/>
      <c r="W80" s="23"/>
      <c r="X80" s="26"/>
      <c r="Y80" s="24"/>
      <c r="Z80" s="25"/>
      <c r="AA80" s="23"/>
      <c r="AB80" s="25"/>
      <c r="AC80" s="23"/>
      <c r="AD80" s="26"/>
    </row>
    <row r="81">
      <c r="A81" s="30" t="s">
        <v>39</v>
      </c>
      <c r="B81" s="22" t="s">
        <v>63</v>
      </c>
      <c r="C81" s="22" t="s">
        <v>64</v>
      </c>
      <c r="D81" s="24"/>
      <c r="E81" s="25"/>
      <c r="F81" s="23"/>
      <c r="G81" s="25"/>
      <c r="H81" s="23"/>
      <c r="I81" s="26"/>
      <c r="J81" s="24"/>
      <c r="K81" s="25"/>
      <c r="L81" s="23"/>
      <c r="M81" s="25"/>
      <c r="N81" s="23"/>
      <c r="O81" s="26"/>
      <c r="P81" s="27"/>
      <c r="Q81" s="28"/>
      <c r="R81" s="29"/>
      <c r="S81" s="24"/>
      <c r="T81" s="25"/>
      <c r="U81" s="23"/>
      <c r="V81" s="25"/>
      <c r="W81" s="23"/>
      <c r="X81" s="26"/>
      <c r="Y81" s="24"/>
      <c r="Z81" s="25"/>
      <c r="AA81" s="23"/>
      <c r="AB81" s="25"/>
      <c r="AC81" s="23"/>
      <c r="AD81" s="26"/>
    </row>
    <row r="82">
      <c r="A82" s="30" t="s">
        <v>40</v>
      </c>
      <c r="B82" s="22" t="s">
        <v>63</v>
      </c>
      <c r="C82" s="22" t="s">
        <v>64</v>
      </c>
      <c r="D82" s="24"/>
      <c r="E82" s="25" t="n">
        <f>2125</f>
        <v>2125.0</v>
      </c>
      <c r="F82" s="23"/>
      <c r="G82" s="25" t="n">
        <f>1966</f>
        <v>1966.0</v>
      </c>
      <c r="H82" s="23"/>
      <c r="I82" s="26" t="n">
        <f>4091</f>
        <v>4091.0</v>
      </c>
      <c r="J82" s="24"/>
      <c r="K82" s="25" t="n">
        <f>810982500</f>
        <v>8.109825E8</v>
      </c>
      <c r="L82" s="23"/>
      <c r="M82" s="25" t="n">
        <f>1147509800</f>
        <v>1.1475098E9</v>
      </c>
      <c r="N82" s="23"/>
      <c r="O82" s="26" t="n">
        <f>1958492300</f>
        <v>1.9584923E9</v>
      </c>
      <c r="P82" s="27" t="str">
        <f>"－"</f>
        <v>－</v>
      </c>
      <c r="Q82" s="28" t="str">
        <f>"－"</f>
        <v>－</v>
      </c>
      <c r="R82" s="29" t="str">
        <f>"－"</f>
        <v>－</v>
      </c>
      <c r="S82" s="24"/>
      <c r="T82" s="25" t="n">
        <f>75</f>
        <v>75.0</v>
      </c>
      <c r="U82" s="23"/>
      <c r="V82" s="25" t="n">
        <f>690</f>
        <v>690.0</v>
      </c>
      <c r="W82" s="23"/>
      <c r="X82" s="26" t="n">
        <f>765</f>
        <v>765.0</v>
      </c>
      <c r="Y82" s="24"/>
      <c r="Z82" s="25" t="n">
        <f>97386</f>
        <v>97386.0</v>
      </c>
      <c r="AA82" s="23"/>
      <c r="AB82" s="25" t="n">
        <f>67184</f>
        <v>67184.0</v>
      </c>
      <c r="AC82" s="23"/>
      <c r="AD82" s="26" t="n">
        <f>164570</f>
        <v>164570.0</v>
      </c>
    </row>
    <row r="83">
      <c r="A83" s="30" t="s">
        <v>41</v>
      </c>
      <c r="B83" s="22" t="s">
        <v>63</v>
      </c>
      <c r="C83" s="22" t="s">
        <v>64</v>
      </c>
      <c r="D83" s="24"/>
      <c r="E83" s="25" t="n">
        <f>2155</f>
        <v>2155.0</v>
      </c>
      <c r="F83" s="23"/>
      <c r="G83" s="25" t="n">
        <f>352</f>
        <v>352.0</v>
      </c>
      <c r="H83" s="23"/>
      <c r="I83" s="26" t="n">
        <f>2507</f>
        <v>2507.0</v>
      </c>
      <c r="J83" s="24"/>
      <c r="K83" s="25" t="n">
        <f>389535328</f>
        <v>3.89535328E8</v>
      </c>
      <c r="L83" s="23"/>
      <c r="M83" s="25" t="n">
        <f>242202000</f>
        <v>2.42202E8</v>
      </c>
      <c r="N83" s="23"/>
      <c r="O83" s="26" t="n">
        <f>631737328</f>
        <v>6.31737328E8</v>
      </c>
      <c r="P83" s="27" t="str">
        <f>"－"</f>
        <v>－</v>
      </c>
      <c r="Q83" s="28" t="str">
        <f>"－"</f>
        <v>－</v>
      </c>
      <c r="R83" s="29" t="str">
        <f>"－"</f>
        <v>－</v>
      </c>
      <c r="S83" s="24"/>
      <c r="T83" s="25" t="n">
        <f>1826</f>
        <v>1826.0</v>
      </c>
      <c r="U83" s="23"/>
      <c r="V83" s="25" t="n">
        <f>150</f>
        <v>150.0</v>
      </c>
      <c r="W83" s="23"/>
      <c r="X83" s="26" t="n">
        <f>1976</f>
        <v>1976.0</v>
      </c>
      <c r="Y83" s="24"/>
      <c r="Z83" s="25" t="n">
        <f>98239</f>
        <v>98239.0</v>
      </c>
      <c r="AA83" s="23"/>
      <c r="AB83" s="25" t="n">
        <f>67383</f>
        <v>67383.0</v>
      </c>
      <c r="AC83" s="23"/>
      <c r="AD83" s="26" t="n">
        <f>165622</f>
        <v>165622.0</v>
      </c>
    </row>
    <row r="84">
      <c r="A84" s="30" t="s">
        <v>42</v>
      </c>
      <c r="B84" s="22" t="s">
        <v>63</v>
      </c>
      <c r="C84" s="22" t="s">
        <v>64</v>
      </c>
      <c r="D84" s="24"/>
      <c r="E84" s="25" t="n">
        <f>3598</f>
        <v>3598.0</v>
      </c>
      <c r="F84" s="23"/>
      <c r="G84" s="25" t="n">
        <f>2100</f>
        <v>2100.0</v>
      </c>
      <c r="H84" s="23"/>
      <c r="I84" s="26" t="n">
        <f>5698</f>
        <v>5698.0</v>
      </c>
      <c r="J84" s="24"/>
      <c r="K84" s="25" t="n">
        <f>1885699648</f>
        <v>1.885699648E9</v>
      </c>
      <c r="L84" s="23"/>
      <c r="M84" s="25" t="n">
        <f>1505062500</f>
        <v>1.5050625E9</v>
      </c>
      <c r="N84" s="23"/>
      <c r="O84" s="26" t="n">
        <f>3390762148</f>
        <v>3.390762148E9</v>
      </c>
      <c r="P84" s="27" t="str">
        <f>"－"</f>
        <v>－</v>
      </c>
      <c r="Q84" s="28" t="str">
        <f>"－"</f>
        <v>－</v>
      </c>
      <c r="R84" s="29" t="str">
        <f>"－"</f>
        <v>－</v>
      </c>
      <c r="S84" s="24"/>
      <c r="T84" s="25" t="n">
        <f>1568</f>
        <v>1568.0</v>
      </c>
      <c r="U84" s="23" t="s">
        <v>37</v>
      </c>
      <c r="V84" s="25" t="str">
        <f>"－"</f>
        <v>－</v>
      </c>
      <c r="W84" s="23"/>
      <c r="X84" s="26" t="n">
        <f>1568</f>
        <v>1568.0</v>
      </c>
      <c r="Y84" s="24"/>
      <c r="Z84" s="25" t="n">
        <f>99889</f>
        <v>99889.0</v>
      </c>
      <c r="AA84" s="23"/>
      <c r="AB84" s="25" t="n">
        <f>68908</f>
        <v>68908.0</v>
      </c>
      <c r="AC84" s="23"/>
      <c r="AD84" s="26" t="n">
        <f>168797</f>
        <v>168797.0</v>
      </c>
    </row>
    <row r="85">
      <c r="A85" s="30" t="s">
        <v>43</v>
      </c>
      <c r="B85" s="22" t="s">
        <v>63</v>
      </c>
      <c r="C85" s="22" t="s">
        <v>64</v>
      </c>
      <c r="D85" s="24"/>
      <c r="E85" s="25" t="n">
        <f>600</f>
        <v>600.0</v>
      </c>
      <c r="F85" s="23"/>
      <c r="G85" s="25" t="n">
        <f>500</f>
        <v>500.0</v>
      </c>
      <c r="H85" s="23"/>
      <c r="I85" s="26" t="n">
        <f>1100</f>
        <v>1100.0</v>
      </c>
      <c r="J85" s="24"/>
      <c r="K85" s="25" t="n">
        <f>366600000</f>
        <v>3.666E8</v>
      </c>
      <c r="L85" s="23"/>
      <c r="M85" s="25" t="n">
        <f>279710000</f>
        <v>2.7971E8</v>
      </c>
      <c r="N85" s="23"/>
      <c r="O85" s="26" t="n">
        <f>646310000</f>
        <v>6.4631E8</v>
      </c>
      <c r="P85" s="27" t="str">
        <f>"－"</f>
        <v>－</v>
      </c>
      <c r="Q85" s="28" t="str">
        <f>"－"</f>
        <v>－</v>
      </c>
      <c r="R85" s="29" t="str">
        <f>"－"</f>
        <v>－</v>
      </c>
      <c r="S85" s="24"/>
      <c r="T85" s="25" t="str">
        <f>"－"</f>
        <v>－</v>
      </c>
      <c r="U85" s="23"/>
      <c r="V85" s="25" t="n">
        <f>500</f>
        <v>500.0</v>
      </c>
      <c r="W85" s="23"/>
      <c r="X85" s="26" t="n">
        <f>500</f>
        <v>500.0</v>
      </c>
      <c r="Y85" s="24"/>
      <c r="Z85" s="25" t="n">
        <f>100189</f>
        <v>100189.0</v>
      </c>
      <c r="AA85" s="23"/>
      <c r="AB85" s="25" t="n">
        <f>69108</f>
        <v>69108.0</v>
      </c>
      <c r="AC85" s="23"/>
      <c r="AD85" s="26" t="n">
        <f>169297</f>
        <v>169297.0</v>
      </c>
    </row>
    <row r="86">
      <c r="A86" s="30" t="s">
        <v>44</v>
      </c>
      <c r="B86" s="22" t="s">
        <v>63</v>
      </c>
      <c r="C86" s="22" t="s">
        <v>64</v>
      </c>
      <c r="D86" s="24"/>
      <c r="E86" s="25" t="n">
        <f>875</f>
        <v>875.0</v>
      </c>
      <c r="F86" s="23"/>
      <c r="G86" s="25" t="n">
        <f>1620</f>
        <v>1620.0</v>
      </c>
      <c r="H86" s="23"/>
      <c r="I86" s="26" t="n">
        <f>2495</f>
        <v>2495.0</v>
      </c>
      <c r="J86" s="24"/>
      <c r="K86" s="25" t="n">
        <f>1209950000</f>
        <v>1.20995E9</v>
      </c>
      <c r="L86" s="23"/>
      <c r="M86" s="25" t="n">
        <f>1295187400</f>
        <v>1.2951874E9</v>
      </c>
      <c r="N86" s="23"/>
      <c r="O86" s="26" t="n">
        <f>2505137400</f>
        <v>2.5051374E9</v>
      </c>
      <c r="P86" s="27" t="str">
        <f>"－"</f>
        <v>－</v>
      </c>
      <c r="Q86" s="28" t="str">
        <f>"－"</f>
        <v>－</v>
      </c>
      <c r="R86" s="29" t="str">
        <f>"－"</f>
        <v>－</v>
      </c>
      <c r="S86" s="24"/>
      <c r="T86" s="25" t="str">
        <f>"－"</f>
        <v>－</v>
      </c>
      <c r="U86" s="23"/>
      <c r="V86" s="25" t="n">
        <f>1220</f>
        <v>1220.0</v>
      </c>
      <c r="W86" s="23"/>
      <c r="X86" s="26" t="n">
        <f>1220</f>
        <v>1220.0</v>
      </c>
      <c r="Y86" s="24"/>
      <c r="Z86" s="25" t="n">
        <f>101064</f>
        <v>101064.0</v>
      </c>
      <c r="AA86" s="23"/>
      <c r="AB86" s="25" t="n">
        <f>70728</f>
        <v>70728.0</v>
      </c>
      <c r="AC86" s="23"/>
      <c r="AD86" s="26" t="n">
        <f>171792</f>
        <v>171792.0</v>
      </c>
    </row>
    <row r="87">
      <c r="A87" s="30" t="s">
        <v>45</v>
      </c>
      <c r="B87" s="22" t="s">
        <v>63</v>
      </c>
      <c r="C87" s="22" t="s">
        <v>64</v>
      </c>
      <c r="D87" s="24"/>
      <c r="E87" s="25"/>
      <c r="F87" s="23"/>
      <c r="G87" s="25"/>
      <c r="H87" s="23"/>
      <c r="I87" s="26"/>
      <c r="J87" s="24"/>
      <c r="K87" s="25"/>
      <c r="L87" s="23"/>
      <c r="M87" s="25"/>
      <c r="N87" s="23"/>
      <c r="O87" s="26"/>
      <c r="P87" s="27"/>
      <c r="Q87" s="28"/>
      <c r="R87" s="29"/>
      <c r="S87" s="24"/>
      <c r="T87" s="25"/>
      <c r="U87" s="23"/>
      <c r="V87" s="25"/>
      <c r="W87" s="23"/>
      <c r="X87" s="26"/>
      <c r="Y87" s="24"/>
      <c r="Z87" s="25"/>
      <c r="AA87" s="23"/>
      <c r="AB87" s="25"/>
      <c r="AC87" s="23"/>
      <c r="AD87" s="26"/>
    </row>
    <row r="88">
      <c r="A88" s="30" t="s">
        <v>46</v>
      </c>
      <c r="B88" s="22" t="s">
        <v>63</v>
      </c>
      <c r="C88" s="22" t="s">
        <v>64</v>
      </c>
      <c r="D88" s="24"/>
      <c r="E88" s="25"/>
      <c r="F88" s="23"/>
      <c r="G88" s="25"/>
      <c r="H88" s="23"/>
      <c r="I88" s="26"/>
      <c r="J88" s="24"/>
      <c r="K88" s="25"/>
      <c r="L88" s="23"/>
      <c r="M88" s="25"/>
      <c r="N88" s="23"/>
      <c r="O88" s="26"/>
      <c r="P88" s="27"/>
      <c r="Q88" s="28"/>
      <c r="R88" s="29"/>
      <c r="S88" s="24"/>
      <c r="T88" s="25"/>
      <c r="U88" s="23"/>
      <c r="V88" s="25"/>
      <c r="W88" s="23"/>
      <c r="X88" s="26"/>
      <c r="Y88" s="24"/>
      <c r="Z88" s="25"/>
      <c r="AA88" s="23"/>
      <c r="AB88" s="25"/>
      <c r="AC88" s="23"/>
      <c r="AD88" s="26"/>
    </row>
    <row r="89">
      <c r="A89" s="30" t="s">
        <v>47</v>
      </c>
      <c r="B89" s="22" t="s">
        <v>63</v>
      </c>
      <c r="C89" s="22" t="s">
        <v>64</v>
      </c>
      <c r="D89" s="24"/>
      <c r="E89" s="25" t="n">
        <f>963</f>
        <v>963.0</v>
      </c>
      <c r="F89" s="23"/>
      <c r="G89" s="25" t="n">
        <f>125</f>
        <v>125.0</v>
      </c>
      <c r="H89" s="23"/>
      <c r="I89" s="26" t="n">
        <f>1088</f>
        <v>1088.0</v>
      </c>
      <c r="J89" s="24"/>
      <c r="K89" s="25" t="n">
        <f>314628400</f>
        <v>3.146284E8</v>
      </c>
      <c r="L89" s="23" t="s">
        <v>37</v>
      </c>
      <c r="M89" s="25" t="n">
        <f>94450000</f>
        <v>9.445E7</v>
      </c>
      <c r="N89" s="23"/>
      <c r="O89" s="26" t="n">
        <f>409078400</f>
        <v>4.090784E8</v>
      </c>
      <c r="P89" s="27" t="str">
        <f>"－"</f>
        <v>－</v>
      </c>
      <c r="Q89" s="28" t="str">
        <f>"－"</f>
        <v>－</v>
      </c>
      <c r="R89" s="29" t="str">
        <f>"－"</f>
        <v>－</v>
      </c>
      <c r="S89" s="24"/>
      <c r="T89" s="25" t="n">
        <f>258</f>
        <v>258.0</v>
      </c>
      <c r="U89" s="23"/>
      <c r="V89" s="25" t="n">
        <f>75</f>
        <v>75.0</v>
      </c>
      <c r="W89" s="23"/>
      <c r="X89" s="26" t="n">
        <f>333</f>
        <v>333.0</v>
      </c>
      <c r="Y89" s="24"/>
      <c r="Z89" s="25" t="n">
        <f>101094</f>
        <v>101094.0</v>
      </c>
      <c r="AA89" s="23"/>
      <c r="AB89" s="25" t="n">
        <f>70678</f>
        <v>70678.0</v>
      </c>
      <c r="AC89" s="23"/>
      <c r="AD89" s="26" t="n">
        <f>171772</f>
        <v>171772.0</v>
      </c>
    </row>
    <row r="90">
      <c r="A90" s="30" t="s">
        <v>48</v>
      </c>
      <c r="B90" s="22" t="s">
        <v>63</v>
      </c>
      <c r="C90" s="22" t="s">
        <v>64</v>
      </c>
      <c r="D90" s="24"/>
      <c r="E90" s="25" t="n">
        <f>750</f>
        <v>750.0</v>
      </c>
      <c r="F90" s="23"/>
      <c r="G90" s="25" t="n">
        <f>235</f>
        <v>235.0</v>
      </c>
      <c r="H90" s="23"/>
      <c r="I90" s="26" t="n">
        <f>985</f>
        <v>985.0</v>
      </c>
      <c r="J90" s="24"/>
      <c r="K90" s="25" t="n">
        <f>594565000</f>
        <v>5.94565E8</v>
      </c>
      <c r="L90" s="23"/>
      <c r="M90" s="25" t="n">
        <f>266600000</f>
        <v>2.666E8</v>
      </c>
      <c r="N90" s="23"/>
      <c r="O90" s="26" t="n">
        <f>861165000</f>
        <v>8.61165E8</v>
      </c>
      <c r="P90" s="27" t="str">
        <f>"－"</f>
        <v>－</v>
      </c>
      <c r="Q90" s="28" t="str">
        <f>"－"</f>
        <v>－</v>
      </c>
      <c r="R90" s="29" t="str">
        <f>"－"</f>
        <v>－</v>
      </c>
      <c r="S90" s="24"/>
      <c r="T90" s="25" t="n">
        <f>100</f>
        <v>100.0</v>
      </c>
      <c r="U90" s="23"/>
      <c r="V90" s="25" t="n">
        <f>100</f>
        <v>100.0</v>
      </c>
      <c r="W90" s="23"/>
      <c r="X90" s="26" t="n">
        <f>200</f>
        <v>200.0</v>
      </c>
      <c r="Y90" s="24"/>
      <c r="Z90" s="25" t="n">
        <f>101224</f>
        <v>101224.0</v>
      </c>
      <c r="AA90" s="23"/>
      <c r="AB90" s="25" t="n">
        <f>70713</f>
        <v>70713.0</v>
      </c>
      <c r="AC90" s="23"/>
      <c r="AD90" s="26" t="n">
        <f>171937</f>
        <v>171937.0</v>
      </c>
    </row>
    <row r="91">
      <c r="A91" s="30" t="s">
        <v>49</v>
      </c>
      <c r="B91" s="22" t="s">
        <v>63</v>
      </c>
      <c r="C91" s="22" t="s">
        <v>64</v>
      </c>
      <c r="D91" s="24"/>
      <c r="E91" s="25"/>
      <c r="F91" s="23"/>
      <c r="G91" s="25"/>
      <c r="H91" s="23"/>
      <c r="I91" s="26"/>
      <c r="J91" s="24"/>
      <c r="K91" s="25"/>
      <c r="L91" s="23"/>
      <c r="M91" s="25"/>
      <c r="N91" s="23"/>
      <c r="O91" s="26"/>
      <c r="P91" s="27"/>
      <c r="Q91" s="28"/>
      <c r="R91" s="29"/>
      <c r="S91" s="24"/>
      <c r="T91" s="25"/>
      <c r="U91" s="23"/>
      <c r="V91" s="25"/>
      <c r="W91" s="23"/>
      <c r="X91" s="26"/>
      <c r="Y91" s="24"/>
      <c r="Z91" s="25"/>
      <c r="AA91" s="23"/>
      <c r="AB91" s="25"/>
      <c r="AC91" s="23"/>
      <c r="AD91" s="26"/>
    </row>
    <row r="92">
      <c r="A92" s="30" t="s">
        <v>50</v>
      </c>
      <c r="B92" s="22" t="s">
        <v>63</v>
      </c>
      <c r="C92" s="22" t="s">
        <v>64</v>
      </c>
      <c r="D92" s="24"/>
      <c r="E92" s="25" t="n">
        <f>610</f>
        <v>610.0</v>
      </c>
      <c r="F92" s="23"/>
      <c r="G92" s="25" t="n">
        <f>993</f>
        <v>993.0</v>
      </c>
      <c r="H92" s="23"/>
      <c r="I92" s="26" t="n">
        <f>1603</f>
        <v>1603.0</v>
      </c>
      <c r="J92" s="24"/>
      <c r="K92" s="25" t="n">
        <f>294425000</f>
        <v>2.94425E8</v>
      </c>
      <c r="L92" s="23"/>
      <c r="M92" s="25" t="n">
        <f>177750900</f>
        <v>1.777509E8</v>
      </c>
      <c r="N92" s="23"/>
      <c r="O92" s="26" t="n">
        <f>472175900</f>
        <v>4.721759E8</v>
      </c>
      <c r="P92" s="27" t="str">
        <f>"－"</f>
        <v>－</v>
      </c>
      <c r="Q92" s="28" t="str">
        <f>"－"</f>
        <v>－</v>
      </c>
      <c r="R92" s="29" t="str">
        <f>"－"</f>
        <v>－</v>
      </c>
      <c r="S92" s="24"/>
      <c r="T92" s="25" t="str">
        <f>"－"</f>
        <v>－</v>
      </c>
      <c r="U92" s="23"/>
      <c r="V92" s="25" t="n">
        <f>905</f>
        <v>905.0</v>
      </c>
      <c r="W92" s="23"/>
      <c r="X92" s="26" t="n">
        <f>905</f>
        <v>905.0</v>
      </c>
      <c r="Y92" s="24"/>
      <c r="Z92" s="25" t="n">
        <f>101834</f>
        <v>101834.0</v>
      </c>
      <c r="AA92" s="23"/>
      <c r="AB92" s="25" t="n">
        <f>71629</f>
        <v>71629.0</v>
      </c>
      <c r="AC92" s="23"/>
      <c r="AD92" s="26" t="n">
        <f>173463</f>
        <v>173463.0</v>
      </c>
    </row>
    <row r="93">
      <c r="A93" s="30" t="s">
        <v>51</v>
      </c>
      <c r="B93" s="22" t="s">
        <v>63</v>
      </c>
      <c r="C93" s="22" t="s">
        <v>64</v>
      </c>
      <c r="D93" s="24"/>
      <c r="E93" s="25" t="n">
        <f>1050</f>
        <v>1050.0</v>
      </c>
      <c r="F93" s="23"/>
      <c r="G93" s="25" t="n">
        <f>135</f>
        <v>135.0</v>
      </c>
      <c r="H93" s="23"/>
      <c r="I93" s="26" t="n">
        <f>1185</f>
        <v>1185.0</v>
      </c>
      <c r="J93" s="24"/>
      <c r="K93" s="25" t="n">
        <f>340550000</f>
        <v>3.4055E8</v>
      </c>
      <c r="L93" s="23"/>
      <c r="M93" s="25" t="n">
        <f>144500000</f>
        <v>1.445E8</v>
      </c>
      <c r="N93" s="23"/>
      <c r="O93" s="26" t="n">
        <f>485050000</f>
        <v>4.8505E8</v>
      </c>
      <c r="P93" s="27" t="str">
        <f>"－"</f>
        <v>－</v>
      </c>
      <c r="Q93" s="28" t="str">
        <f>"－"</f>
        <v>－</v>
      </c>
      <c r="R93" s="29" t="str">
        <f>"－"</f>
        <v>－</v>
      </c>
      <c r="S93" s="24"/>
      <c r="T93" s="25" t="n">
        <f>100</f>
        <v>100.0</v>
      </c>
      <c r="U93" s="23"/>
      <c r="V93" s="25" t="n">
        <f>125</f>
        <v>125.0</v>
      </c>
      <c r="W93" s="23"/>
      <c r="X93" s="26" t="n">
        <f>225</f>
        <v>225.0</v>
      </c>
      <c r="Y93" s="24"/>
      <c r="Z93" s="25" t="n">
        <f>102284</f>
        <v>102284.0</v>
      </c>
      <c r="AA93" s="23"/>
      <c r="AB93" s="25" t="n">
        <f>71639</f>
        <v>71639.0</v>
      </c>
      <c r="AC93" s="23"/>
      <c r="AD93" s="26" t="n">
        <f>173923</f>
        <v>173923.0</v>
      </c>
    </row>
    <row r="94">
      <c r="A94" s="30" t="s">
        <v>52</v>
      </c>
      <c r="B94" s="22" t="s">
        <v>63</v>
      </c>
      <c r="C94" s="22" t="s">
        <v>64</v>
      </c>
      <c r="D94" s="24"/>
      <c r="E94" s="25"/>
      <c r="F94" s="23"/>
      <c r="G94" s="25"/>
      <c r="H94" s="23"/>
      <c r="I94" s="26"/>
      <c r="J94" s="24"/>
      <c r="K94" s="25"/>
      <c r="L94" s="23"/>
      <c r="M94" s="25"/>
      <c r="N94" s="23"/>
      <c r="O94" s="26"/>
      <c r="P94" s="27"/>
      <c r="Q94" s="28"/>
      <c r="R94" s="29"/>
      <c r="S94" s="24"/>
      <c r="T94" s="25"/>
      <c r="U94" s="23"/>
      <c r="V94" s="25"/>
      <c r="W94" s="23"/>
      <c r="X94" s="26"/>
      <c r="Y94" s="24"/>
      <c r="Z94" s="25"/>
      <c r="AA94" s="23"/>
      <c r="AB94" s="25"/>
      <c r="AC94" s="23"/>
      <c r="AD94" s="26"/>
    </row>
    <row r="95">
      <c r="A95" s="30" t="s">
        <v>53</v>
      </c>
      <c r="B95" s="22" t="s">
        <v>63</v>
      </c>
      <c r="C95" s="22" t="s">
        <v>64</v>
      </c>
      <c r="D95" s="24"/>
      <c r="E95" s="25"/>
      <c r="F95" s="23"/>
      <c r="G95" s="25"/>
      <c r="H95" s="23"/>
      <c r="I95" s="26"/>
      <c r="J95" s="24"/>
      <c r="K95" s="25"/>
      <c r="L95" s="23"/>
      <c r="M95" s="25"/>
      <c r="N95" s="23"/>
      <c r="O95" s="26"/>
      <c r="P95" s="27"/>
      <c r="Q95" s="28"/>
      <c r="R95" s="29"/>
      <c r="S95" s="24"/>
      <c r="T95" s="25"/>
      <c r="U95" s="23"/>
      <c r="V95" s="25"/>
      <c r="W95" s="23"/>
      <c r="X95" s="26"/>
      <c r="Y95" s="24"/>
      <c r="Z95" s="25"/>
      <c r="AA95" s="23"/>
      <c r="AB95" s="25"/>
      <c r="AC95" s="23"/>
      <c r="AD95" s="26"/>
    </row>
    <row r="96">
      <c r="A96" s="30" t="s">
        <v>54</v>
      </c>
      <c r="B96" s="22" t="s">
        <v>63</v>
      </c>
      <c r="C96" s="22" t="s">
        <v>64</v>
      </c>
      <c r="D96" s="24"/>
      <c r="E96" s="25" t="n">
        <f>950</f>
        <v>950.0</v>
      </c>
      <c r="F96" s="23"/>
      <c r="G96" s="25" t="n">
        <f>2242</f>
        <v>2242.0</v>
      </c>
      <c r="H96" s="23"/>
      <c r="I96" s="26" t="n">
        <f>3192</f>
        <v>3192.0</v>
      </c>
      <c r="J96" s="24"/>
      <c r="K96" s="25" t="n">
        <f>554250000</f>
        <v>5.5425E8</v>
      </c>
      <c r="L96" s="23"/>
      <c r="M96" s="25" t="n">
        <f>2337822840</f>
        <v>2.33782284E9</v>
      </c>
      <c r="N96" s="23"/>
      <c r="O96" s="26" t="n">
        <f>2892072840</f>
        <v>2.89207284E9</v>
      </c>
      <c r="P96" s="27" t="str">
        <f>"－"</f>
        <v>－</v>
      </c>
      <c r="Q96" s="28" t="str">
        <f>"－"</f>
        <v>－</v>
      </c>
      <c r="R96" s="29" t="str">
        <f>"－"</f>
        <v>－</v>
      </c>
      <c r="S96" s="24"/>
      <c r="T96" s="25" t="str">
        <f>"－"</f>
        <v>－</v>
      </c>
      <c r="U96" s="23" t="s">
        <v>32</v>
      </c>
      <c r="V96" s="25" t="n">
        <f>1740</f>
        <v>1740.0</v>
      </c>
      <c r="W96" s="23"/>
      <c r="X96" s="26" t="n">
        <f>1740</f>
        <v>1740.0</v>
      </c>
      <c r="Y96" s="24"/>
      <c r="Z96" s="25" t="n">
        <f>103084</f>
        <v>103084.0</v>
      </c>
      <c r="AA96" s="23"/>
      <c r="AB96" s="25" t="n">
        <f>73881</f>
        <v>73881.0</v>
      </c>
      <c r="AC96" s="23"/>
      <c r="AD96" s="26" t="n">
        <f>176965</f>
        <v>176965.0</v>
      </c>
    </row>
    <row r="97">
      <c r="A97" s="30" t="s">
        <v>55</v>
      </c>
      <c r="B97" s="22" t="s">
        <v>63</v>
      </c>
      <c r="C97" s="22" t="s">
        <v>64</v>
      </c>
      <c r="D97" s="24"/>
      <c r="E97" s="25" t="n">
        <f>1575</f>
        <v>1575.0</v>
      </c>
      <c r="F97" s="23"/>
      <c r="G97" s="25" t="n">
        <f>374</f>
        <v>374.0</v>
      </c>
      <c r="H97" s="23"/>
      <c r="I97" s="26" t="n">
        <f>1949</f>
        <v>1949.0</v>
      </c>
      <c r="J97" s="24"/>
      <c r="K97" s="25" t="n">
        <f>768325000</f>
        <v>7.68325E8</v>
      </c>
      <c r="L97" s="23"/>
      <c r="M97" s="25" t="n">
        <f>351449000</f>
        <v>3.51449E8</v>
      </c>
      <c r="N97" s="23"/>
      <c r="O97" s="26" t="n">
        <f>1119774000</f>
        <v>1.119774E9</v>
      </c>
      <c r="P97" s="27" t="str">
        <f>"－"</f>
        <v>－</v>
      </c>
      <c r="Q97" s="28" t="str">
        <f>"－"</f>
        <v>－</v>
      </c>
      <c r="R97" s="29" t="str">
        <f>"－"</f>
        <v>－</v>
      </c>
      <c r="S97" s="24"/>
      <c r="T97" s="25" t="str">
        <f>"－"</f>
        <v>－</v>
      </c>
      <c r="U97" s="23"/>
      <c r="V97" s="25" t="str">
        <f>"－"</f>
        <v>－</v>
      </c>
      <c r="W97" s="23" t="s">
        <v>37</v>
      </c>
      <c r="X97" s="26" t="str">
        <f>"－"</f>
        <v>－</v>
      </c>
      <c r="Y97" s="24"/>
      <c r="Z97" s="25" t="n">
        <f>104109</f>
        <v>104109.0</v>
      </c>
      <c r="AA97" s="23"/>
      <c r="AB97" s="25" t="n">
        <f>74081</f>
        <v>74081.0</v>
      </c>
      <c r="AC97" s="23"/>
      <c r="AD97" s="26" t="n">
        <f>178190</f>
        <v>178190.0</v>
      </c>
    </row>
    <row r="98">
      <c r="A98" s="30" t="s">
        <v>56</v>
      </c>
      <c r="B98" s="22" t="s">
        <v>63</v>
      </c>
      <c r="C98" s="22" t="s">
        <v>64</v>
      </c>
      <c r="D98" s="24" t="s">
        <v>32</v>
      </c>
      <c r="E98" s="25" t="n">
        <f>7527</f>
        <v>7527.0</v>
      </c>
      <c r="F98" s="23"/>
      <c r="G98" s="25" t="n">
        <f>2726</f>
        <v>2726.0</v>
      </c>
      <c r="H98" s="23" t="s">
        <v>32</v>
      </c>
      <c r="I98" s="26" t="n">
        <f>10253</f>
        <v>10253.0</v>
      </c>
      <c r="J98" s="24" t="s">
        <v>32</v>
      </c>
      <c r="K98" s="25" t="n">
        <f>4011485700</f>
        <v>4.0114857E9</v>
      </c>
      <c r="L98" s="23"/>
      <c r="M98" s="25" t="n">
        <f>2474084100</f>
        <v>2.4740841E9</v>
      </c>
      <c r="N98" s="23"/>
      <c r="O98" s="26" t="n">
        <f>6485569800</f>
        <v>6.4855698E9</v>
      </c>
      <c r="P98" s="27" t="str">
        <f>"－"</f>
        <v>－</v>
      </c>
      <c r="Q98" s="28" t="str">
        <f>"－"</f>
        <v>－</v>
      </c>
      <c r="R98" s="29" t="str">
        <f>"－"</f>
        <v>－</v>
      </c>
      <c r="S98" s="24" t="s">
        <v>32</v>
      </c>
      <c r="T98" s="25" t="n">
        <f>5177</f>
        <v>5177.0</v>
      </c>
      <c r="U98" s="23"/>
      <c r="V98" s="25" t="n">
        <f>976</f>
        <v>976.0</v>
      </c>
      <c r="W98" s="23" t="s">
        <v>32</v>
      </c>
      <c r="X98" s="26" t="n">
        <f>6153</f>
        <v>6153.0</v>
      </c>
      <c r="Y98" s="24"/>
      <c r="Z98" s="25" t="n">
        <f>111161</f>
        <v>111161.0</v>
      </c>
      <c r="AA98" s="23"/>
      <c r="AB98" s="25" t="n">
        <f>76807</f>
        <v>76807.0</v>
      </c>
      <c r="AC98" s="23"/>
      <c r="AD98" s="26" t="n">
        <f>187968</f>
        <v>187968.0</v>
      </c>
    </row>
    <row r="99">
      <c r="A99" s="30" t="s">
        <v>57</v>
      </c>
      <c r="B99" s="22" t="s">
        <v>63</v>
      </c>
      <c r="C99" s="22" t="s">
        <v>64</v>
      </c>
      <c r="D99" s="24"/>
      <c r="E99" s="25" t="n">
        <f>4120</f>
        <v>4120.0</v>
      </c>
      <c r="F99" s="23" t="s">
        <v>32</v>
      </c>
      <c r="G99" s="25" t="n">
        <f>5295</f>
        <v>5295.0</v>
      </c>
      <c r="H99" s="23"/>
      <c r="I99" s="26" t="n">
        <f>9415</f>
        <v>9415.0</v>
      </c>
      <c r="J99" s="24"/>
      <c r="K99" s="25" t="n">
        <f>1300151000</f>
        <v>1.300151E9</v>
      </c>
      <c r="L99" s="23"/>
      <c r="M99" s="25" t="n">
        <f>2198476440</f>
        <v>2.19847644E9</v>
      </c>
      <c r="N99" s="23"/>
      <c r="O99" s="26" t="n">
        <f>3498627440</f>
        <v>3.49862744E9</v>
      </c>
      <c r="P99" s="27" t="str">
        <f>"－"</f>
        <v>－</v>
      </c>
      <c r="Q99" s="28" t="str">
        <f>"－"</f>
        <v>－</v>
      </c>
      <c r="R99" s="29" t="str">
        <f>"－"</f>
        <v>－</v>
      </c>
      <c r="S99" s="24"/>
      <c r="T99" s="25" t="str">
        <f>"－"</f>
        <v>－</v>
      </c>
      <c r="U99" s="23"/>
      <c r="V99" s="25" t="n">
        <f>1475</f>
        <v>1475.0</v>
      </c>
      <c r="W99" s="23"/>
      <c r="X99" s="26" t="n">
        <f>1475</f>
        <v>1475.0</v>
      </c>
      <c r="Y99" s="24"/>
      <c r="Z99" s="25" t="n">
        <f>112541</f>
        <v>112541.0</v>
      </c>
      <c r="AA99" s="23"/>
      <c r="AB99" s="25" t="n">
        <f>79562</f>
        <v>79562.0</v>
      </c>
      <c r="AC99" s="23"/>
      <c r="AD99" s="26" t="n">
        <f>192103</f>
        <v>192103.0</v>
      </c>
    </row>
    <row r="100">
      <c r="A100" s="30" t="s">
        <v>58</v>
      </c>
      <c r="B100" s="22" t="s">
        <v>63</v>
      </c>
      <c r="C100" s="22" t="s">
        <v>64</v>
      </c>
      <c r="D100" s="24" t="s">
        <v>37</v>
      </c>
      <c r="E100" s="25" t="n">
        <f>50</f>
        <v>50.0</v>
      </c>
      <c r="F100" s="23" t="s">
        <v>37</v>
      </c>
      <c r="G100" s="25" t="n">
        <f>50</f>
        <v>50.0</v>
      </c>
      <c r="H100" s="23" t="s">
        <v>37</v>
      </c>
      <c r="I100" s="26" t="n">
        <f>100</f>
        <v>100.0</v>
      </c>
      <c r="J100" s="24" t="s">
        <v>37</v>
      </c>
      <c r="K100" s="25" t="n">
        <f>156500000</f>
        <v>1.565E8</v>
      </c>
      <c r="L100" s="23"/>
      <c r="M100" s="25" t="n">
        <f>155000000</f>
        <v>1.55E8</v>
      </c>
      <c r="N100" s="23" t="s">
        <v>37</v>
      </c>
      <c r="O100" s="26" t="n">
        <f>311500000</f>
        <v>3.115E8</v>
      </c>
      <c r="P100" s="27" t="str">
        <f>"－"</f>
        <v>－</v>
      </c>
      <c r="Q100" s="28" t="str">
        <f>"－"</f>
        <v>－</v>
      </c>
      <c r="R100" s="29" t="str">
        <f>"－"</f>
        <v>－</v>
      </c>
      <c r="S100" s="24"/>
      <c r="T100" s="25" t="str">
        <f>"－"</f>
        <v>－</v>
      </c>
      <c r="U100" s="23"/>
      <c r="V100" s="25" t="str">
        <f>"－"</f>
        <v>－</v>
      </c>
      <c r="W100" s="23"/>
      <c r="X100" s="26" t="str">
        <f>"－"</f>
        <v>－</v>
      </c>
      <c r="Y100" s="24"/>
      <c r="Z100" s="25" t="n">
        <f>112591</f>
        <v>112591.0</v>
      </c>
      <c r="AA100" s="23" t="s">
        <v>32</v>
      </c>
      <c r="AB100" s="25" t="n">
        <f>79612</f>
        <v>79612.0</v>
      </c>
      <c r="AC100" s="23"/>
      <c r="AD100" s="26" t="n">
        <f>192203</f>
        <v>192203.0</v>
      </c>
    </row>
    <row r="101">
      <c r="A101" s="30" t="s">
        <v>59</v>
      </c>
      <c r="B101" s="22" t="s">
        <v>63</v>
      </c>
      <c r="C101" s="22" t="s">
        <v>64</v>
      </c>
      <c r="D101" s="24"/>
      <c r="E101" s="25"/>
      <c r="F101" s="23"/>
      <c r="G101" s="25"/>
      <c r="H101" s="23"/>
      <c r="I101" s="26"/>
      <c r="J101" s="24"/>
      <c r="K101" s="25"/>
      <c r="L101" s="23"/>
      <c r="M101" s="25"/>
      <c r="N101" s="23"/>
      <c r="O101" s="26"/>
      <c r="P101" s="27"/>
      <c r="Q101" s="28"/>
      <c r="R101" s="29"/>
      <c r="S101" s="24"/>
      <c r="T101" s="25"/>
      <c r="U101" s="23"/>
      <c r="V101" s="25"/>
      <c r="W101" s="23"/>
      <c r="X101" s="26"/>
      <c r="Y101" s="24"/>
      <c r="Z101" s="25"/>
      <c r="AA101" s="23"/>
      <c r="AB101" s="25"/>
      <c r="AC101" s="23"/>
      <c r="AD101" s="26"/>
    </row>
    <row r="102">
      <c r="A102" s="30" t="s">
        <v>60</v>
      </c>
      <c r="B102" s="22" t="s">
        <v>63</v>
      </c>
      <c r="C102" s="22" t="s">
        <v>64</v>
      </c>
      <c r="D102" s="24"/>
      <c r="E102" s="25"/>
      <c r="F102" s="23"/>
      <c r="G102" s="25"/>
      <c r="H102" s="23"/>
      <c r="I102" s="26"/>
      <c r="J102" s="24"/>
      <c r="K102" s="25"/>
      <c r="L102" s="23"/>
      <c r="M102" s="25"/>
      <c r="N102" s="23"/>
      <c r="O102" s="26"/>
      <c r="P102" s="27"/>
      <c r="Q102" s="28"/>
      <c r="R102" s="29"/>
      <c r="S102" s="24"/>
      <c r="T102" s="25"/>
      <c r="U102" s="23"/>
      <c r="V102" s="25"/>
      <c r="W102" s="23"/>
      <c r="X102" s="26"/>
      <c r="Y102" s="24"/>
      <c r="Z102" s="25"/>
      <c r="AA102" s="23"/>
      <c r="AB102" s="25"/>
      <c r="AC102" s="23"/>
      <c r="AD102" s="26"/>
    </row>
    <row r="103">
      <c r="A103" s="30" t="s">
        <v>26</v>
      </c>
      <c r="B103" s="22" t="s">
        <v>65</v>
      </c>
      <c r="C103" s="22" t="s">
        <v>66</v>
      </c>
      <c r="D103" s="24" t="s">
        <v>67</v>
      </c>
      <c r="E103" s="25" t="str">
        <f>"－"</f>
        <v>－</v>
      </c>
      <c r="F103" s="23" t="s">
        <v>67</v>
      </c>
      <c r="G103" s="25" t="str">
        <f>"－"</f>
        <v>－</v>
      </c>
      <c r="H103" s="23" t="s">
        <v>67</v>
      </c>
      <c r="I103" s="26" t="str">
        <f>"－"</f>
        <v>－</v>
      </c>
      <c r="J103" s="24" t="s">
        <v>67</v>
      </c>
      <c r="K103" s="25" t="str">
        <f>"－"</f>
        <v>－</v>
      </c>
      <c r="L103" s="23" t="s">
        <v>67</v>
      </c>
      <c r="M103" s="25" t="str">
        <f>"－"</f>
        <v>－</v>
      </c>
      <c r="N103" s="23" t="s">
        <v>67</v>
      </c>
      <c r="O103" s="26" t="str">
        <f>"－"</f>
        <v>－</v>
      </c>
      <c r="P103" s="27" t="str">
        <f>"－"</f>
        <v>－</v>
      </c>
      <c r="Q103" s="28" t="str">
        <f>"－"</f>
        <v>－</v>
      </c>
      <c r="R103" s="29" t="str">
        <f>"－"</f>
        <v>－</v>
      </c>
      <c r="S103" s="24" t="s">
        <v>67</v>
      </c>
      <c r="T103" s="25" t="str">
        <f>"－"</f>
        <v>－</v>
      </c>
      <c r="U103" s="23" t="s">
        <v>67</v>
      </c>
      <c r="V103" s="25" t="str">
        <f>"－"</f>
        <v>－</v>
      </c>
      <c r="W103" s="23" t="s">
        <v>67</v>
      </c>
      <c r="X103" s="26" t="str">
        <f>"－"</f>
        <v>－</v>
      </c>
      <c r="Y103" s="24" t="s">
        <v>67</v>
      </c>
      <c r="Z103" s="25" t="str">
        <f>"－"</f>
        <v>－</v>
      </c>
      <c r="AA103" s="23" t="s">
        <v>67</v>
      </c>
      <c r="AB103" s="25" t="str">
        <f>"－"</f>
        <v>－</v>
      </c>
      <c r="AC103" s="23" t="s">
        <v>67</v>
      </c>
      <c r="AD103" s="26" t="str">
        <f>"－"</f>
        <v>－</v>
      </c>
    </row>
    <row r="104">
      <c r="A104" s="30" t="s">
        <v>29</v>
      </c>
      <c r="B104" s="22" t="s">
        <v>65</v>
      </c>
      <c r="C104" s="22" t="s">
        <v>66</v>
      </c>
      <c r="D104" s="24"/>
      <c r="E104" s="25"/>
      <c r="F104" s="23"/>
      <c r="G104" s="25"/>
      <c r="H104" s="23"/>
      <c r="I104" s="26"/>
      <c r="J104" s="24"/>
      <c r="K104" s="25"/>
      <c r="L104" s="23"/>
      <c r="M104" s="25"/>
      <c r="N104" s="23"/>
      <c r="O104" s="26"/>
      <c r="P104" s="27"/>
      <c r="Q104" s="28"/>
      <c r="R104" s="29"/>
      <c r="S104" s="24"/>
      <c r="T104" s="25"/>
      <c r="U104" s="23"/>
      <c r="V104" s="25"/>
      <c r="W104" s="23"/>
      <c r="X104" s="26"/>
      <c r="Y104" s="24"/>
      <c r="Z104" s="25"/>
      <c r="AA104" s="23"/>
      <c r="AB104" s="25"/>
      <c r="AC104" s="23"/>
      <c r="AD104" s="26"/>
    </row>
    <row r="105">
      <c r="A105" s="30" t="s">
        <v>30</v>
      </c>
      <c r="B105" s="22" t="s">
        <v>65</v>
      </c>
      <c r="C105" s="22" t="s">
        <v>66</v>
      </c>
      <c r="D105" s="24"/>
      <c r="E105" s="25"/>
      <c r="F105" s="23"/>
      <c r="G105" s="25"/>
      <c r="H105" s="23"/>
      <c r="I105" s="26"/>
      <c r="J105" s="24"/>
      <c r="K105" s="25"/>
      <c r="L105" s="23"/>
      <c r="M105" s="25"/>
      <c r="N105" s="23"/>
      <c r="O105" s="26"/>
      <c r="P105" s="27"/>
      <c r="Q105" s="28"/>
      <c r="R105" s="29"/>
      <c r="S105" s="24"/>
      <c r="T105" s="25"/>
      <c r="U105" s="23"/>
      <c r="V105" s="25"/>
      <c r="W105" s="23"/>
      <c r="X105" s="26"/>
      <c r="Y105" s="24"/>
      <c r="Z105" s="25"/>
      <c r="AA105" s="23"/>
      <c r="AB105" s="25"/>
      <c r="AC105" s="23"/>
      <c r="AD105" s="26"/>
    </row>
    <row r="106">
      <c r="A106" s="30" t="s">
        <v>31</v>
      </c>
      <c r="B106" s="22" t="s">
        <v>65</v>
      </c>
      <c r="C106" s="22" t="s">
        <v>66</v>
      </c>
      <c r="D106" s="24"/>
      <c r="E106" s="25" t="str">
        <f>"－"</f>
        <v>－</v>
      </c>
      <c r="F106" s="23"/>
      <c r="G106" s="25" t="str">
        <f>"－"</f>
        <v>－</v>
      </c>
      <c r="H106" s="23"/>
      <c r="I106" s="26" t="str">
        <f>"－"</f>
        <v>－</v>
      </c>
      <c r="J106" s="24"/>
      <c r="K106" s="25" t="str">
        <f>"－"</f>
        <v>－</v>
      </c>
      <c r="L106" s="23"/>
      <c r="M106" s="25" t="str">
        <f>"－"</f>
        <v>－</v>
      </c>
      <c r="N106" s="23"/>
      <c r="O106" s="26" t="str">
        <f>"－"</f>
        <v>－</v>
      </c>
      <c r="P106" s="27" t="str">
        <f>"－"</f>
        <v>－</v>
      </c>
      <c r="Q106" s="28" t="str">
        <f>"－"</f>
        <v>－</v>
      </c>
      <c r="R106" s="29" t="str">
        <f>"－"</f>
        <v>－</v>
      </c>
      <c r="S106" s="24"/>
      <c r="T106" s="25" t="str">
        <f>"－"</f>
        <v>－</v>
      </c>
      <c r="U106" s="23"/>
      <c r="V106" s="25" t="str">
        <f>"－"</f>
        <v>－</v>
      </c>
      <c r="W106" s="23"/>
      <c r="X106" s="26" t="str">
        <f>"－"</f>
        <v>－</v>
      </c>
      <c r="Y106" s="24"/>
      <c r="Z106" s="25" t="str">
        <f>"－"</f>
        <v>－</v>
      </c>
      <c r="AA106" s="23"/>
      <c r="AB106" s="25" t="str">
        <f>"－"</f>
        <v>－</v>
      </c>
      <c r="AC106" s="23"/>
      <c r="AD106" s="26" t="str">
        <f>"－"</f>
        <v>－</v>
      </c>
    </row>
    <row r="107">
      <c r="A107" s="30" t="s">
        <v>33</v>
      </c>
      <c r="B107" s="22" t="s">
        <v>65</v>
      </c>
      <c r="C107" s="22" t="s">
        <v>66</v>
      </c>
      <c r="D107" s="24"/>
      <c r="E107" s="25" t="str">
        <f>"－"</f>
        <v>－</v>
      </c>
      <c r="F107" s="23"/>
      <c r="G107" s="25" t="str">
        <f>"－"</f>
        <v>－</v>
      </c>
      <c r="H107" s="23"/>
      <c r="I107" s="26" t="str">
        <f>"－"</f>
        <v>－</v>
      </c>
      <c r="J107" s="24"/>
      <c r="K107" s="25" t="str">
        <f>"－"</f>
        <v>－</v>
      </c>
      <c r="L107" s="23"/>
      <c r="M107" s="25" t="str">
        <f>"－"</f>
        <v>－</v>
      </c>
      <c r="N107" s="23"/>
      <c r="O107" s="26" t="str">
        <f>"－"</f>
        <v>－</v>
      </c>
      <c r="P107" s="27" t="str">
        <f>"－"</f>
        <v>－</v>
      </c>
      <c r="Q107" s="28" t="str">
        <f>"－"</f>
        <v>－</v>
      </c>
      <c r="R107" s="29" t="str">
        <f>"－"</f>
        <v>－</v>
      </c>
      <c r="S107" s="24"/>
      <c r="T107" s="25" t="str">
        <f>"－"</f>
        <v>－</v>
      </c>
      <c r="U107" s="23"/>
      <c r="V107" s="25" t="str">
        <f>"－"</f>
        <v>－</v>
      </c>
      <c r="W107" s="23"/>
      <c r="X107" s="26" t="str">
        <f>"－"</f>
        <v>－</v>
      </c>
      <c r="Y107" s="24"/>
      <c r="Z107" s="25" t="str">
        <f>"－"</f>
        <v>－</v>
      </c>
      <c r="AA107" s="23"/>
      <c r="AB107" s="25" t="str">
        <f>"－"</f>
        <v>－</v>
      </c>
      <c r="AC107" s="23"/>
      <c r="AD107" s="26" t="str">
        <f>"－"</f>
        <v>－</v>
      </c>
    </row>
    <row r="108">
      <c r="A108" s="30" t="s">
        <v>34</v>
      </c>
      <c r="B108" s="22" t="s">
        <v>65</v>
      </c>
      <c r="C108" s="22" t="s">
        <v>66</v>
      </c>
      <c r="D108" s="24"/>
      <c r="E108" s="25" t="str">
        <f>"－"</f>
        <v>－</v>
      </c>
      <c r="F108" s="23"/>
      <c r="G108" s="25" t="str">
        <f>"－"</f>
        <v>－</v>
      </c>
      <c r="H108" s="23"/>
      <c r="I108" s="26" t="str">
        <f>"－"</f>
        <v>－</v>
      </c>
      <c r="J108" s="24"/>
      <c r="K108" s="25" t="str">
        <f>"－"</f>
        <v>－</v>
      </c>
      <c r="L108" s="23"/>
      <c r="M108" s="25" t="str">
        <f>"－"</f>
        <v>－</v>
      </c>
      <c r="N108" s="23"/>
      <c r="O108" s="26" t="str">
        <f>"－"</f>
        <v>－</v>
      </c>
      <c r="P108" s="27" t="str">
        <f>"－"</f>
        <v>－</v>
      </c>
      <c r="Q108" s="28" t="str">
        <f>"－"</f>
        <v>－</v>
      </c>
      <c r="R108" s="29" t="str">
        <f>"－"</f>
        <v>－</v>
      </c>
      <c r="S108" s="24"/>
      <c r="T108" s="25" t="str">
        <f>"－"</f>
        <v>－</v>
      </c>
      <c r="U108" s="23"/>
      <c r="V108" s="25" t="str">
        <f>"－"</f>
        <v>－</v>
      </c>
      <c r="W108" s="23"/>
      <c r="X108" s="26" t="str">
        <f>"－"</f>
        <v>－</v>
      </c>
      <c r="Y108" s="24"/>
      <c r="Z108" s="25" t="str">
        <f>"－"</f>
        <v>－</v>
      </c>
      <c r="AA108" s="23"/>
      <c r="AB108" s="25" t="str">
        <f>"－"</f>
        <v>－</v>
      </c>
      <c r="AC108" s="23"/>
      <c r="AD108" s="26" t="str">
        <f>"－"</f>
        <v>－</v>
      </c>
    </row>
    <row r="109">
      <c r="A109" s="30" t="s">
        <v>35</v>
      </c>
      <c r="B109" s="22" t="s">
        <v>65</v>
      </c>
      <c r="C109" s="22" t="s">
        <v>66</v>
      </c>
      <c r="D109" s="24"/>
      <c r="E109" s="25" t="str">
        <f>"－"</f>
        <v>－</v>
      </c>
      <c r="F109" s="23"/>
      <c r="G109" s="25" t="str">
        <f>"－"</f>
        <v>－</v>
      </c>
      <c r="H109" s="23"/>
      <c r="I109" s="26" t="str">
        <f>"－"</f>
        <v>－</v>
      </c>
      <c r="J109" s="24"/>
      <c r="K109" s="25" t="str">
        <f>"－"</f>
        <v>－</v>
      </c>
      <c r="L109" s="23"/>
      <c r="M109" s="25" t="str">
        <f>"－"</f>
        <v>－</v>
      </c>
      <c r="N109" s="23"/>
      <c r="O109" s="26" t="str">
        <f>"－"</f>
        <v>－</v>
      </c>
      <c r="P109" s="27" t="str">
        <f>"－"</f>
        <v>－</v>
      </c>
      <c r="Q109" s="28" t="str">
        <f>"－"</f>
        <v>－</v>
      </c>
      <c r="R109" s="29" t="str">
        <f>"－"</f>
        <v>－</v>
      </c>
      <c r="S109" s="24"/>
      <c r="T109" s="25" t="str">
        <f>"－"</f>
        <v>－</v>
      </c>
      <c r="U109" s="23"/>
      <c r="V109" s="25" t="str">
        <f>"－"</f>
        <v>－</v>
      </c>
      <c r="W109" s="23"/>
      <c r="X109" s="26" t="str">
        <f>"－"</f>
        <v>－</v>
      </c>
      <c r="Y109" s="24"/>
      <c r="Z109" s="25" t="str">
        <f>"－"</f>
        <v>－</v>
      </c>
      <c r="AA109" s="23"/>
      <c r="AB109" s="25" t="str">
        <f>"－"</f>
        <v>－</v>
      </c>
      <c r="AC109" s="23"/>
      <c r="AD109" s="26" t="str">
        <f>"－"</f>
        <v>－</v>
      </c>
    </row>
    <row r="110">
      <c r="A110" s="30" t="s">
        <v>36</v>
      </c>
      <c r="B110" s="22" t="s">
        <v>65</v>
      </c>
      <c r="C110" s="22" t="s">
        <v>66</v>
      </c>
      <c r="D110" s="24"/>
      <c r="E110" s="25" t="str">
        <f>"－"</f>
        <v>－</v>
      </c>
      <c r="F110" s="23"/>
      <c r="G110" s="25" t="str">
        <f>"－"</f>
        <v>－</v>
      </c>
      <c r="H110" s="23"/>
      <c r="I110" s="26" t="str">
        <f>"－"</f>
        <v>－</v>
      </c>
      <c r="J110" s="24"/>
      <c r="K110" s="25" t="str">
        <f>"－"</f>
        <v>－</v>
      </c>
      <c r="L110" s="23"/>
      <c r="M110" s="25" t="str">
        <f>"－"</f>
        <v>－</v>
      </c>
      <c r="N110" s="23"/>
      <c r="O110" s="26" t="str">
        <f>"－"</f>
        <v>－</v>
      </c>
      <c r="P110" s="27" t="str">
        <f>"－"</f>
        <v>－</v>
      </c>
      <c r="Q110" s="28" t="str">
        <f>"－"</f>
        <v>－</v>
      </c>
      <c r="R110" s="29" t="str">
        <f>"－"</f>
        <v>－</v>
      </c>
      <c r="S110" s="24"/>
      <c r="T110" s="25" t="str">
        <f>"－"</f>
        <v>－</v>
      </c>
      <c r="U110" s="23"/>
      <c r="V110" s="25" t="str">
        <f>"－"</f>
        <v>－</v>
      </c>
      <c r="W110" s="23"/>
      <c r="X110" s="26" t="str">
        <f>"－"</f>
        <v>－</v>
      </c>
      <c r="Y110" s="24"/>
      <c r="Z110" s="25" t="str">
        <f>"－"</f>
        <v>－</v>
      </c>
      <c r="AA110" s="23"/>
      <c r="AB110" s="25" t="str">
        <f>"－"</f>
        <v>－</v>
      </c>
      <c r="AC110" s="23"/>
      <c r="AD110" s="26" t="str">
        <f>"－"</f>
        <v>－</v>
      </c>
    </row>
    <row r="111">
      <c r="A111" s="30" t="s">
        <v>38</v>
      </c>
      <c r="B111" s="22" t="s">
        <v>65</v>
      </c>
      <c r="C111" s="22" t="s">
        <v>66</v>
      </c>
      <c r="D111" s="24"/>
      <c r="E111" s="25"/>
      <c r="F111" s="23"/>
      <c r="G111" s="25"/>
      <c r="H111" s="23"/>
      <c r="I111" s="26"/>
      <c r="J111" s="24"/>
      <c r="K111" s="25"/>
      <c r="L111" s="23"/>
      <c r="M111" s="25"/>
      <c r="N111" s="23"/>
      <c r="O111" s="26"/>
      <c r="P111" s="27"/>
      <c r="Q111" s="28"/>
      <c r="R111" s="29"/>
      <c r="S111" s="24"/>
      <c r="T111" s="25"/>
      <c r="U111" s="23"/>
      <c r="V111" s="25"/>
      <c r="W111" s="23"/>
      <c r="X111" s="26"/>
      <c r="Y111" s="24"/>
      <c r="Z111" s="25"/>
      <c r="AA111" s="23"/>
      <c r="AB111" s="25"/>
      <c r="AC111" s="23"/>
      <c r="AD111" s="26"/>
    </row>
    <row r="112">
      <c r="A112" s="30" t="s">
        <v>39</v>
      </c>
      <c r="B112" s="22" t="s">
        <v>65</v>
      </c>
      <c r="C112" s="22" t="s">
        <v>66</v>
      </c>
      <c r="D112" s="24"/>
      <c r="E112" s="25"/>
      <c r="F112" s="23"/>
      <c r="G112" s="25"/>
      <c r="H112" s="23"/>
      <c r="I112" s="26"/>
      <c r="J112" s="24"/>
      <c r="K112" s="25"/>
      <c r="L112" s="23"/>
      <c r="M112" s="25"/>
      <c r="N112" s="23"/>
      <c r="O112" s="26"/>
      <c r="P112" s="27"/>
      <c r="Q112" s="28"/>
      <c r="R112" s="29"/>
      <c r="S112" s="24"/>
      <c r="T112" s="25"/>
      <c r="U112" s="23"/>
      <c r="V112" s="25"/>
      <c r="W112" s="23"/>
      <c r="X112" s="26"/>
      <c r="Y112" s="24"/>
      <c r="Z112" s="25"/>
      <c r="AA112" s="23"/>
      <c r="AB112" s="25"/>
      <c r="AC112" s="23"/>
      <c r="AD112" s="26"/>
    </row>
    <row r="113">
      <c r="A113" s="30" t="s">
        <v>40</v>
      </c>
      <c r="B113" s="22" t="s">
        <v>65</v>
      </c>
      <c r="C113" s="22" t="s">
        <v>66</v>
      </c>
      <c r="D113" s="24"/>
      <c r="E113" s="25" t="str">
        <f>"－"</f>
        <v>－</v>
      </c>
      <c r="F113" s="23"/>
      <c r="G113" s="25" t="str">
        <f>"－"</f>
        <v>－</v>
      </c>
      <c r="H113" s="23"/>
      <c r="I113" s="26" t="str">
        <f>"－"</f>
        <v>－</v>
      </c>
      <c r="J113" s="24"/>
      <c r="K113" s="25" t="str">
        <f>"－"</f>
        <v>－</v>
      </c>
      <c r="L113" s="23"/>
      <c r="M113" s="25" t="str">
        <f>"－"</f>
        <v>－</v>
      </c>
      <c r="N113" s="23"/>
      <c r="O113" s="26" t="str">
        <f>"－"</f>
        <v>－</v>
      </c>
      <c r="P113" s="27" t="str">
        <f>"－"</f>
        <v>－</v>
      </c>
      <c r="Q113" s="28" t="str">
        <f>"－"</f>
        <v>－</v>
      </c>
      <c r="R113" s="29" t="str">
        <f>"－"</f>
        <v>－</v>
      </c>
      <c r="S113" s="24"/>
      <c r="T113" s="25" t="str">
        <f>"－"</f>
        <v>－</v>
      </c>
      <c r="U113" s="23"/>
      <c r="V113" s="25" t="str">
        <f>"－"</f>
        <v>－</v>
      </c>
      <c r="W113" s="23"/>
      <c r="X113" s="26" t="str">
        <f>"－"</f>
        <v>－</v>
      </c>
      <c r="Y113" s="24"/>
      <c r="Z113" s="25" t="str">
        <f>"－"</f>
        <v>－</v>
      </c>
      <c r="AA113" s="23"/>
      <c r="AB113" s="25" t="str">
        <f>"－"</f>
        <v>－</v>
      </c>
      <c r="AC113" s="23"/>
      <c r="AD113" s="26" t="str">
        <f>"－"</f>
        <v>－</v>
      </c>
    </row>
    <row r="114">
      <c r="A114" s="30" t="s">
        <v>41</v>
      </c>
      <c r="B114" s="22" t="s">
        <v>65</v>
      </c>
      <c r="C114" s="22" t="s">
        <v>66</v>
      </c>
      <c r="D114" s="24"/>
      <c r="E114" s="25" t="str">
        <f>"－"</f>
        <v>－</v>
      </c>
      <c r="F114" s="23"/>
      <c r="G114" s="25" t="str">
        <f>"－"</f>
        <v>－</v>
      </c>
      <c r="H114" s="23"/>
      <c r="I114" s="26" t="str">
        <f>"－"</f>
        <v>－</v>
      </c>
      <c r="J114" s="24"/>
      <c r="K114" s="25" t="str">
        <f>"－"</f>
        <v>－</v>
      </c>
      <c r="L114" s="23"/>
      <c r="M114" s="25" t="str">
        <f>"－"</f>
        <v>－</v>
      </c>
      <c r="N114" s="23"/>
      <c r="O114" s="26" t="str">
        <f>"－"</f>
        <v>－</v>
      </c>
      <c r="P114" s="27" t="str">
        <f>"－"</f>
        <v>－</v>
      </c>
      <c r="Q114" s="28" t="str">
        <f>"－"</f>
        <v>－</v>
      </c>
      <c r="R114" s="29" t="str">
        <f>"－"</f>
        <v>－</v>
      </c>
      <c r="S114" s="24"/>
      <c r="T114" s="25" t="str">
        <f>"－"</f>
        <v>－</v>
      </c>
      <c r="U114" s="23"/>
      <c r="V114" s="25" t="str">
        <f>"－"</f>
        <v>－</v>
      </c>
      <c r="W114" s="23"/>
      <c r="X114" s="26" t="str">
        <f>"－"</f>
        <v>－</v>
      </c>
      <c r="Y114" s="24"/>
      <c r="Z114" s="25" t="str">
        <f>"－"</f>
        <v>－</v>
      </c>
      <c r="AA114" s="23"/>
      <c r="AB114" s="25" t="str">
        <f>"－"</f>
        <v>－</v>
      </c>
      <c r="AC114" s="23"/>
      <c r="AD114" s="26" t="str">
        <f>"－"</f>
        <v>－</v>
      </c>
    </row>
    <row r="115">
      <c r="A115" s="30" t="s">
        <v>42</v>
      </c>
      <c r="B115" s="22" t="s">
        <v>65</v>
      </c>
      <c r="C115" s="22" t="s">
        <v>66</v>
      </c>
      <c r="D115" s="24"/>
      <c r="E115" s="25" t="str">
        <f>"－"</f>
        <v>－</v>
      </c>
      <c r="F115" s="23"/>
      <c r="G115" s="25" t="str">
        <f>"－"</f>
        <v>－</v>
      </c>
      <c r="H115" s="23"/>
      <c r="I115" s="26" t="str">
        <f>"－"</f>
        <v>－</v>
      </c>
      <c r="J115" s="24"/>
      <c r="K115" s="25" t="str">
        <f>"－"</f>
        <v>－</v>
      </c>
      <c r="L115" s="23"/>
      <c r="M115" s="25" t="str">
        <f>"－"</f>
        <v>－</v>
      </c>
      <c r="N115" s="23"/>
      <c r="O115" s="26" t="str">
        <f>"－"</f>
        <v>－</v>
      </c>
      <c r="P115" s="27" t="str">
        <f>"－"</f>
        <v>－</v>
      </c>
      <c r="Q115" s="28" t="str">
        <f>"－"</f>
        <v>－</v>
      </c>
      <c r="R115" s="29" t="str">
        <f>"－"</f>
        <v>－</v>
      </c>
      <c r="S115" s="24"/>
      <c r="T115" s="25" t="str">
        <f>"－"</f>
        <v>－</v>
      </c>
      <c r="U115" s="23"/>
      <c r="V115" s="25" t="str">
        <f>"－"</f>
        <v>－</v>
      </c>
      <c r="W115" s="23"/>
      <c r="X115" s="26" t="str">
        <f>"－"</f>
        <v>－</v>
      </c>
      <c r="Y115" s="24"/>
      <c r="Z115" s="25" t="str">
        <f>"－"</f>
        <v>－</v>
      </c>
      <c r="AA115" s="23"/>
      <c r="AB115" s="25" t="str">
        <f>"－"</f>
        <v>－</v>
      </c>
      <c r="AC115" s="23"/>
      <c r="AD115" s="26" t="str">
        <f>"－"</f>
        <v>－</v>
      </c>
    </row>
    <row r="116">
      <c r="A116" s="30" t="s">
        <v>43</v>
      </c>
      <c r="B116" s="22" t="s">
        <v>65</v>
      </c>
      <c r="C116" s="22" t="s">
        <v>66</v>
      </c>
      <c r="D116" s="24"/>
      <c r="E116" s="25" t="str">
        <f>"－"</f>
        <v>－</v>
      </c>
      <c r="F116" s="23"/>
      <c r="G116" s="25" t="str">
        <f>"－"</f>
        <v>－</v>
      </c>
      <c r="H116" s="23"/>
      <c r="I116" s="26" t="str">
        <f>"－"</f>
        <v>－</v>
      </c>
      <c r="J116" s="24"/>
      <c r="K116" s="25" t="str">
        <f>"－"</f>
        <v>－</v>
      </c>
      <c r="L116" s="23"/>
      <c r="M116" s="25" t="str">
        <f>"－"</f>
        <v>－</v>
      </c>
      <c r="N116" s="23"/>
      <c r="O116" s="26" t="str">
        <f>"－"</f>
        <v>－</v>
      </c>
      <c r="P116" s="27" t="str">
        <f>"－"</f>
        <v>－</v>
      </c>
      <c r="Q116" s="28" t="str">
        <f>"－"</f>
        <v>－</v>
      </c>
      <c r="R116" s="29" t="str">
        <f>"－"</f>
        <v>－</v>
      </c>
      <c r="S116" s="24"/>
      <c r="T116" s="25" t="str">
        <f>"－"</f>
        <v>－</v>
      </c>
      <c r="U116" s="23"/>
      <c r="V116" s="25" t="str">
        <f>"－"</f>
        <v>－</v>
      </c>
      <c r="W116" s="23"/>
      <c r="X116" s="26" t="str">
        <f>"－"</f>
        <v>－</v>
      </c>
      <c r="Y116" s="24"/>
      <c r="Z116" s="25" t="str">
        <f>"－"</f>
        <v>－</v>
      </c>
      <c r="AA116" s="23"/>
      <c r="AB116" s="25" t="str">
        <f>"－"</f>
        <v>－</v>
      </c>
      <c r="AC116" s="23"/>
      <c r="AD116" s="26" t="str">
        <f>"－"</f>
        <v>－</v>
      </c>
    </row>
    <row r="117">
      <c r="A117" s="30" t="s">
        <v>44</v>
      </c>
      <c r="B117" s="22" t="s">
        <v>65</v>
      </c>
      <c r="C117" s="22" t="s">
        <v>66</v>
      </c>
      <c r="D117" s="24"/>
      <c r="E117" s="25" t="str">
        <f>"－"</f>
        <v>－</v>
      </c>
      <c r="F117" s="23"/>
      <c r="G117" s="25" t="str">
        <f>"－"</f>
        <v>－</v>
      </c>
      <c r="H117" s="23"/>
      <c r="I117" s="26" t="str">
        <f>"－"</f>
        <v>－</v>
      </c>
      <c r="J117" s="24"/>
      <c r="K117" s="25" t="str">
        <f>"－"</f>
        <v>－</v>
      </c>
      <c r="L117" s="23"/>
      <c r="M117" s="25" t="str">
        <f>"－"</f>
        <v>－</v>
      </c>
      <c r="N117" s="23"/>
      <c r="O117" s="26" t="str">
        <f>"－"</f>
        <v>－</v>
      </c>
      <c r="P117" s="27" t="str">
        <f>"－"</f>
        <v>－</v>
      </c>
      <c r="Q117" s="28" t="str">
        <f>"－"</f>
        <v>－</v>
      </c>
      <c r="R117" s="29" t="str">
        <f>"－"</f>
        <v>－</v>
      </c>
      <c r="S117" s="24"/>
      <c r="T117" s="25" t="str">
        <f>"－"</f>
        <v>－</v>
      </c>
      <c r="U117" s="23"/>
      <c r="V117" s="25" t="str">
        <f>"－"</f>
        <v>－</v>
      </c>
      <c r="W117" s="23"/>
      <c r="X117" s="26" t="str">
        <f>"－"</f>
        <v>－</v>
      </c>
      <c r="Y117" s="24"/>
      <c r="Z117" s="25" t="str">
        <f>"－"</f>
        <v>－</v>
      </c>
      <c r="AA117" s="23"/>
      <c r="AB117" s="25" t="str">
        <f>"－"</f>
        <v>－</v>
      </c>
      <c r="AC117" s="23"/>
      <c r="AD117" s="26" t="str">
        <f>"－"</f>
        <v>－</v>
      </c>
    </row>
    <row r="118">
      <c r="A118" s="30" t="s">
        <v>45</v>
      </c>
      <c r="B118" s="22" t="s">
        <v>65</v>
      </c>
      <c r="C118" s="22" t="s">
        <v>66</v>
      </c>
      <c r="D118" s="24"/>
      <c r="E118" s="25"/>
      <c r="F118" s="23"/>
      <c r="G118" s="25"/>
      <c r="H118" s="23"/>
      <c r="I118" s="26"/>
      <c r="J118" s="24"/>
      <c r="K118" s="25"/>
      <c r="L118" s="23"/>
      <c r="M118" s="25"/>
      <c r="N118" s="23"/>
      <c r="O118" s="26"/>
      <c r="P118" s="27"/>
      <c r="Q118" s="28"/>
      <c r="R118" s="29"/>
      <c r="S118" s="24"/>
      <c r="T118" s="25"/>
      <c r="U118" s="23"/>
      <c r="V118" s="25"/>
      <c r="W118" s="23"/>
      <c r="X118" s="26"/>
      <c r="Y118" s="24"/>
      <c r="Z118" s="25"/>
      <c r="AA118" s="23"/>
      <c r="AB118" s="25"/>
      <c r="AC118" s="23"/>
      <c r="AD118" s="26"/>
    </row>
    <row r="119">
      <c r="A119" s="30" t="s">
        <v>46</v>
      </c>
      <c r="B119" s="22" t="s">
        <v>65</v>
      </c>
      <c r="C119" s="22" t="s">
        <v>66</v>
      </c>
      <c r="D119" s="24"/>
      <c r="E119" s="25"/>
      <c r="F119" s="23"/>
      <c r="G119" s="25"/>
      <c r="H119" s="23"/>
      <c r="I119" s="26"/>
      <c r="J119" s="24"/>
      <c r="K119" s="25"/>
      <c r="L119" s="23"/>
      <c r="M119" s="25"/>
      <c r="N119" s="23"/>
      <c r="O119" s="26"/>
      <c r="P119" s="27"/>
      <c r="Q119" s="28"/>
      <c r="R119" s="29"/>
      <c r="S119" s="24"/>
      <c r="T119" s="25"/>
      <c r="U119" s="23"/>
      <c r="V119" s="25"/>
      <c r="W119" s="23"/>
      <c r="X119" s="26"/>
      <c r="Y119" s="24"/>
      <c r="Z119" s="25"/>
      <c r="AA119" s="23"/>
      <c r="AB119" s="25"/>
      <c r="AC119" s="23"/>
      <c r="AD119" s="26"/>
    </row>
    <row r="120">
      <c r="A120" s="30" t="s">
        <v>47</v>
      </c>
      <c r="B120" s="22" t="s">
        <v>65</v>
      </c>
      <c r="C120" s="22" t="s">
        <v>66</v>
      </c>
      <c r="D120" s="24"/>
      <c r="E120" s="25" t="str">
        <f>"－"</f>
        <v>－</v>
      </c>
      <c r="F120" s="23"/>
      <c r="G120" s="25" t="str">
        <f>"－"</f>
        <v>－</v>
      </c>
      <c r="H120" s="23"/>
      <c r="I120" s="26" t="str">
        <f>"－"</f>
        <v>－</v>
      </c>
      <c r="J120" s="24"/>
      <c r="K120" s="25" t="str">
        <f>"－"</f>
        <v>－</v>
      </c>
      <c r="L120" s="23"/>
      <c r="M120" s="25" t="str">
        <f>"－"</f>
        <v>－</v>
      </c>
      <c r="N120" s="23"/>
      <c r="O120" s="26" t="str">
        <f>"－"</f>
        <v>－</v>
      </c>
      <c r="P120" s="27" t="str">
        <f>"－"</f>
        <v>－</v>
      </c>
      <c r="Q120" s="28" t="str">
        <f>"－"</f>
        <v>－</v>
      </c>
      <c r="R120" s="29" t="str">
        <f>"－"</f>
        <v>－</v>
      </c>
      <c r="S120" s="24"/>
      <c r="T120" s="25" t="str">
        <f>"－"</f>
        <v>－</v>
      </c>
      <c r="U120" s="23"/>
      <c r="V120" s="25" t="str">
        <f>"－"</f>
        <v>－</v>
      </c>
      <c r="W120" s="23"/>
      <c r="X120" s="26" t="str">
        <f>"－"</f>
        <v>－</v>
      </c>
      <c r="Y120" s="24"/>
      <c r="Z120" s="25" t="str">
        <f>"－"</f>
        <v>－</v>
      </c>
      <c r="AA120" s="23"/>
      <c r="AB120" s="25" t="str">
        <f>"－"</f>
        <v>－</v>
      </c>
      <c r="AC120" s="23"/>
      <c r="AD120" s="26" t="str">
        <f>"－"</f>
        <v>－</v>
      </c>
    </row>
    <row r="121">
      <c r="A121" s="30" t="s">
        <v>48</v>
      </c>
      <c r="B121" s="22" t="s">
        <v>65</v>
      </c>
      <c r="C121" s="22" t="s">
        <v>66</v>
      </c>
      <c r="D121" s="24"/>
      <c r="E121" s="25" t="str">
        <f>"－"</f>
        <v>－</v>
      </c>
      <c r="F121" s="23"/>
      <c r="G121" s="25" t="str">
        <f>"－"</f>
        <v>－</v>
      </c>
      <c r="H121" s="23"/>
      <c r="I121" s="26" t="str">
        <f>"－"</f>
        <v>－</v>
      </c>
      <c r="J121" s="24"/>
      <c r="K121" s="25" t="str">
        <f>"－"</f>
        <v>－</v>
      </c>
      <c r="L121" s="23"/>
      <c r="M121" s="25" t="str">
        <f>"－"</f>
        <v>－</v>
      </c>
      <c r="N121" s="23"/>
      <c r="O121" s="26" t="str">
        <f>"－"</f>
        <v>－</v>
      </c>
      <c r="P121" s="27" t="str">
        <f>"－"</f>
        <v>－</v>
      </c>
      <c r="Q121" s="28" t="str">
        <f>"－"</f>
        <v>－</v>
      </c>
      <c r="R121" s="29" t="str">
        <f>"－"</f>
        <v>－</v>
      </c>
      <c r="S121" s="24"/>
      <c r="T121" s="25" t="str">
        <f>"－"</f>
        <v>－</v>
      </c>
      <c r="U121" s="23"/>
      <c r="V121" s="25" t="str">
        <f>"－"</f>
        <v>－</v>
      </c>
      <c r="W121" s="23"/>
      <c r="X121" s="26" t="str">
        <f>"－"</f>
        <v>－</v>
      </c>
      <c r="Y121" s="24"/>
      <c r="Z121" s="25" t="str">
        <f>"－"</f>
        <v>－</v>
      </c>
      <c r="AA121" s="23"/>
      <c r="AB121" s="25" t="str">
        <f>"－"</f>
        <v>－</v>
      </c>
      <c r="AC121" s="23"/>
      <c r="AD121" s="26" t="str">
        <f>"－"</f>
        <v>－</v>
      </c>
    </row>
    <row r="122">
      <c r="A122" s="30" t="s">
        <v>49</v>
      </c>
      <c r="B122" s="22" t="s">
        <v>65</v>
      </c>
      <c r="C122" s="22" t="s">
        <v>66</v>
      </c>
      <c r="D122" s="24"/>
      <c r="E122" s="25"/>
      <c r="F122" s="23"/>
      <c r="G122" s="25"/>
      <c r="H122" s="23"/>
      <c r="I122" s="26"/>
      <c r="J122" s="24"/>
      <c r="K122" s="25"/>
      <c r="L122" s="23"/>
      <c r="M122" s="25"/>
      <c r="N122" s="23"/>
      <c r="O122" s="26"/>
      <c r="P122" s="27"/>
      <c r="Q122" s="28"/>
      <c r="R122" s="29"/>
      <c r="S122" s="24"/>
      <c r="T122" s="25"/>
      <c r="U122" s="23"/>
      <c r="V122" s="25"/>
      <c r="W122" s="23"/>
      <c r="X122" s="26"/>
      <c r="Y122" s="24"/>
      <c r="Z122" s="25"/>
      <c r="AA122" s="23"/>
      <c r="AB122" s="25"/>
      <c r="AC122" s="23"/>
      <c r="AD122" s="26"/>
    </row>
    <row r="123">
      <c r="A123" s="30" t="s">
        <v>50</v>
      </c>
      <c r="B123" s="22" t="s">
        <v>65</v>
      </c>
      <c r="C123" s="22" t="s">
        <v>66</v>
      </c>
      <c r="D123" s="24"/>
      <c r="E123" s="25" t="str">
        <f>"－"</f>
        <v>－</v>
      </c>
      <c r="F123" s="23"/>
      <c r="G123" s="25" t="str">
        <f>"－"</f>
        <v>－</v>
      </c>
      <c r="H123" s="23"/>
      <c r="I123" s="26" t="str">
        <f>"－"</f>
        <v>－</v>
      </c>
      <c r="J123" s="24"/>
      <c r="K123" s="25" t="str">
        <f>"－"</f>
        <v>－</v>
      </c>
      <c r="L123" s="23"/>
      <c r="M123" s="25" t="str">
        <f>"－"</f>
        <v>－</v>
      </c>
      <c r="N123" s="23"/>
      <c r="O123" s="26" t="str">
        <f>"－"</f>
        <v>－</v>
      </c>
      <c r="P123" s="27" t="str">
        <f>"－"</f>
        <v>－</v>
      </c>
      <c r="Q123" s="28" t="str">
        <f>"－"</f>
        <v>－</v>
      </c>
      <c r="R123" s="29" t="str">
        <f>"－"</f>
        <v>－</v>
      </c>
      <c r="S123" s="24"/>
      <c r="T123" s="25" t="str">
        <f>"－"</f>
        <v>－</v>
      </c>
      <c r="U123" s="23"/>
      <c r="V123" s="25" t="str">
        <f>"－"</f>
        <v>－</v>
      </c>
      <c r="W123" s="23"/>
      <c r="X123" s="26" t="str">
        <f>"－"</f>
        <v>－</v>
      </c>
      <c r="Y123" s="24"/>
      <c r="Z123" s="25" t="str">
        <f>"－"</f>
        <v>－</v>
      </c>
      <c r="AA123" s="23"/>
      <c r="AB123" s="25" t="str">
        <f>"－"</f>
        <v>－</v>
      </c>
      <c r="AC123" s="23"/>
      <c r="AD123" s="26" t="str">
        <f>"－"</f>
        <v>－</v>
      </c>
    </row>
    <row r="124">
      <c r="A124" s="30" t="s">
        <v>51</v>
      </c>
      <c r="B124" s="22" t="s">
        <v>65</v>
      </c>
      <c r="C124" s="22" t="s">
        <v>66</v>
      </c>
      <c r="D124" s="24"/>
      <c r="E124" s="25" t="str">
        <f>"－"</f>
        <v>－</v>
      </c>
      <c r="F124" s="23"/>
      <c r="G124" s="25" t="str">
        <f>"－"</f>
        <v>－</v>
      </c>
      <c r="H124" s="23"/>
      <c r="I124" s="26" t="str">
        <f>"－"</f>
        <v>－</v>
      </c>
      <c r="J124" s="24"/>
      <c r="K124" s="25" t="str">
        <f>"－"</f>
        <v>－</v>
      </c>
      <c r="L124" s="23"/>
      <c r="M124" s="25" t="str">
        <f>"－"</f>
        <v>－</v>
      </c>
      <c r="N124" s="23"/>
      <c r="O124" s="26" t="str">
        <f>"－"</f>
        <v>－</v>
      </c>
      <c r="P124" s="27" t="str">
        <f>"－"</f>
        <v>－</v>
      </c>
      <c r="Q124" s="28" t="str">
        <f>"－"</f>
        <v>－</v>
      </c>
      <c r="R124" s="29" t="str">
        <f>"－"</f>
        <v>－</v>
      </c>
      <c r="S124" s="24"/>
      <c r="T124" s="25" t="str">
        <f>"－"</f>
        <v>－</v>
      </c>
      <c r="U124" s="23"/>
      <c r="V124" s="25" t="str">
        <f>"－"</f>
        <v>－</v>
      </c>
      <c r="W124" s="23"/>
      <c r="X124" s="26" t="str">
        <f>"－"</f>
        <v>－</v>
      </c>
      <c r="Y124" s="24"/>
      <c r="Z124" s="25" t="str">
        <f>"－"</f>
        <v>－</v>
      </c>
      <c r="AA124" s="23"/>
      <c r="AB124" s="25" t="str">
        <f>"－"</f>
        <v>－</v>
      </c>
      <c r="AC124" s="23"/>
      <c r="AD124" s="26" t="str">
        <f>"－"</f>
        <v>－</v>
      </c>
    </row>
    <row r="125">
      <c r="A125" s="30" t="s">
        <v>52</v>
      </c>
      <c r="B125" s="22" t="s">
        <v>65</v>
      </c>
      <c r="C125" s="22" t="s">
        <v>66</v>
      </c>
      <c r="D125" s="24"/>
      <c r="E125" s="25"/>
      <c r="F125" s="23"/>
      <c r="G125" s="25"/>
      <c r="H125" s="23"/>
      <c r="I125" s="26"/>
      <c r="J125" s="24"/>
      <c r="K125" s="25"/>
      <c r="L125" s="23"/>
      <c r="M125" s="25"/>
      <c r="N125" s="23"/>
      <c r="O125" s="26"/>
      <c r="P125" s="27"/>
      <c r="Q125" s="28"/>
      <c r="R125" s="29"/>
      <c r="S125" s="24"/>
      <c r="T125" s="25"/>
      <c r="U125" s="23"/>
      <c r="V125" s="25"/>
      <c r="W125" s="23"/>
      <c r="X125" s="26"/>
      <c r="Y125" s="24"/>
      <c r="Z125" s="25"/>
      <c r="AA125" s="23"/>
      <c r="AB125" s="25"/>
      <c r="AC125" s="23"/>
      <c r="AD125" s="26"/>
    </row>
    <row r="126">
      <c r="A126" s="30" t="s">
        <v>53</v>
      </c>
      <c r="B126" s="22" t="s">
        <v>65</v>
      </c>
      <c r="C126" s="22" t="s">
        <v>66</v>
      </c>
      <c r="D126" s="24"/>
      <c r="E126" s="25"/>
      <c r="F126" s="23"/>
      <c r="G126" s="25"/>
      <c r="H126" s="23"/>
      <c r="I126" s="26"/>
      <c r="J126" s="24"/>
      <c r="K126" s="25"/>
      <c r="L126" s="23"/>
      <c r="M126" s="25"/>
      <c r="N126" s="23"/>
      <c r="O126" s="26"/>
      <c r="P126" s="27"/>
      <c r="Q126" s="28"/>
      <c r="R126" s="29"/>
      <c r="S126" s="24"/>
      <c r="T126" s="25"/>
      <c r="U126" s="23"/>
      <c r="V126" s="25"/>
      <c r="W126" s="23"/>
      <c r="X126" s="26"/>
      <c r="Y126" s="24"/>
      <c r="Z126" s="25"/>
      <c r="AA126" s="23"/>
      <c r="AB126" s="25"/>
      <c r="AC126" s="23"/>
      <c r="AD126" s="26"/>
    </row>
    <row r="127">
      <c r="A127" s="30" t="s">
        <v>54</v>
      </c>
      <c r="B127" s="22" t="s">
        <v>65</v>
      </c>
      <c r="C127" s="22" t="s">
        <v>66</v>
      </c>
      <c r="D127" s="24"/>
      <c r="E127" s="25" t="str">
        <f>"－"</f>
        <v>－</v>
      </c>
      <c r="F127" s="23"/>
      <c r="G127" s="25" t="str">
        <f>"－"</f>
        <v>－</v>
      </c>
      <c r="H127" s="23"/>
      <c r="I127" s="26" t="str">
        <f>"－"</f>
        <v>－</v>
      </c>
      <c r="J127" s="24"/>
      <c r="K127" s="25" t="str">
        <f>"－"</f>
        <v>－</v>
      </c>
      <c r="L127" s="23"/>
      <c r="M127" s="25" t="str">
        <f>"－"</f>
        <v>－</v>
      </c>
      <c r="N127" s="23"/>
      <c r="O127" s="26" t="str">
        <f>"－"</f>
        <v>－</v>
      </c>
      <c r="P127" s="27" t="str">
        <f>"－"</f>
        <v>－</v>
      </c>
      <c r="Q127" s="28" t="str">
        <f>"－"</f>
        <v>－</v>
      </c>
      <c r="R127" s="29" t="str">
        <f>"－"</f>
        <v>－</v>
      </c>
      <c r="S127" s="24"/>
      <c r="T127" s="25" t="str">
        <f>"－"</f>
        <v>－</v>
      </c>
      <c r="U127" s="23"/>
      <c r="V127" s="25" t="str">
        <f>"－"</f>
        <v>－</v>
      </c>
      <c r="W127" s="23"/>
      <c r="X127" s="26" t="str">
        <f>"－"</f>
        <v>－</v>
      </c>
      <c r="Y127" s="24"/>
      <c r="Z127" s="25" t="str">
        <f>"－"</f>
        <v>－</v>
      </c>
      <c r="AA127" s="23"/>
      <c r="AB127" s="25" t="str">
        <f>"－"</f>
        <v>－</v>
      </c>
      <c r="AC127" s="23"/>
      <c r="AD127" s="26" t="str">
        <f>"－"</f>
        <v>－</v>
      </c>
    </row>
    <row r="128">
      <c r="A128" s="30" t="s">
        <v>55</v>
      </c>
      <c r="B128" s="22" t="s">
        <v>65</v>
      </c>
      <c r="C128" s="22" t="s">
        <v>66</v>
      </c>
      <c r="D128" s="24"/>
      <c r="E128" s="25" t="str">
        <f>"－"</f>
        <v>－</v>
      </c>
      <c r="F128" s="23"/>
      <c r="G128" s="25" t="str">
        <f>"－"</f>
        <v>－</v>
      </c>
      <c r="H128" s="23"/>
      <c r="I128" s="26" t="str">
        <f>"－"</f>
        <v>－</v>
      </c>
      <c r="J128" s="24"/>
      <c r="K128" s="25" t="str">
        <f>"－"</f>
        <v>－</v>
      </c>
      <c r="L128" s="23"/>
      <c r="M128" s="25" t="str">
        <f>"－"</f>
        <v>－</v>
      </c>
      <c r="N128" s="23"/>
      <c r="O128" s="26" t="str">
        <f>"－"</f>
        <v>－</v>
      </c>
      <c r="P128" s="27" t="str">
        <f>"－"</f>
        <v>－</v>
      </c>
      <c r="Q128" s="28" t="str">
        <f>"－"</f>
        <v>－</v>
      </c>
      <c r="R128" s="29" t="str">
        <f>"－"</f>
        <v>－</v>
      </c>
      <c r="S128" s="24"/>
      <c r="T128" s="25" t="str">
        <f>"－"</f>
        <v>－</v>
      </c>
      <c r="U128" s="23"/>
      <c r="V128" s="25" t="str">
        <f>"－"</f>
        <v>－</v>
      </c>
      <c r="W128" s="23"/>
      <c r="X128" s="26" t="str">
        <f>"－"</f>
        <v>－</v>
      </c>
      <c r="Y128" s="24"/>
      <c r="Z128" s="25" t="str">
        <f>"－"</f>
        <v>－</v>
      </c>
      <c r="AA128" s="23"/>
      <c r="AB128" s="25" t="str">
        <f>"－"</f>
        <v>－</v>
      </c>
      <c r="AC128" s="23"/>
      <c r="AD128" s="26" t="str">
        <f>"－"</f>
        <v>－</v>
      </c>
    </row>
    <row r="129">
      <c r="A129" s="30" t="s">
        <v>56</v>
      </c>
      <c r="B129" s="22" t="s">
        <v>65</v>
      </c>
      <c r="C129" s="22" t="s">
        <v>66</v>
      </c>
      <c r="D129" s="24"/>
      <c r="E129" s="25" t="str">
        <f>"－"</f>
        <v>－</v>
      </c>
      <c r="F129" s="23"/>
      <c r="G129" s="25" t="str">
        <f>"－"</f>
        <v>－</v>
      </c>
      <c r="H129" s="23"/>
      <c r="I129" s="26" t="str">
        <f>"－"</f>
        <v>－</v>
      </c>
      <c r="J129" s="24"/>
      <c r="K129" s="25" t="str">
        <f>"－"</f>
        <v>－</v>
      </c>
      <c r="L129" s="23"/>
      <c r="M129" s="25" t="str">
        <f>"－"</f>
        <v>－</v>
      </c>
      <c r="N129" s="23"/>
      <c r="O129" s="26" t="str">
        <f>"－"</f>
        <v>－</v>
      </c>
      <c r="P129" s="27" t="str">
        <f>"－"</f>
        <v>－</v>
      </c>
      <c r="Q129" s="28" t="str">
        <f>"－"</f>
        <v>－</v>
      </c>
      <c r="R129" s="29" t="str">
        <f>"－"</f>
        <v>－</v>
      </c>
      <c r="S129" s="24"/>
      <c r="T129" s="25" t="str">
        <f>"－"</f>
        <v>－</v>
      </c>
      <c r="U129" s="23"/>
      <c r="V129" s="25" t="str">
        <f>"－"</f>
        <v>－</v>
      </c>
      <c r="W129" s="23"/>
      <c r="X129" s="26" t="str">
        <f>"－"</f>
        <v>－</v>
      </c>
      <c r="Y129" s="24"/>
      <c r="Z129" s="25" t="str">
        <f>"－"</f>
        <v>－</v>
      </c>
      <c r="AA129" s="23"/>
      <c r="AB129" s="25" t="str">
        <f>"－"</f>
        <v>－</v>
      </c>
      <c r="AC129" s="23"/>
      <c r="AD129" s="26" t="str">
        <f>"－"</f>
        <v>－</v>
      </c>
    </row>
    <row r="130">
      <c r="A130" s="30" t="s">
        <v>57</v>
      </c>
      <c r="B130" s="22" t="s">
        <v>65</v>
      </c>
      <c r="C130" s="22" t="s">
        <v>66</v>
      </c>
      <c r="D130" s="24"/>
      <c r="E130" s="25" t="str">
        <f>"－"</f>
        <v>－</v>
      </c>
      <c r="F130" s="23"/>
      <c r="G130" s="25" t="str">
        <f>"－"</f>
        <v>－</v>
      </c>
      <c r="H130" s="23"/>
      <c r="I130" s="26" t="str">
        <f>"－"</f>
        <v>－</v>
      </c>
      <c r="J130" s="24"/>
      <c r="K130" s="25" t="str">
        <f>"－"</f>
        <v>－</v>
      </c>
      <c r="L130" s="23"/>
      <c r="M130" s="25" t="str">
        <f>"－"</f>
        <v>－</v>
      </c>
      <c r="N130" s="23"/>
      <c r="O130" s="26" t="str">
        <f>"－"</f>
        <v>－</v>
      </c>
      <c r="P130" s="27" t="str">
        <f>"－"</f>
        <v>－</v>
      </c>
      <c r="Q130" s="28" t="str">
        <f>"－"</f>
        <v>－</v>
      </c>
      <c r="R130" s="29" t="str">
        <f>"－"</f>
        <v>－</v>
      </c>
      <c r="S130" s="24"/>
      <c r="T130" s="25" t="str">
        <f>"－"</f>
        <v>－</v>
      </c>
      <c r="U130" s="23"/>
      <c r="V130" s="25" t="str">
        <f>"－"</f>
        <v>－</v>
      </c>
      <c r="W130" s="23"/>
      <c r="X130" s="26" t="str">
        <f>"－"</f>
        <v>－</v>
      </c>
      <c r="Y130" s="24"/>
      <c r="Z130" s="25" t="str">
        <f>"－"</f>
        <v>－</v>
      </c>
      <c r="AA130" s="23"/>
      <c r="AB130" s="25" t="str">
        <f>"－"</f>
        <v>－</v>
      </c>
      <c r="AC130" s="23"/>
      <c r="AD130" s="26" t="str">
        <f>"－"</f>
        <v>－</v>
      </c>
    </row>
    <row r="131">
      <c r="A131" s="30" t="s">
        <v>58</v>
      </c>
      <c r="B131" s="22" t="s">
        <v>65</v>
      </c>
      <c r="C131" s="22" t="s">
        <v>66</v>
      </c>
      <c r="D131" s="24"/>
      <c r="E131" s="25" t="str">
        <f>"－"</f>
        <v>－</v>
      </c>
      <c r="F131" s="23"/>
      <c r="G131" s="25" t="str">
        <f>"－"</f>
        <v>－</v>
      </c>
      <c r="H131" s="23"/>
      <c r="I131" s="26" t="str">
        <f>"－"</f>
        <v>－</v>
      </c>
      <c r="J131" s="24"/>
      <c r="K131" s="25" t="str">
        <f>"－"</f>
        <v>－</v>
      </c>
      <c r="L131" s="23"/>
      <c r="M131" s="25" t="str">
        <f>"－"</f>
        <v>－</v>
      </c>
      <c r="N131" s="23"/>
      <c r="O131" s="26" t="str">
        <f>"－"</f>
        <v>－</v>
      </c>
      <c r="P131" s="27" t="str">
        <f>"－"</f>
        <v>－</v>
      </c>
      <c r="Q131" s="28" t="str">
        <f>"－"</f>
        <v>－</v>
      </c>
      <c r="R131" s="29" t="str">
        <f>"－"</f>
        <v>－</v>
      </c>
      <c r="S131" s="24"/>
      <c r="T131" s="25" t="str">
        <f>"－"</f>
        <v>－</v>
      </c>
      <c r="U131" s="23"/>
      <c r="V131" s="25" t="str">
        <f>"－"</f>
        <v>－</v>
      </c>
      <c r="W131" s="23"/>
      <c r="X131" s="26" t="str">
        <f>"－"</f>
        <v>－</v>
      </c>
      <c r="Y131" s="24"/>
      <c r="Z131" s="25" t="str">
        <f>"－"</f>
        <v>－</v>
      </c>
      <c r="AA131" s="23"/>
      <c r="AB131" s="25" t="str">
        <f>"－"</f>
        <v>－</v>
      </c>
      <c r="AC131" s="23"/>
      <c r="AD131" s="26" t="str">
        <f>"－"</f>
        <v>－</v>
      </c>
    </row>
    <row r="132">
      <c r="A132" s="30" t="s">
        <v>59</v>
      </c>
      <c r="B132" s="22" t="s">
        <v>65</v>
      </c>
      <c r="C132" s="22" t="s">
        <v>66</v>
      </c>
      <c r="D132" s="24"/>
      <c r="E132" s="25"/>
      <c r="F132" s="23"/>
      <c r="G132" s="25"/>
      <c r="H132" s="23"/>
      <c r="I132" s="26"/>
      <c r="J132" s="24"/>
      <c r="K132" s="25"/>
      <c r="L132" s="23"/>
      <c r="M132" s="25"/>
      <c r="N132" s="23"/>
      <c r="O132" s="26"/>
      <c r="P132" s="27"/>
      <c r="Q132" s="28"/>
      <c r="R132" s="29"/>
      <c r="S132" s="24"/>
      <c r="T132" s="25"/>
      <c r="U132" s="23"/>
      <c r="V132" s="25"/>
      <c r="W132" s="23"/>
      <c r="X132" s="26"/>
      <c r="Y132" s="24"/>
      <c r="Z132" s="25"/>
      <c r="AA132" s="23"/>
      <c r="AB132" s="25"/>
      <c r="AC132" s="23"/>
      <c r="AD132" s="26"/>
    </row>
    <row r="133">
      <c r="A133" s="30" t="s">
        <v>60</v>
      </c>
      <c r="B133" s="22" t="s">
        <v>65</v>
      </c>
      <c r="C133" s="22" t="s">
        <v>66</v>
      </c>
      <c r="D133" s="24"/>
      <c r="E133" s="25"/>
      <c r="F133" s="23"/>
      <c r="G133" s="25"/>
      <c r="H133" s="23"/>
      <c r="I133" s="26"/>
      <c r="J133" s="24"/>
      <c r="K133" s="25"/>
      <c r="L133" s="23"/>
      <c r="M133" s="25"/>
      <c r="N133" s="23"/>
      <c r="O133" s="26"/>
      <c r="P133" s="27"/>
      <c r="Q133" s="28"/>
      <c r="R133" s="29"/>
      <c r="S133" s="24"/>
      <c r="T133" s="25"/>
      <c r="U133" s="23"/>
      <c r="V133" s="25"/>
      <c r="W133" s="23"/>
      <c r="X133" s="26"/>
      <c r="Y133" s="24"/>
      <c r="Z133" s="25"/>
      <c r="AA133" s="23"/>
      <c r="AB133" s="25"/>
      <c r="AC133" s="23"/>
      <c r="AD133" s="26"/>
    </row>
    <row r="134">
      <c r="A134" s="30" t="s">
        <v>26</v>
      </c>
      <c r="B134" s="22" t="s">
        <v>68</v>
      </c>
      <c r="C134" s="22" t="s">
        <v>69</v>
      </c>
      <c r="D134" s="24"/>
      <c r="E134" s="25"/>
      <c r="F134" s="23"/>
      <c r="G134" s="25"/>
      <c r="H134" s="23"/>
      <c r="I134" s="26"/>
      <c r="J134" s="24"/>
      <c r="K134" s="25"/>
      <c r="L134" s="23"/>
      <c r="M134" s="25"/>
      <c r="N134" s="23"/>
      <c r="O134" s="26"/>
      <c r="P134" s="27"/>
      <c r="Q134" s="28"/>
      <c r="R134" s="29"/>
      <c r="S134" s="24"/>
      <c r="T134" s="25"/>
      <c r="U134" s="23"/>
      <c r="V134" s="25"/>
      <c r="W134" s="23"/>
      <c r="X134" s="26"/>
      <c r="Y134" s="24"/>
      <c r="Z134" s="25"/>
      <c r="AA134" s="23"/>
      <c r="AB134" s="25"/>
      <c r="AC134" s="23"/>
      <c r="AD134" s="26"/>
    </row>
    <row r="135">
      <c r="A135" s="30" t="s">
        <v>29</v>
      </c>
      <c r="B135" s="22" t="s">
        <v>68</v>
      </c>
      <c r="C135" s="22" t="s">
        <v>69</v>
      </c>
      <c r="D135" s="24"/>
      <c r="E135" s="25"/>
      <c r="F135" s="23"/>
      <c r="G135" s="25"/>
      <c r="H135" s="23"/>
      <c r="I135" s="26"/>
      <c r="J135" s="24"/>
      <c r="K135" s="25"/>
      <c r="L135" s="23"/>
      <c r="M135" s="25"/>
      <c r="N135" s="23"/>
      <c r="O135" s="26"/>
      <c r="P135" s="27"/>
      <c r="Q135" s="28"/>
      <c r="R135" s="29"/>
      <c r="S135" s="24"/>
      <c r="T135" s="25"/>
      <c r="U135" s="23"/>
      <c r="V135" s="25"/>
      <c r="W135" s="23"/>
      <c r="X135" s="26"/>
      <c r="Y135" s="24"/>
      <c r="Z135" s="25"/>
      <c r="AA135" s="23"/>
      <c r="AB135" s="25"/>
      <c r="AC135" s="23"/>
      <c r="AD135" s="26"/>
    </row>
    <row r="136">
      <c r="A136" s="30" t="s">
        <v>30</v>
      </c>
      <c r="B136" s="22" t="s">
        <v>68</v>
      </c>
      <c r="C136" s="22" t="s">
        <v>69</v>
      </c>
      <c r="D136" s="24"/>
      <c r="E136" s="25"/>
      <c r="F136" s="23"/>
      <c r="G136" s="25"/>
      <c r="H136" s="23"/>
      <c r="I136" s="26"/>
      <c r="J136" s="24"/>
      <c r="K136" s="25"/>
      <c r="L136" s="23"/>
      <c r="M136" s="25"/>
      <c r="N136" s="23"/>
      <c r="O136" s="26"/>
      <c r="P136" s="27"/>
      <c r="Q136" s="28"/>
      <c r="R136" s="29"/>
      <c r="S136" s="24"/>
      <c r="T136" s="25"/>
      <c r="U136" s="23"/>
      <c r="V136" s="25"/>
      <c r="W136" s="23"/>
      <c r="X136" s="26"/>
      <c r="Y136" s="24"/>
      <c r="Z136" s="25"/>
      <c r="AA136" s="23"/>
      <c r="AB136" s="25"/>
      <c r="AC136" s="23"/>
      <c r="AD136" s="26"/>
    </row>
    <row r="137">
      <c r="A137" s="30" t="s">
        <v>31</v>
      </c>
      <c r="B137" s="22" t="s">
        <v>68</v>
      </c>
      <c r="C137" s="22" t="s">
        <v>69</v>
      </c>
      <c r="D137" s="24"/>
      <c r="E137" s="25"/>
      <c r="F137" s="23"/>
      <c r="G137" s="25"/>
      <c r="H137" s="23"/>
      <c r="I137" s="26"/>
      <c r="J137" s="24"/>
      <c r="K137" s="25"/>
      <c r="L137" s="23"/>
      <c r="M137" s="25"/>
      <c r="N137" s="23"/>
      <c r="O137" s="26"/>
      <c r="P137" s="27"/>
      <c r="Q137" s="28"/>
      <c r="R137" s="29"/>
      <c r="S137" s="24"/>
      <c r="T137" s="25"/>
      <c r="U137" s="23"/>
      <c r="V137" s="25"/>
      <c r="W137" s="23"/>
      <c r="X137" s="26"/>
      <c r="Y137" s="24"/>
      <c r="Z137" s="25"/>
      <c r="AA137" s="23"/>
      <c r="AB137" s="25"/>
      <c r="AC137" s="23"/>
      <c r="AD137" s="26"/>
    </row>
    <row r="138">
      <c r="A138" s="30" t="s">
        <v>33</v>
      </c>
      <c r="B138" s="22" t="s">
        <v>68</v>
      </c>
      <c r="C138" s="22" t="s">
        <v>69</v>
      </c>
      <c r="D138" s="24"/>
      <c r="E138" s="25"/>
      <c r="F138" s="23"/>
      <c r="G138" s="25"/>
      <c r="H138" s="23"/>
      <c r="I138" s="26"/>
      <c r="J138" s="24"/>
      <c r="K138" s="25"/>
      <c r="L138" s="23"/>
      <c r="M138" s="25"/>
      <c r="N138" s="23"/>
      <c r="O138" s="26"/>
      <c r="P138" s="27"/>
      <c r="Q138" s="28"/>
      <c r="R138" s="29"/>
      <c r="S138" s="24"/>
      <c r="T138" s="25"/>
      <c r="U138" s="23"/>
      <c r="V138" s="25"/>
      <c r="W138" s="23"/>
      <c r="X138" s="26"/>
      <c r="Y138" s="24"/>
      <c r="Z138" s="25"/>
      <c r="AA138" s="23"/>
      <c r="AB138" s="25"/>
      <c r="AC138" s="23"/>
      <c r="AD138" s="26"/>
    </row>
    <row r="139">
      <c r="A139" s="30" t="s">
        <v>34</v>
      </c>
      <c r="B139" s="22" t="s">
        <v>68</v>
      </c>
      <c r="C139" s="22" t="s">
        <v>69</v>
      </c>
      <c r="D139" s="24"/>
      <c r="E139" s="25"/>
      <c r="F139" s="23"/>
      <c r="G139" s="25"/>
      <c r="H139" s="23"/>
      <c r="I139" s="26"/>
      <c r="J139" s="24"/>
      <c r="K139" s="25"/>
      <c r="L139" s="23"/>
      <c r="M139" s="25"/>
      <c r="N139" s="23"/>
      <c r="O139" s="26"/>
      <c r="P139" s="27"/>
      <c r="Q139" s="28"/>
      <c r="R139" s="29"/>
      <c r="S139" s="24"/>
      <c r="T139" s="25"/>
      <c r="U139" s="23"/>
      <c r="V139" s="25"/>
      <c r="W139" s="23"/>
      <c r="X139" s="26"/>
      <c r="Y139" s="24"/>
      <c r="Z139" s="25"/>
      <c r="AA139" s="23"/>
      <c r="AB139" s="25"/>
      <c r="AC139" s="23"/>
      <c r="AD139" s="26"/>
    </row>
    <row r="140">
      <c r="A140" s="30" t="s">
        <v>35</v>
      </c>
      <c r="B140" s="22" t="s">
        <v>68</v>
      </c>
      <c r="C140" s="22" t="s">
        <v>69</v>
      </c>
      <c r="D140" s="24"/>
      <c r="E140" s="25"/>
      <c r="F140" s="23"/>
      <c r="G140" s="25"/>
      <c r="H140" s="23"/>
      <c r="I140" s="26"/>
      <c r="J140" s="24"/>
      <c r="K140" s="25"/>
      <c r="L140" s="23"/>
      <c r="M140" s="25"/>
      <c r="N140" s="23"/>
      <c r="O140" s="26"/>
      <c r="P140" s="27"/>
      <c r="Q140" s="28"/>
      <c r="R140" s="29"/>
      <c r="S140" s="24"/>
      <c r="T140" s="25"/>
      <c r="U140" s="23"/>
      <c r="V140" s="25"/>
      <c r="W140" s="23"/>
      <c r="X140" s="26"/>
      <c r="Y140" s="24"/>
      <c r="Z140" s="25"/>
      <c r="AA140" s="23"/>
      <c r="AB140" s="25"/>
      <c r="AC140" s="23"/>
      <c r="AD140" s="26"/>
    </row>
    <row r="141">
      <c r="A141" s="30" t="s">
        <v>36</v>
      </c>
      <c r="B141" s="22" t="s">
        <v>68</v>
      </c>
      <c r="C141" s="22" t="s">
        <v>69</v>
      </c>
      <c r="D141" s="24"/>
      <c r="E141" s="25"/>
      <c r="F141" s="23"/>
      <c r="G141" s="25"/>
      <c r="H141" s="23"/>
      <c r="I141" s="26"/>
      <c r="J141" s="24"/>
      <c r="K141" s="25"/>
      <c r="L141" s="23"/>
      <c r="M141" s="25"/>
      <c r="N141" s="23"/>
      <c r="O141" s="26"/>
      <c r="P141" s="27"/>
      <c r="Q141" s="28"/>
      <c r="R141" s="29"/>
      <c r="S141" s="24"/>
      <c r="T141" s="25"/>
      <c r="U141" s="23"/>
      <c r="V141" s="25"/>
      <c r="W141" s="23"/>
      <c r="X141" s="26"/>
      <c r="Y141" s="24"/>
      <c r="Z141" s="25"/>
      <c r="AA141" s="23"/>
      <c r="AB141" s="25"/>
      <c r="AC141" s="23"/>
      <c r="AD141" s="26"/>
    </row>
    <row r="142">
      <c r="A142" s="30" t="s">
        <v>38</v>
      </c>
      <c r="B142" s="22" t="s">
        <v>68</v>
      </c>
      <c r="C142" s="22" t="s">
        <v>69</v>
      </c>
      <c r="D142" s="24"/>
      <c r="E142" s="25"/>
      <c r="F142" s="23"/>
      <c r="G142" s="25"/>
      <c r="H142" s="23"/>
      <c r="I142" s="26"/>
      <c r="J142" s="24"/>
      <c r="K142" s="25"/>
      <c r="L142" s="23"/>
      <c r="M142" s="25"/>
      <c r="N142" s="23"/>
      <c r="O142" s="26"/>
      <c r="P142" s="27"/>
      <c r="Q142" s="28"/>
      <c r="R142" s="29"/>
      <c r="S142" s="24"/>
      <c r="T142" s="25"/>
      <c r="U142" s="23"/>
      <c r="V142" s="25"/>
      <c r="W142" s="23"/>
      <c r="X142" s="26"/>
      <c r="Y142" s="24"/>
      <c r="Z142" s="25"/>
      <c r="AA142" s="23"/>
      <c r="AB142" s="25"/>
      <c r="AC142" s="23"/>
      <c r="AD142" s="26"/>
    </row>
    <row r="143">
      <c r="A143" s="30" t="s">
        <v>39</v>
      </c>
      <c r="B143" s="22" t="s">
        <v>68</v>
      </c>
      <c r="C143" s="22" t="s">
        <v>69</v>
      </c>
      <c r="D143" s="24"/>
      <c r="E143" s="25"/>
      <c r="F143" s="23"/>
      <c r="G143" s="25"/>
      <c r="H143" s="23"/>
      <c r="I143" s="26"/>
      <c r="J143" s="24"/>
      <c r="K143" s="25"/>
      <c r="L143" s="23"/>
      <c r="M143" s="25"/>
      <c r="N143" s="23"/>
      <c r="O143" s="26"/>
      <c r="P143" s="27"/>
      <c r="Q143" s="28"/>
      <c r="R143" s="29"/>
      <c r="S143" s="24"/>
      <c r="T143" s="25"/>
      <c r="U143" s="23"/>
      <c r="V143" s="25"/>
      <c r="W143" s="23"/>
      <c r="X143" s="26"/>
      <c r="Y143" s="24"/>
      <c r="Z143" s="25"/>
      <c r="AA143" s="23"/>
      <c r="AB143" s="25"/>
      <c r="AC143" s="23"/>
      <c r="AD143" s="26"/>
    </row>
    <row r="144">
      <c r="A144" s="30" t="s">
        <v>40</v>
      </c>
      <c r="B144" s="22" t="s">
        <v>68</v>
      </c>
      <c r="C144" s="22" t="s">
        <v>69</v>
      </c>
      <c r="D144" s="24"/>
      <c r="E144" s="25"/>
      <c r="F144" s="23"/>
      <c r="G144" s="25"/>
      <c r="H144" s="23"/>
      <c r="I144" s="26"/>
      <c r="J144" s="24"/>
      <c r="K144" s="25"/>
      <c r="L144" s="23"/>
      <c r="M144" s="25"/>
      <c r="N144" s="23"/>
      <c r="O144" s="26"/>
      <c r="P144" s="27"/>
      <c r="Q144" s="28"/>
      <c r="R144" s="29"/>
      <c r="S144" s="24"/>
      <c r="T144" s="25"/>
      <c r="U144" s="23"/>
      <c r="V144" s="25"/>
      <c r="W144" s="23"/>
      <c r="X144" s="26"/>
      <c r="Y144" s="24"/>
      <c r="Z144" s="25"/>
      <c r="AA144" s="23"/>
      <c r="AB144" s="25"/>
      <c r="AC144" s="23"/>
      <c r="AD144" s="26"/>
    </row>
    <row r="145">
      <c r="A145" s="30" t="s">
        <v>41</v>
      </c>
      <c r="B145" s="22" t="s">
        <v>68</v>
      </c>
      <c r="C145" s="22" t="s">
        <v>69</v>
      </c>
      <c r="D145" s="24"/>
      <c r="E145" s="25"/>
      <c r="F145" s="23"/>
      <c r="G145" s="25"/>
      <c r="H145" s="23"/>
      <c r="I145" s="26"/>
      <c r="J145" s="24"/>
      <c r="K145" s="25"/>
      <c r="L145" s="23"/>
      <c r="M145" s="25"/>
      <c r="N145" s="23"/>
      <c r="O145" s="26"/>
      <c r="P145" s="27"/>
      <c r="Q145" s="28"/>
      <c r="R145" s="29"/>
      <c r="S145" s="24"/>
      <c r="T145" s="25"/>
      <c r="U145" s="23"/>
      <c r="V145" s="25"/>
      <c r="W145" s="23"/>
      <c r="X145" s="26"/>
      <c r="Y145" s="24"/>
      <c r="Z145" s="25"/>
      <c r="AA145" s="23"/>
      <c r="AB145" s="25"/>
      <c r="AC145" s="23"/>
      <c r="AD145" s="26"/>
    </row>
    <row r="146">
      <c r="A146" s="30" t="s">
        <v>42</v>
      </c>
      <c r="B146" s="22" t="s">
        <v>68</v>
      </c>
      <c r="C146" s="22" t="s">
        <v>69</v>
      </c>
      <c r="D146" s="24"/>
      <c r="E146" s="25"/>
      <c r="F146" s="23"/>
      <c r="G146" s="25"/>
      <c r="H146" s="23"/>
      <c r="I146" s="26"/>
      <c r="J146" s="24"/>
      <c r="K146" s="25"/>
      <c r="L146" s="23"/>
      <c r="M146" s="25"/>
      <c r="N146" s="23"/>
      <c r="O146" s="26"/>
      <c r="P146" s="27"/>
      <c r="Q146" s="28"/>
      <c r="R146" s="29"/>
      <c r="S146" s="24"/>
      <c r="T146" s="25"/>
      <c r="U146" s="23"/>
      <c r="V146" s="25"/>
      <c r="W146" s="23"/>
      <c r="X146" s="26"/>
      <c r="Y146" s="24"/>
      <c r="Z146" s="25"/>
      <c r="AA146" s="23"/>
      <c r="AB146" s="25"/>
      <c r="AC146" s="23"/>
      <c r="AD146" s="26"/>
    </row>
    <row r="147">
      <c r="A147" s="30" t="s">
        <v>43</v>
      </c>
      <c r="B147" s="22" t="s">
        <v>68</v>
      </c>
      <c r="C147" s="22" t="s">
        <v>69</v>
      </c>
      <c r="D147" s="24"/>
      <c r="E147" s="25"/>
      <c r="F147" s="23"/>
      <c r="G147" s="25"/>
      <c r="H147" s="23"/>
      <c r="I147" s="26"/>
      <c r="J147" s="24"/>
      <c r="K147" s="25"/>
      <c r="L147" s="23"/>
      <c r="M147" s="25"/>
      <c r="N147" s="23"/>
      <c r="O147" s="26"/>
      <c r="P147" s="27"/>
      <c r="Q147" s="28"/>
      <c r="R147" s="29"/>
      <c r="S147" s="24"/>
      <c r="T147" s="25"/>
      <c r="U147" s="23"/>
      <c r="V147" s="25"/>
      <c r="W147" s="23"/>
      <c r="X147" s="26"/>
      <c r="Y147" s="24"/>
      <c r="Z147" s="25"/>
      <c r="AA147" s="23"/>
      <c r="AB147" s="25"/>
      <c r="AC147" s="23"/>
      <c r="AD147" s="26"/>
    </row>
    <row r="148">
      <c r="A148" s="30" t="s">
        <v>44</v>
      </c>
      <c r="B148" s="22" t="s">
        <v>68</v>
      </c>
      <c r="C148" s="22" t="s">
        <v>69</v>
      </c>
      <c r="D148" s="24"/>
      <c r="E148" s="25"/>
      <c r="F148" s="23"/>
      <c r="G148" s="25"/>
      <c r="H148" s="23"/>
      <c r="I148" s="26"/>
      <c r="J148" s="24"/>
      <c r="K148" s="25"/>
      <c r="L148" s="23"/>
      <c r="M148" s="25"/>
      <c r="N148" s="23"/>
      <c r="O148" s="26"/>
      <c r="P148" s="27"/>
      <c r="Q148" s="28"/>
      <c r="R148" s="29"/>
      <c r="S148" s="24"/>
      <c r="T148" s="25"/>
      <c r="U148" s="23"/>
      <c r="V148" s="25"/>
      <c r="W148" s="23"/>
      <c r="X148" s="26"/>
      <c r="Y148" s="24"/>
      <c r="Z148" s="25"/>
      <c r="AA148" s="23"/>
      <c r="AB148" s="25"/>
      <c r="AC148" s="23"/>
      <c r="AD148" s="26"/>
    </row>
    <row r="149">
      <c r="A149" s="30" t="s">
        <v>45</v>
      </c>
      <c r="B149" s="22" t="s">
        <v>68</v>
      </c>
      <c r="C149" s="22" t="s">
        <v>69</v>
      </c>
      <c r="D149" s="24"/>
      <c r="E149" s="25"/>
      <c r="F149" s="23"/>
      <c r="G149" s="25"/>
      <c r="H149" s="23"/>
      <c r="I149" s="26"/>
      <c r="J149" s="24"/>
      <c r="K149" s="25"/>
      <c r="L149" s="23"/>
      <c r="M149" s="25"/>
      <c r="N149" s="23"/>
      <c r="O149" s="26"/>
      <c r="P149" s="27"/>
      <c r="Q149" s="28"/>
      <c r="R149" s="29"/>
      <c r="S149" s="24"/>
      <c r="T149" s="25"/>
      <c r="U149" s="23"/>
      <c r="V149" s="25"/>
      <c r="W149" s="23"/>
      <c r="X149" s="26"/>
      <c r="Y149" s="24"/>
      <c r="Z149" s="25"/>
      <c r="AA149" s="23"/>
      <c r="AB149" s="25"/>
      <c r="AC149" s="23"/>
      <c r="AD149" s="26"/>
    </row>
    <row r="150">
      <c r="A150" s="30" t="s">
        <v>46</v>
      </c>
      <c r="B150" s="22" t="s">
        <v>68</v>
      </c>
      <c r="C150" s="22" t="s">
        <v>69</v>
      </c>
      <c r="D150" s="24"/>
      <c r="E150" s="25"/>
      <c r="F150" s="23"/>
      <c r="G150" s="25"/>
      <c r="H150" s="23"/>
      <c r="I150" s="26"/>
      <c r="J150" s="24"/>
      <c r="K150" s="25"/>
      <c r="L150" s="23"/>
      <c r="M150" s="25"/>
      <c r="N150" s="23"/>
      <c r="O150" s="26"/>
      <c r="P150" s="27"/>
      <c r="Q150" s="28"/>
      <c r="R150" s="29"/>
      <c r="S150" s="24"/>
      <c r="T150" s="25"/>
      <c r="U150" s="23"/>
      <c r="V150" s="25"/>
      <c r="W150" s="23"/>
      <c r="X150" s="26"/>
      <c r="Y150" s="24"/>
      <c r="Z150" s="25"/>
      <c r="AA150" s="23"/>
      <c r="AB150" s="25"/>
      <c r="AC150" s="23"/>
      <c r="AD150" s="26"/>
    </row>
    <row r="151">
      <c r="A151" s="30" t="s">
        <v>47</v>
      </c>
      <c r="B151" s="22" t="s">
        <v>68</v>
      </c>
      <c r="C151" s="22" t="s">
        <v>69</v>
      </c>
      <c r="D151" s="24"/>
      <c r="E151" s="25"/>
      <c r="F151" s="23"/>
      <c r="G151" s="25"/>
      <c r="H151" s="23"/>
      <c r="I151" s="26"/>
      <c r="J151" s="24"/>
      <c r="K151" s="25"/>
      <c r="L151" s="23"/>
      <c r="M151" s="25"/>
      <c r="N151" s="23"/>
      <c r="O151" s="26"/>
      <c r="P151" s="27"/>
      <c r="Q151" s="28"/>
      <c r="R151" s="29"/>
      <c r="S151" s="24"/>
      <c r="T151" s="25"/>
      <c r="U151" s="23"/>
      <c r="V151" s="25"/>
      <c r="W151" s="23"/>
      <c r="X151" s="26"/>
      <c r="Y151" s="24"/>
      <c r="Z151" s="25"/>
      <c r="AA151" s="23"/>
      <c r="AB151" s="25"/>
      <c r="AC151" s="23"/>
      <c r="AD151" s="26"/>
    </row>
    <row r="152">
      <c r="A152" s="30" t="s">
        <v>48</v>
      </c>
      <c r="B152" s="22" t="s">
        <v>68</v>
      </c>
      <c r="C152" s="22" t="s">
        <v>69</v>
      </c>
      <c r="D152" s="24"/>
      <c r="E152" s="25"/>
      <c r="F152" s="23"/>
      <c r="G152" s="25"/>
      <c r="H152" s="23"/>
      <c r="I152" s="26"/>
      <c r="J152" s="24"/>
      <c r="K152" s="25"/>
      <c r="L152" s="23"/>
      <c r="M152" s="25"/>
      <c r="N152" s="23"/>
      <c r="O152" s="26"/>
      <c r="P152" s="27"/>
      <c r="Q152" s="28"/>
      <c r="R152" s="29"/>
      <c r="S152" s="24"/>
      <c r="T152" s="25"/>
      <c r="U152" s="23"/>
      <c r="V152" s="25"/>
      <c r="W152" s="23"/>
      <c r="X152" s="26"/>
      <c r="Y152" s="24"/>
      <c r="Z152" s="25"/>
      <c r="AA152" s="23"/>
      <c r="AB152" s="25"/>
      <c r="AC152" s="23"/>
      <c r="AD152" s="26"/>
    </row>
    <row r="153">
      <c r="A153" s="30" t="s">
        <v>49</v>
      </c>
      <c r="B153" s="22" t="s">
        <v>68</v>
      </c>
      <c r="C153" s="22" t="s">
        <v>69</v>
      </c>
      <c r="D153" s="24"/>
      <c r="E153" s="25"/>
      <c r="F153" s="23"/>
      <c r="G153" s="25"/>
      <c r="H153" s="23"/>
      <c r="I153" s="26"/>
      <c r="J153" s="24"/>
      <c r="K153" s="25"/>
      <c r="L153" s="23"/>
      <c r="M153" s="25"/>
      <c r="N153" s="23"/>
      <c r="O153" s="26"/>
      <c r="P153" s="27"/>
      <c r="Q153" s="28"/>
      <c r="R153" s="29"/>
      <c r="S153" s="24"/>
      <c r="T153" s="25"/>
      <c r="U153" s="23"/>
      <c r="V153" s="25"/>
      <c r="W153" s="23"/>
      <c r="X153" s="26"/>
      <c r="Y153" s="24"/>
      <c r="Z153" s="25"/>
      <c r="AA153" s="23"/>
      <c r="AB153" s="25"/>
      <c r="AC153" s="23"/>
      <c r="AD153" s="26"/>
    </row>
    <row r="154">
      <c r="A154" s="30" t="s">
        <v>50</v>
      </c>
      <c r="B154" s="22" t="s">
        <v>68</v>
      </c>
      <c r="C154" s="22" t="s">
        <v>69</v>
      </c>
      <c r="D154" s="24"/>
      <c r="E154" s="25"/>
      <c r="F154" s="23"/>
      <c r="G154" s="25"/>
      <c r="H154" s="23"/>
      <c r="I154" s="26"/>
      <c r="J154" s="24"/>
      <c r="K154" s="25"/>
      <c r="L154" s="23"/>
      <c r="M154" s="25"/>
      <c r="N154" s="23"/>
      <c r="O154" s="26"/>
      <c r="P154" s="27"/>
      <c r="Q154" s="28"/>
      <c r="R154" s="29"/>
      <c r="S154" s="24"/>
      <c r="T154" s="25"/>
      <c r="U154" s="23"/>
      <c r="V154" s="25"/>
      <c r="W154" s="23"/>
      <c r="X154" s="26"/>
      <c r="Y154" s="24"/>
      <c r="Z154" s="25"/>
      <c r="AA154" s="23"/>
      <c r="AB154" s="25"/>
      <c r="AC154" s="23"/>
      <c r="AD154" s="26"/>
    </row>
    <row r="155">
      <c r="A155" s="30" t="s">
        <v>51</v>
      </c>
      <c r="B155" s="22" t="s">
        <v>68</v>
      </c>
      <c r="C155" s="22" t="s">
        <v>69</v>
      </c>
      <c r="D155" s="24"/>
      <c r="E155" s="25"/>
      <c r="F155" s="23"/>
      <c r="G155" s="25"/>
      <c r="H155" s="23"/>
      <c r="I155" s="26"/>
      <c r="J155" s="24"/>
      <c r="K155" s="25"/>
      <c r="L155" s="23"/>
      <c r="M155" s="25"/>
      <c r="N155" s="23"/>
      <c r="O155" s="26"/>
      <c r="P155" s="27"/>
      <c r="Q155" s="28"/>
      <c r="R155" s="29"/>
      <c r="S155" s="24"/>
      <c r="T155" s="25"/>
      <c r="U155" s="23"/>
      <c r="V155" s="25"/>
      <c r="W155" s="23"/>
      <c r="X155" s="26"/>
      <c r="Y155" s="24"/>
      <c r="Z155" s="25"/>
      <c r="AA155" s="23"/>
      <c r="AB155" s="25"/>
      <c r="AC155" s="23"/>
      <c r="AD155" s="26"/>
    </row>
    <row r="156">
      <c r="A156" s="30" t="s">
        <v>52</v>
      </c>
      <c r="B156" s="22" t="s">
        <v>68</v>
      </c>
      <c r="C156" s="22" t="s">
        <v>69</v>
      </c>
      <c r="D156" s="24"/>
      <c r="E156" s="25"/>
      <c r="F156" s="23"/>
      <c r="G156" s="25"/>
      <c r="H156" s="23"/>
      <c r="I156" s="26"/>
      <c r="J156" s="24"/>
      <c r="K156" s="25"/>
      <c r="L156" s="23"/>
      <c r="M156" s="25"/>
      <c r="N156" s="23"/>
      <c r="O156" s="26"/>
      <c r="P156" s="27"/>
      <c r="Q156" s="28"/>
      <c r="R156" s="29"/>
      <c r="S156" s="24"/>
      <c r="T156" s="25"/>
      <c r="U156" s="23"/>
      <c r="V156" s="25"/>
      <c r="W156" s="23"/>
      <c r="X156" s="26"/>
      <c r="Y156" s="24"/>
      <c r="Z156" s="25"/>
      <c r="AA156" s="23"/>
      <c r="AB156" s="25"/>
      <c r="AC156" s="23"/>
      <c r="AD156" s="26"/>
    </row>
    <row r="157">
      <c r="A157" s="30" t="s">
        <v>53</v>
      </c>
      <c r="B157" s="22" t="s">
        <v>68</v>
      </c>
      <c r="C157" s="22" t="s">
        <v>69</v>
      </c>
      <c r="D157" s="24"/>
      <c r="E157" s="25"/>
      <c r="F157" s="23"/>
      <c r="G157" s="25"/>
      <c r="H157" s="23"/>
      <c r="I157" s="26"/>
      <c r="J157" s="24"/>
      <c r="K157" s="25"/>
      <c r="L157" s="23"/>
      <c r="M157" s="25"/>
      <c r="N157" s="23"/>
      <c r="O157" s="26"/>
      <c r="P157" s="27"/>
      <c r="Q157" s="28"/>
      <c r="R157" s="29"/>
      <c r="S157" s="24"/>
      <c r="T157" s="25"/>
      <c r="U157" s="23"/>
      <c r="V157" s="25"/>
      <c r="W157" s="23"/>
      <c r="X157" s="26"/>
      <c r="Y157" s="24"/>
      <c r="Z157" s="25"/>
      <c r="AA157" s="23"/>
      <c r="AB157" s="25"/>
      <c r="AC157" s="23"/>
      <c r="AD157" s="26"/>
    </row>
    <row r="158">
      <c r="A158" s="30" t="s">
        <v>54</v>
      </c>
      <c r="B158" s="22" t="s">
        <v>68</v>
      </c>
      <c r="C158" s="22" t="s">
        <v>69</v>
      </c>
      <c r="D158" s="24"/>
      <c r="E158" s="25"/>
      <c r="F158" s="23"/>
      <c r="G158" s="25"/>
      <c r="H158" s="23"/>
      <c r="I158" s="26"/>
      <c r="J158" s="24"/>
      <c r="K158" s="25"/>
      <c r="L158" s="23"/>
      <c r="M158" s="25"/>
      <c r="N158" s="23"/>
      <c r="O158" s="26"/>
      <c r="P158" s="27"/>
      <c r="Q158" s="28"/>
      <c r="R158" s="29"/>
      <c r="S158" s="24"/>
      <c r="T158" s="25"/>
      <c r="U158" s="23"/>
      <c r="V158" s="25"/>
      <c r="W158" s="23"/>
      <c r="X158" s="26"/>
      <c r="Y158" s="24"/>
      <c r="Z158" s="25"/>
      <c r="AA158" s="23"/>
      <c r="AB158" s="25"/>
      <c r="AC158" s="23"/>
      <c r="AD158" s="26"/>
    </row>
    <row r="159">
      <c r="A159" s="30" t="s">
        <v>55</v>
      </c>
      <c r="B159" s="22" t="s">
        <v>68</v>
      </c>
      <c r="C159" s="22" t="s">
        <v>69</v>
      </c>
      <c r="D159" s="24"/>
      <c r="E159" s="25"/>
      <c r="F159" s="23"/>
      <c r="G159" s="25"/>
      <c r="H159" s="23"/>
      <c r="I159" s="26"/>
      <c r="J159" s="24"/>
      <c r="K159" s="25"/>
      <c r="L159" s="23"/>
      <c r="M159" s="25"/>
      <c r="N159" s="23"/>
      <c r="O159" s="26"/>
      <c r="P159" s="27"/>
      <c r="Q159" s="28"/>
      <c r="R159" s="29"/>
      <c r="S159" s="24"/>
      <c r="T159" s="25"/>
      <c r="U159" s="23"/>
      <c r="V159" s="25"/>
      <c r="W159" s="23"/>
      <c r="X159" s="26"/>
      <c r="Y159" s="24"/>
      <c r="Z159" s="25"/>
      <c r="AA159" s="23"/>
      <c r="AB159" s="25"/>
      <c r="AC159" s="23"/>
      <c r="AD159" s="26"/>
    </row>
    <row r="160">
      <c r="A160" s="30" t="s">
        <v>56</v>
      </c>
      <c r="B160" s="22" t="s">
        <v>68</v>
      </c>
      <c r="C160" s="22" t="s">
        <v>69</v>
      </c>
      <c r="D160" s="24"/>
      <c r="E160" s="25"/>
      <c r="F160" s="23"/>
      <c r="G160" s="25"/>
      <c r="H160" s="23"/>
      <c r="I160" s="26"/>
      <c r="J160" s="24"/>
      <c r="K160" s="25"/>
      <c r="L160" s="23"/>
      <c r="M160" s="25"/>
      <c r="N160" s="23"/>
      <c r="O160" s="26"/>
      <c r="P160" s="27"/>
      <c r="Q160" s="28"/>
      <c r="R160" s="29"/>
      <c r="S160" s="24"/>
      <c r="T160" s="25"/>
      <c r="U160" s="23"/>
      <c r="V160" s="25"/>
      <c r="W160" s="23"/>
      <c r="X160" s="26"/>
      <c r="Y160" s="24"/>
      <c r="Z160" s="25"/>
      <c r="AA160" s="23"/>
      <c r="AB160" s="25"/>
      <c r="AC160" s="23"/>
      <c r="AD160" s="26"/>
    </row>
    <row r="161">
      <c r="A161" s="30" t="s">
        <v>57</v>
      </c>
      <c r="B161" s="22" t="s">
        <v>68</v>
      </c>
      <c r="C161" s="22" t="s">
        <v>69</v>
      </c>
      <c r="D161" s="24"/>
      <c r="E161" s="25"/>
      <c r="F161" s="23"/>
      <c r="G161" s="25"/>
      <c r="H161" s="23"/>
      <c r="I161" s="26"/>
      <c r="J161" s="24"/>
      <c r="K161" s="25"/>
      <c r="L161" s="23"/>
      <c r="M161" s="25"/>
      <c r="N161" s="23"/>
      <c r="O161" s="26"/>
      <c r="P161" s="27"/>
      <c r="Q161" s="28"/>
      <c r="R161" s="29"/>
      <c r="S161" s="24"/>
      <c r="T161" s="25"/>
      <c r="U161" s="23"/>
      <c r="V161" s="25"/>
      <c r="W161" s="23"/>
      <c r="X161" s="26"/>
      <c r="Y161" s="24"/>
      <c r="Z161" s="25"/>
      <c r="AA161" s="23"/>
      <c r="AB161" s="25"/>
      <c r="AC161" s="23"/>
      <c r="AD161" s="26"/>
    </row>
    <row r="162">
      <c r="A162" s="30" t="s">
        <v>58</v>
      </c>
      <c r="B162" s="22" t="s">
        <v>68</v>
      </c>
      <c r="C162" s="22" t="s">
        <v>69</v>
      </c>
      <c r="D162" s="24"/>
      <c r="E162" s="25"/>
      <c r="F162" s="23"/>
      <c r="G162" s="25"/>
      <c r="H162" s="23"/>
      <c r="I162" s="26"/>
      <c r="J162" s="24"/>
      <c r="K162" s="25"/>
      <c r="L162" s="23"/>
      <c r="M162" s="25"/>
      <c r="N162" s="23"/>
      <c r="O162" s="26"/>
      <c r="P162" s="27"/>
      <c r="Q162" s="28"/>
      <c r="R162" s="29"/>
      <c r="S162" s="24"/>
      <c r="T162" s="25"/>
      <c r="U162" s="23"/>
      <c r="V162" s="25"/>
      <c r="W162" s="23"/>
      <c r="X162" s="26"/>
      <c r="Y162" s="24"/>
      <c r="Z162" s="25"/>
      <c r="AA162" s="23"/>
      <c r="AB162" s="25"/>
      <c r="AC162" s="23"/>
      <c r="AD162" s="26"/>
    </row>
    <row r="163">
      <c r="A163" s="30" t="s">
        <v>59</v>
      </c>
      <c r="B163" s="22" t="s">
        <v>68</v>
      </c>
      <c r="C163" s="22" t="s">
        <v>69</v>
      </c>
      <c r="D163" s="24"/>
      <c r="E163" s="25"/>
      <c r="F163" s="23"/>
      <c r="G163" s="25"/>
      <c r="H163" s="23"/>
      <c r="I163" s="26"/>
      <c r="J163" s="24"/>
      <c r="K163" s="25"/>
      <c r="L163" s="23"/>
      <c r="M163" s="25"/>
      <c r="N163" s="23"/>
      <c r="O163" s="26"/>
      <c r="P163" s="27"/>
      <c r="Q163" s="28"/>
      <c r="R163" s="29"/>
      <c r="S163" s="24"/>
      <c r="T163" s="25"/>
      <c r="U163" s="23"/>
      <c r="V163" s="25"/>
      <c r="W163" s="23"/>
      <c r="X163" s="26"/>
      <c r="Y163" s="24"/>
      <c r="Z163" s="25"/>
      <c r="AA163" s="23"/>
      <c r="AB163" s="25"/>
      <c r="AC163" s="23"/>
      <c r="AD163" s="26"/>
    </row>
    <row r="164">
      <c r="A164" s="30" t="s">
        <v>60</v>
      </c>
      <c r="B164" s="22" t="s">
        <v>68</v>
      </c>
      <c r="C164" s="22" t="s">
        <v>69</v>
      </c>
      <c r="D164" s="24"/>
      <c r="E164" s="25"/>
      <c r="F164" s="23"/>
      <c r="G164" s="25"/>
      <c r="H164" s="23"/>
      <c r="I164" s="26"/>
      <c r="J164" s="24"/>
      <c r="K164" s="25"/>
      <c r="L164" s="23"/>
      <c r="M164" s="25"/>
      <c r="N164" s="23"/>
      <c r="O164" s="26"/>
      <c r="P164" s="27"/>
      <c r="Q164" s="28"/>
      <c r="R164" s="29"/>
      <c r="S164" s="24"/>
      <c r="T164" s="25"/>
      <c r="U164" s="23"/>
      <c r="V164" s="25"/>
      <c r="W164" s="23"/>
      <c r="X164" s="26"/>
      <c r="Y164" s="24"/>
      <c r="Z164" s="25"/>
      <c r="AA164" s="23"/>
      <c r="AB164" s="25"/>
      <c r="AC164" s="23"/>
      <c r="AD164" s="26"/>
    </row>
    <row r="165">
      <c r="A165" s="30" t="s">
        <v>26</v>
      </c>
      <c r="B165" s="22" t="s">
        <v>70</v>
      </c>
      <c r="C165" s="22" t="s">
        <v>71</v>
      </c>
      <c r="D165" s="24"/>
      <c r="E165" s="25"/>
      <c r="F165" s="23"/>
      <c r="G165" s="25"/>
      <c r="H165" s="23"/>
      <c r="I165" s="26"/>
      <c r="J165" s="24"/>
      <c r="K165" s="25"/>
      <c r="L165" s="23"/>
      <c r="M165" s="25"/>
      <c r="N165" s="23"/>
      <c r="O165" s="26"/>
      <c r="P165" s="27"/>
      <c r="Q165" s="28"/>
      <c r="R165" s="29"/>
      <c r="S165" s="24"/>
      <c r="T165" s="25"/>
      <c r="U165" s="23"/>
      <c r="V165" s="25"/>
      <c r="W165" s="23"/>
      <c r="X165" s="26"/>
      <c r="Y165" s="24"/>
      <c r="Z165" s="25"/>
      <c r="AA165" s="23"/>
      <c r="AB165" s="25"/>
      <c r="AC165" s="23"/>
      <c r="AD165" s="26"/>
    </row>
    <row r="166">
      <c r="A166" s="30" t="s">
        <v>29</v>
      </c>
      <c r="B166" s="22" t="s">
        <v>70</v>
      </c>
      <c r="C166" s="22" t="s">
        <v>71</v>
      </c>
      <c r="D166" s="24"/>
      <c r="E166" s="25"/>
      <c r="F166" s="23"/>
      <c r="G166" s="25"/>
      <c r="H166" s="23"/>
      <c r="I166" s="26"/>
      <c r="J166" s="24"/>
      <c r="K166" s="25"/>
      <c r="L166" s="23"/>
      <c r="M166" s="25"/>
      <c r="N166" s="23"/>
      <c r="O166" s="26"/>
      <c r="P166" s="27"/>
      <c r="Q166" s="28"/>
      <c r="R166" s="29"/>
      <c r="S166" s="24"/>
      <c r="T166" s="25"/>
      <c r="U166" s="23"/>
      <c r="V166" s="25"/>
      <c r="W166" s="23"/>
      <c r="X166" s="26"/>
      <c r="Y166" s="24"/>
      <c r="Z166" s="25"/>
      <c r="AA166" s="23"/>
      <c r="AB166" s="25"/>
      <c r="AC166" s="23"/>
      <c r="AD166" s="26"/>
    </row>
    <row r="167">
      <c r="A167" s="30" t="s">
        <v>30</v>
      </c>
      <c r="B167" s="22" t="s">
        <v>70</v>
      </c>
      <c r="C167" s="22" t="s">
        <v>71</v>
      </c>
      <c r="D167" s="24"/>
      <c r="E167" s="25"/>
      <c r="F167" s="23"/>
      <c r="G167" s="25"/>
      <c r="H167" s="23"/>
      <c r="I167" s="26"/>
      <c r="J167" s="24"/>
      <c r="K167" s="25"/>
      <c r="L167" s="23"/>
      <c r="M167" s="25"/>
      <c r="N167" s="23"/>
      <c r="O167" s="26"/>
      <c r="P167" s="27"/>
      <c r="Q167" s="28"/>
      <c r="R167" s="29"/>
      <c r="S167" s="24"/>
      <c r="T167" s="25"/>
      <c r="U167" s="23"/>
      <c r="V167" s="25"/>
      <c r="W167" s="23"/>
      <c r="X167" s="26"/>
      <c r="Y167" s="24"/>
      <c r="Z167" s="25"/>
      <c r="AA167" s="23"/>
      <c r="AB167" s="25"/>
      <c r="AC167" s="23"/>
      <c r="AD167" s="26"/>
    </row>
    <row r="168">
      <c r="A168" s="30" t="s">
        <v>31</v>
      </c>
      <c r="B168" s="22" t="s">
        <v>70</v>
      </c>
      <c r="C168" s="22" t="s">
        <v>71</v>
      </c>
      <c r="D168" s="24"/>
      <c r="E168" s="25"/>
      <c r="F168" s="23"/>
      <c r="G168" s="25"/>
      <c r="H168" s="23"/>
      <c r="I168" s="26"/>
      <c r="J168" s="24"/>
      <c r="K168" s="25"/>
      <c r="L168" s="23"/>
      <c r="M168" s="25"/>
      <c r="N168" s="23"/>
      <c r="O168" s="26"/>
      <c r="P168" s="27"/>
      <c r="Q168" s="28"/>
      <c r="R168" s="29"/>
      <c r="S168" s="24"/>
      <c r="T168" s="25"/>
      <c r="U168" s="23"/>
      <c r="V168" s="25"/>
      <c r="W168" s="23"/>
      <c r="X168" s="26"/>
      <c r="Y168" s="24"/>
      <c r="Z168" s="25"/>
      <c r="AA168" s="23"/>
      <c r="AB168" s="25"/>
      <c r="AC168" s="23"/>
      <c r="AD168" s="26"/>
    </row>
    <row r="169">
      <c r="A169" s="30" t="s">
        <v>33</v>
      </c>
      <c r="B169" s="22" t="s">
        <v>70</v>
      </c>
      <c r="C169" s="22" t="s">
        <v>71</v>
      </c>
      <c r="D169" s="24"/>
      <c r="E169" s="25"/>
      <c r="F169" s="23"/>
      <c r="G169" s="25"/>
      <c r="H169" s="23"/>
      <c r="I169" s="26"/>
      <c r="J169" s="24"/>
      <c r="K169" s="25"/>
      <c r="L169" s="23"/>
      <c r="M169" s="25"/>
      <c r="N169" s="23"/>
      <c r="O169" s="26"/>
      <c r="P169" s="27"/>
      <c r="Q169" s="28"/>
      <c r="R169" s="29"/>
      <c r="S169" s="24"/>
      <c r="T169" s="25"/>
      <c r="U169" s="23"/>
      <c r="V169" s="25"/>
      <c r="W169" s="23"/>
      <c r="X169" s="26"/>
      <c r="Y169" s="24"/>
      <c r="Z169" s="25"/>
      <c r="AA169" s="23"/>
      <c r="AB169" s="25"/>
      <c r="AC169" s="23"/>
      <c r="AD169" s="26"/>
    </row>
    <row r="170">
      <c r="A170" s="30" t="s">
        <v>34</v>
      </c>
      <c r="B170" s="22" t="s">
        <v>70</v>
      </c>
      <c r="C170" s="22" t="s">
        <v>71</v>
      </c>
      <c r="D170" s="24"/>
      <c r="E170" s="25"/>
      <c r="F170" s="23"/>
      <c r="G170" s="25"/>
      <c r="H170" s="23"/>
      <c r="I170" s="26"/>
      <c r="J170" s="24"/>
      <c r="K170" s="25"/>
      <c r="L170" s="23"/>
      <c r="M170" s="25"/>
      <c r="N170" s="23"/>
      <c r="O170" s="26"/>
      <c r="P170" s="27"/>
      <c r="Q170" s="28"/>
      <c r="R170" s="29"/>
      <c r="S170" s="24"/>
      <c r="T170" s="25"/>
      <c r="U170" s="23"/>
      <c r="V170" s="25"/>
      <c r="W170" s="23"/>
      <c r="X170" s="26"/>
      <c r="Y170" s="24"/>
      <c r="Z170" s="25"/>
      <c r="AA170" s="23"/>
      <c r="AB170" s="25"/>
      <c r="AC170" s="23"/>
      <c r="AD170" s="26"/>
    </row>
    <row r="171">
      <c r="A171" s="30" t="s">
        <v>35</v>
      </c>
      <c r="B171" s="22" t="s">
        <v>70</v>
      </c>
      <c r="C171" s="22" t="s">
        <v>71</v>
      </c>
      <c r="D171" s="24"/>
      <c r="E171" s="25"/>
      <c r="F171" s="23"/>
      <c r="G171" s="25"/>
      <c r="H171" s="23"/>
      <c r="I171" s="26"/>
      <c r="J171" s="24"/>
      <c r="K171" s="25"/>
      <c r="L171" s="23"/>
      <c r="M171" s="25"/>
      <c r="N171" s="23"/>
      <c r="O171" s="26"/>
      <c r="P171" s="27"/>
      <c r="Q171" s="28"/>
      <c r="R171" s="29"/>
      <c r="S171" s="24"/>
      <c r="T171" s="25"/>
      <c r="U171" s="23"/>
      <c r="V171" s="25"/>
      <c r="W171" s="23"/>
      <c r="X171" s="26"/>
      <c r="Y171" s="24"/>
      <c r="Z171" s="25"/>
      <c r="AA171" s="23"/>
      <c r="AB171" s="25"/>
      <c r="AC171" s="23"/>
      <c r="AD171" s="26"/>
    </row>
    <row r="172">
      <c r="A172" s="30" t="s">
        <v>36</v>
      </c>
      <c r="B172" s="22" t="s">
        <v>70</v>
      </c>
      <c r="C172" s="22" t="s">
        <v>71</v>
      </c>
      <c r="D172" s="24"/>
      <c r="E172" s="25"/>
      <c r="F172" s="23"/>
      <c r="G172" s="25"/>
      <c r="H172" s="23"/>
      <c r="I172" s="26"/>
      <c r="J172" s="24"/>
      <c r="K172" s="25"/>
      <c r="L172" s="23"/>
      <c r="M172" s="25"/>
      <c r="N172" s="23"/>
      <c r="O172" s="26"/>
      <c r="P172" s="27"/>
      <c r="Q172" s="28"/>
      <c r="R172" s="29"/>
      <c r="S172" s="24"/>
      <c r="T172" s="25"/>
      <c r="U172" s="23"/>
      <c r="V172" s="25"/>
      <c r="W172" s="23"/>
      <c r="X172" s="26"/>
      <c r="Y172" s="24"/>
      <c r="Z172" s="25"/>
      <c r="AA172" s="23"/>
      <c r="AB172" s="25"/>
      <c r="AC172" s="23"/>
      <c r="AD172" s="26"/>
    </row>
    <row r="173">
      <c r="A173" s="30" t="s">
        <v>38</v>
      </c>
      <c r="B173" s="22" t="s">
        <v>70</v>
      </c>
      <c r="C173" s="22" t="s">
        <v>71</v>
      </c>
      <c r="D173" s="24"/>
      <c r="E173" s="25"/>
      <c r="F173" s="23"/>
      <c r="G173" s="25"/>
      <c r="H173" s="23"/>
      <c r="I173" s="26"/>
      <c r="J173" s="24"/>
      <c r="K173" s="25"/>
      <c r="L173" s="23"/>
      <c r="M173" s="25"/>
      <c r="N173" s="23"/>
      <c r="O173" s="26"/>
      <c r="P173" s="27"/>
      <c r="Q173" s="28"/>
      <c r="R173" s="29"/>
      <c r="S173" s="24"/>
      <c r="T173" s="25"/>
      <c r="U173" s="23"/>
      <c r="V173" s="25"/>
      <c r="W173" s="23"/>
      <c r="X173" s="26"/>
      <c r="Y173" s="24"/>
      <c r="Z173" s="25"/>
      <c r="AA173" s="23"/>
      <c r="AB173" s="25"/>
      <c r="AC173" s="23"/>
      <c r="AD173" s="26"/>
    </row>
    <row r="174">
      <c r="A174" s="30" t="s">
        <v>39</v>
      </c>
      <c r="B174" s="22" t="s">
        <v>70</v>
      </c>
      <c r="C174" s="22" t="s">
        <v>71</v>
      </c>
      <c r="D174" s="24"/>
      <c r="E174" s="25"/>
      <c r="F174" s="23"/>
      <c r="G174" s="25"/>
      <c r="H174" s="23"/>
      <c r="I174" s="26"/>
      <c r="J174" s="24"/>
      <c r="K174" s="25"/>
      <c r="L174" s="23"/>
      <c r="M174" s="25"/>
      <c r="N174" s="23"/>
      <c r="O174" s="26"/>
      <c r="P174" s="27"/>
      <c r="Q174" s="28"/>
      <c r="R174" s="29"/>
      <c r="S174" s="24"/>
      <c r="T174" s="25"/>
      <c r="U174" s="23"/>
      <c r="V174" s="25"/>
      <c r="W174" s="23"/>
      <c r="X174" s="26"/>
      <c r="Y174" s="24"/>
      <c r="Z174" s="25"/>
      <c r="AA174" s="23"/>
      <c r="AB174" s="25"/>
      <c r="AC174" s="23"/>
      <c r="AD174" s="26"/>
    </row>
    <row r="175">
      <c r="A175" s="30" t="s">
        <v>40</v>
      </c>
      <c r="B175" s="22" t="s">
        <v>70</v>
      </c>
      <c r="C175" s="22" t="s">
        <v>71</v>
      </c>
      <c r="D175" s="24"/>
      <c r="E175" s="25"/>
      <c r="F175" s="23"/>
      <c r="G175" s="25"/>
      <c r="H175" s="23"/>
      <c r="I175" s="26"/>
      <c r="J175" s="24"/>
      <c r="K175" s="25"/>
      <c r="L175" s="23"/>
      <c r="M175" s="25"/>
      <c r="N175" s="23"/>
      <c r="O175" s="26"/>
      <c r="P175" s="27"/>
      <c r="Q175" s="28"/>
      <c r="R175" s="29"/>
      <c r="S175" s="24"/>
      <c r="T175" s="25"/>
      <c r="U175" s="23"/>
      <c r="V175" s="25"/>
      <c r="W175" s="23"/>
      <c r="X175" s="26"/>
      <c r="Y175" s="24"/>
      <c r="Z175" s="25"/>
      <c r="AA175" s="23"/>
      <c r="AB175" s="25"/>
      <c r="AC175" s="23"/>
      <c r="AD175" s="26"/>
    </row>
    <row r="176">
      <c r="A176" s="30" t="s">
        <v>41</v>
      </c>
      <c r="B176" s="22" t="s">
        <v>70</v>
      </c>
      <c r="C176" s="22" t="s">
        <v>71</v>
      </c>
      <c r="D176" s="24"/>
      <c r="E176" s="25"/>
      <c r="F176" s="23"/>
      <c r="G176" s="25"/>
      <c r="H176" s="23"/>
      <c r="I176" s="26"/>
      <c r="J176" s="24"/>
      <c r="K176" s="25"/>
      <c r="L176" s="23"/>
      <c r="M176" s="25"/>
      <c r="N176" s="23"/>
      <c r="O176" s="26"/>
      <c r="P176" s="27"/>
      <c r="Q176" s="28"/>
      <c r="R176" s="29"/>
      <c r="S176" s="24"/>
      <c r="T176" s="25"/>
      <c r="U176" s="23"/>
      <c r="V176" s="25"/>
      <c r="W176" s="23"/>
      <c r="X176" s="26"/>
      <c r="Y176" s="24"/>
      <c r="Z176" s="25"/>
      <c r="AA176" s="23"/>
      <c r="AB176" s="25"/>
      <c r="AC176" s="23"/>
      <c r="AD176" s="26"/>
    </row>
    <row r="177">
      <c r="A177" s="30" t="s">
        <v>42</v>
      </c>
      <c r="B177" s="22" t="s">
        <v>70</v>
      </c>
      <c r="C177" s="22" t="s">
        <v>71</v>
      </c>
      <c r="D177" s="24"/>
      <c r="E177" s="25"/>
      <c r="F177" s="23"/>
      <c r="G177" s="25"/>
      <c r="H177" s="23"/>
      <c r="I177" s="26"/>
      <c r="J177" s="24"/>
      <c r="K177" s="25"/>
      <c r="L177" s="23"/>
      <c r="M177" s="25"/>
      <c r="N177" s="23"/>
      <c r="O177" s="26"/>
      <c r="P177" s="27"/>
      <c r="Q177" s="28"/>
      <c r="R177" s="29"/>
      <c r="S177" s="24"/>
      <c r="T177" s="25"/>
      <c r="U177" s="23"/>
      <c r="V177" s="25"/>
      <c r="W177" s="23"/>
      <c r="X177" s="26"/>
      <c r="Y177" s="24"/>
      <c r="Z177" s="25"/>
      <c r="AA177" s="23"/>
      <c r="AB177" s="25"/>
      <c r="AC177" s="23"/>
      <c r="AD177" s="26"/>
    </row>
    <row r="178">
      <c r="A178" s="30" t="s">
        <v>43</v>
      </c>
      <c r="B178" s="22" t="s">
        <v>70</v>
      </c>
      <c r="C178" s="22" t="s">
        <v>71</v>
      </c>
      <c r="D178" s="24"/>
      <c r="E178" s="25"/>
      <c r="F178" s="23"/>
      <c r="G178" s="25"/>
      <c r="H178" s="23"/>
      <c r="I178" s="26"/>
      <c r="J178" s="24"/>
      <c r="K178" s="25"/>
      <c r="L178" s="23"/>
      <c r="M178" s="25"/>
      <c r="N178" s="23"/>
      <c r="O178" s="26"/>
      <c r="P178" s="27"/>
      <c r="Q178" s="28"/>
      <c r="R178" s="29"/>
      <c r="S178" s="24"/>
      <c r="T178" s="25"/>
      <c r="U178" s="23"/>
      <c r="V178" s="25"/>
      <c r="W178" s="23"/>
      <c r="X178" s="26"/>
      <c r="Y178" s="24"/>
      <c r="Z178" s="25"/>
      <c r="AA178" s="23"/>
      <c r="AB178" s="25"/>
      <c r="AC178" s="23"/>
      <c r="AD178" s="26"/>
    </row>
    <row r="179">
      <c r="A179" s="30" t="s">
        <v>44</v>
      </c>
      <c r="B179" s="22" t="s">
        <v>70</v>
      </c>
      <c r="C179" s="22" t="s">
        <v>71</v>
      </c>
      <c r="D179" s="24"/>
      <c r="E179" s="25"/>
      <c r="F179" s="23"/>
      <c r="G179" s="25"/>
      <c r="H179" s="23"/>
      <c r="I179" s="26"/>
      <c r="J179" s="24"/>
      <c r="K179" s="25"/>
      <c r="L179" s="23"/>
      <c r="M179" s="25"/>
      <c r="N179" s="23"/>
      <c r="O179" s="26"/>
      <c r="P179" s="27"/>
      <c r="Q179" s="28"/>
      <c r="R179" s="29"/>
      <c r="S179" s="24"/>
      <c r="T179" s="25"/>
      <c r="U179" s="23"/>
      <c r="V179" s="25"/>
      <c r="W179" s="23"/>
      <c r="X179" s="26"/>
      <c r="Y179" s="24"/>
      <c r="Z179" s="25"/>
      <c r="AA179" s="23"/>
      <c r="AB179" s="25"/>
      <c r="AC179" s="23"/>
      <c r="AD179" s="26"/>
    </row>
    <row r="180">
      <c r="A180" s="30" t="s">
        <v>45</v>
      </c>
      <c r="B180" s="22" t="s">
        <v>70</v>
      </c>
      <c r="C180" s="22" t="s">
        <v>71</v>
      </c>
      <c r="D180" s="24"/>
      <c r="E180" s="25"/>
      <c r="F180" s="23"/>
      <c r="G180" s="25"/>
      <c r="H180" s="23"/>
      <c r="I180" s="26"/>
      <c r="J180" s="24"/>
      <c r="K180" s="25"/>
      <c r="L180" s="23"/>
      <c r="M180" s="25"/>
      <c r="N180" s="23"/>
      <c r="O180" s="26"/>
      <c r="P180" s="27"/>
      <c r="Q180" s="28"/>
      <c r="R180" s="29"/>
      <c r="S180" s="24"/>
      <c r="T180" s="25"/>
      <c r="U180" s="23"/>
      <c r="V180" s="25"/>
      <c r="W180" s="23"/>
      <c r="X180" s="26"/>
      <c r="Y180" s="24"/>
      <c r="Z180" s="25"/>
      <c r="AA180" s="23"/>
      <c r="AB180" s="25"/>
      <c r="AC180" s="23"/>
      <c r="AD180" s="26"/>
    </row>
    <row r="181">
      <c r="A181" s="30" t="s">
        <v>46</v>
      </c>
      <c r="B181" s="22" t="s">
        <v>70</v>
      </c>
      <c r="C181" s="22" t="s">
        <v>71</v>
      </c>
      <c r="D181" s="24"/>
      <c r="E181" s="25"/>
      <c r="F181" s="23"/>
      <c r="G181" s="25"/>
      <c r="H181" s="23"/>
      <c r="I181" s="26"/>
      <c r="J181" s="24"/>
      <c r="K181" s="25"/>
      <c r="L181" s="23"/>
      <c r="M181" s="25"/>
      <c r="N181" s="23"/>
      <c r="O181" s="26"/>
      <c r="P181" s="27"/>
      <c r="Q181" s="28"/>
      <c r="R181" s="29"/>
      <c r="S181" s="24"/>
      <c r="T181" s="25"/>
      <c r="U181" s="23"/>
      <c r="V181" s="25"/>
      <c r="W181" s="23"/>
      <c r="X181" s="26"/>
      <c r="Y181" s="24"/>
      <c r="Z181" s="25"/>
      <c r="AA181" s="23"/>
      <c r="AB181" s="25"/>
      <c r="AC181" s="23"/>
      <c r="AD181" s="26"/>
    </row>
    <row r="182">
      <c r="A182" s="30" t="s">
        <v>47</v>
      </c>
      <c r="B182" s="22" t="s">
        <v>70</v>
      </c>
      <c r="C182" s="22" t="s">
        <v>71</v>
      </c>
      <c r="D182" s="24"/>
      <c r="E182" s="25"/>
      <c r="F182" s="23"/>
      <c r="G182" s="25"/>
      <c r="H182" s="23"/>
      <c r="I182" s="26"/>
      <c r="J182" s="24"/>
      <c r="K182" s="25"/>
      <c r="L182" s="23"/>
      <c r="M182" s="25"/>
      <c r="N182" s="23"/>
      <c r="O182" s="26"/>
      <c r="P182" s="27"/>
      <c r="Q182" s="28"/>
      <c r="R182" s="29"/>
      <c r="S182" s="24"/>
      <c r="T182" s="25"/>
      <c r="U182" s="23"/>
      <c r="V182" s="25"/>
      <c r="W182" s="23"/>
      <c r="X182" s="26"/>
      <c r="Y182" s="24"/>
      <c r="Z182" s="25"/>
      <c r="AA182" s="23"/>
      <c r="AB182" s="25"/>
      <c r="AC182" s="23"/>
      <c r="AD182" s="26"/>
    </row>
    <row r="183">
      <c r="A183" s="30" t="s">
        <v>48</v>
      </c>
      <c r="B183" s="22" t="s">
        <v>70</v>
      </c>
      <c r="C183" s="22" t="s">
        <v>71</v>
      </c>
      <c r="D183" s="24"/>
      <c r="E183" s="25"/>
      <c r="F183" s="23"/>
      <c r="G183" s="25"/>
      <c r="H183" s="23"/>
      <c r="I183" s="26"/>
      <c r="J183" s="24"/>
      <c r="K183" s="25"/>
      <c r="L183" s="23"/>
      <c r="M183" s="25"/>
      <c r="N183" s="23"/>
      <c r="O183" s="26"/>
      <c r="P183" s="27"/>
      <c r="Q183" s="28"/>
      <c r="R183" s="29"/>
      <c r="S183" s="24"/>
      <c r="T183" s="25"/>
      <c r="U183" s="23"/>
      <c r="V183" s="25"/>
      <c r="W183" s="23"/>
      <c r="X183" s="26"/>
      <c r="Y183" s="24"/>
      <c r="Z183" s="25"/>
      <c r="AA183" s="23"/>
      <c r="AB183" s="25"/>
      <c r="AC183" s="23"/>
      <c r="AD183" s="26"/>
    </row>
    <row r="184">
      <c r="A184" s="30" t="s">
        <v>49</v>
      </c>
      <c r="B184" s="22" t="s">
        <v>70</v>
      </c>
      <c r="C184" s="22" t="s">
        <v>71</v>
      </c>
      <c r="D184" s="24"/>
      <c r="E184" s="25"/>
      <c r="F184" s="23"/>
      <c r="G184" s="25"/>
      <c r="H184" s="23"/>
      <c r="I184" s="26"/>
      <c r="J184" s="24"/>
      <c r="K184" s="25"/>
      <c r="L184" s="23"/>
      <c r="M184" s="25"/>
      <c r="N184" s="23"/>
      <c r="O184" s="26"/>
      <c r="P184" s="27"/>
      <c r="Q184" s="28"/>
      <c r="R184" s="29"/>
      <c r="S184" s="24"/>
      <c r="T184" s="25"/>
      <c r="U184" s="23"/>
      <c r="V184" s="25"/>
      <c r="W184" s="23"/>
      <c r="X184" s="26"/>
      <c r="Y184" s="24"/>
      <c r="Z184" s="25"/>
      <c r="AA184" s="23"/>
      <c r="AB184" s="25"/>
      <c r="AC184" s="23"/>
      <c r="AD184" s="26"/>
    </row>
    <row r="185">
      <c r="A185" s="30" t="s">
        <v>50</v>
      </c>
      <c r="B185" s="22" t="s">
        <v>70</v>
      </c>
      <c r="C185" s="22" t="s">
        <v>71</v>
      </c>
      <c r="D185" s="24"/>
      <c r="E185" s="25"/>
      <c r="F185" s="23"/>
      <c r="G185" s="25"/>
      <c r="H185" s="23"/>
      <c r="I185" s="26"/>
      <c r="J185" s="24"/>
      <c r="K185" s="25"/>
      <c r="L185" s="23"/>
      <c r="M185" s="25"/>
      <c r="N185" s="23"/>
      <c r="O185" s="26"/>
      <c r="P185" s="27"/>
      <c r="Q185" s="28"/>
      <c r="R185" s="29"/>
      <c r="S185" s="24"/>
      <c r="T185" s="25"/>
      <c r="U185" s="23"/>
      <c r="V185" s="25"/>
      <c r="W185" s="23"/>
      <c r="X185" s="26"/>
      <c r="Y185" s="24"/>
      <c r="Z185" s="25"/>
      <c r="AA185" s="23"/>
      <c r="AB185" s="25"/>
      <c r="AC185" s="23"/>
      <c r="AD185" s="26"/>
    </row>
    <row r="186">
      <c r="A186" s="30" t="s">
        <v>51</v>
      </c>
      <c r="B186" s="22" t="s">
        <v>70</v>
      </c>
      <c r="C186" s="22" t="s">
        <v>71</v>
      </c>
      <c r="D186" s="24"/>
      <c r="E186" s="25"/>
      <c r="F186" s="23"/>
      <c r="G186" s="25"/>
      <c r="H186" s="23"/>
      <c r="I186" s="26"/>
      <c r="J186" s="24"/>
      <c r="K186" s="25"/>
      <c r="L186" s="23"/>
      <c r="M186" s="25"/>
      <c r="N186" s="23"/>
      <c r="O186" s="26"/>
      <c r="P186" s="27"/>
      <c r="Q186" s="28"/>
      <c r="R186" s="29"/>
      <c r="S186" s="24"/>
      <c r="T186" s="25"/>
      <c r="U186" s="23"/>
      <c r="V186" s="25"/>
      <c r="W186" s="23"/>
      <c r="X186" s="26"/>
      <c r="Y186" s="24"/>
      <c r="Z186" s="25"/>
      <c r="AA186" s="23"/>
      <c r="AB186" s="25"/>
      <c r="AC186" s="23"/>
      <c r="AD186" s="26"/>
    </row>
    <row r="187">
      <c r="A187" s="30" t="s">
        <v>52</v>
      </c>
      <c r="B187" s="22" t="s">
        <v>70</v>
      </c>
      <c r="C187" s="22" t="s">
        <v>71</v>
      </c>
      <c r="D187" s="24"/>
      <c r="E187" s="25"/>
      <c r="F187" s="23"/>
      <c r="G187" s="25"/>
      <c r="H187" s="23"/>
      <c r="I187" s="26"/>
      <c r="J187" s="24"/>
      <c r="K187" s="25"/>
      <c r="L187" s="23"/>
      <c r="M187" s="25"/>
      <c r="N187" s="23"/>
      <c r="O187" s="26"/>
      <c r="P187" s="27"/>
      <c r="Q187" s="28"/>
      <c r="R187" s="29"/>
      <c r="S187" s="24"/>
      <c r="T187" s="25"/>
      <c r="U187" s="23"/>
      <c r="V187" s="25"/>
      <c r="W187" s="23"/>
      <c r="X187" s="26"/>
      <c r="Y187" s="24"/>
      <c r="Z187" s="25"/>
      <c r="AA187" s="23"/>
      <c r="AB187" s="25"/>
      <c r="AC187" s="23"/>
      <c r="AD187" s="26"/>
    </row>
    <row r="188">
      <c r="A188" s="30" t="s">
        <v>53</v>
      </c>
      <c r="B188" s="22" t="s">
        <v>70</v>
      </c>
      <c r="C188" s="22" t="s">
        <v>71</v>
      </c>
      <c r="D188" s="24"/>
      <c r="E188" s="25"/>
      <c r="F188" s="23"/>
      <c r="G188" s="25"/>
      <c r="H188" s="23"/>
      <c r="I188" s="26"/>
      <c r="J188" s="24"/>
      <c r="K188" s="25"/>
      <c r="L188" s="23"/>
      <c r="M188" s="25"/>
      <c r="N188" s="23"/>
      <c r="O188" s="26"/>
      <c r="P188" s="27"/>
      <c r="Q188" s="28"/>
      <c r="R188" s="29"/>
      <c r="S188" s="24"/>
      <c r="T188" s="25"/>
      <c r="U188" s="23"/>
      <c r="V188" s="25"/>
      <c r="W188" s="23"/>
      <c r="X188" s="26"/>
      <c r="Y188" s="24"/>
      <c r="Z188" s="25"/>
      <c r="AA188" s="23"/>
      <c r="AB188" s="25"/>
      <c r="AC188" s="23"/>
      <c r="AD188" s="26"/>
    </row>
    <row r="189">
      <c r="A189" s="30" t="s">
        <v>54</v>
      </c>
      <c r="B189" s="22" t="s">
        <v>70</v>
      </c>
      <c r="C189" s="22" t="s">
        <v>71</v>
      </c>
      <c r="D189" s="24"/>
      <c r="E189" s="25"/>
      <c r="F189" s="23"/>
      <c r="G189" s="25"/>
      <c r="H189" s="23"/>
      <c r="I189" s="26"/>
      <c r="J189" s="24"/>
      <c r="K189" s="25"/>
      <c r="L189" s="23"/>
      <c r="M189" s="25"/>
      <c r="N189" s="23"/>
      <c r="O189" s="26"/>
      <c r="P189" s="27"/>
      <c r="Q189" s="28"/>
      <c r="R189" s="29"/>
      <c r="S189" s="24"/>
      <c r="T189" s="25"/>
      <c r="U189" s="23"/>
      <c r="V189" s="25"/>
      <c r="W189" s="23"/>
      <c r="X189" s="26"/>
      <c r="Y189" s="24"/>
      <c r="Z189" s="25"/>
      <c r="AA189" s="23"/>
      <c r="AB189" s="25"/>
      <c r="AC189" s="23"/>
      <c r="AD189" s="26"/>
    </row>
    <row r="190">
      <c r="A190" s="30" t="s">
        <v>55</v>
      </c>
      <c r="B190" s="22" t="s">
        <v>70</v>
      </c>
      <c r="C190" s="22" t="s">
        <v>71</v>
      </c>
      <c r="D190" s="24"/>
      <c r="E190" s="25"/>
      <c r="F190" s="23"/>
      <c r="G190" s="25"/>
      <c r="H190" s="23"/>
      <c r="I190" s="26"/>
      <c r="J190" s="24"/>
      <c r="K190" s="25"/>
      <c r="L190" s="23"/>
      <c r="M190" s="25"/>
      <c r="N190" s="23"/>
      <c r="O190" s="26"/>
      <c r="P190" s="27"/>
      <c r="Q190" s="28"/>
      <c r="R190" s="29"/>
      <c r="S190" s="24"/>
      <c r="T190" s="25"/>
      <c r="U190" s="23"/>
      <c r="V190" s="25"/>
      <c r="W190" s="23"/>
      <c r="X190" s="26"/>
      <c r="Y190" s="24"/>
      <c r="Z190" s="25"/>
      <c r="AA190" s="23"/>
      <c r="AB190" s="25"/>
      <c r="AC190" s="23"/>
      <c r="AD190" s="26"/>
    </row>
    <row r="191">
      <c r="A191" s="30" t="s">
        <v>56</v>
      </c>
      <c r="B191" s="22" t="s">
        <v>70</v>
      </c>
      <c r="C191" s="22" t="s">
        <v>71</v>
      </c>
      <c r="D191" s="24"/>
      <c r="E191" s="25"/>
      <c r="F191" s="23"/>
      <c r="G191" s="25"/>
      <c r="H191" s="23"/>
      <c r="I191" s="26"/>
      <c r="J191" s="24"/>
      <c r="K191" s="25"/>
      <c r="L191" s="23"/>
      <c r="M191" s="25"/>
      <c r="N191" s="23"/>
      <c r="O191" s="26"/>
      <c r="P191" s="27"/>
      <c r="Q191" s="28"/>
      <c r="R191" s="29"/>
      <c r="S191" s="24"/>
      <c r="T191" s="25"/>
      <c r="U191" s="23"/>
      <c r="V191" s="25"/>
      <c r="W191" s="23"/>
      <c r="X191" s="26"/>
      <c r="Y191" s="24"/>
      <c r="Z191" s="25"/>
      <c r="AA191" s="23"/>
      <c r="AB191" s="25"/>
      <c r="AC191" s="23"/>
      <c r="AD191" s="26"/>
    </row>
    <row r="192">
      <c r="A192" s="30" t="s">
        <v>57</v>
      </c>
      <c r="B192" s="22" t="s">
        <v>70</v>
      </c>
      <c r="C192" s="22" t="s">
        <v>71</v>
      </c>
      <c r="D192" s="24"/>
      <c r="E192" s="25"/>
      <c r="F192" s="23"/>
      <c r="G192" s="25"/>
      <c r="H192" s="23"/>
      <c r="I192" s="26"/>
      <c r="J192" s="24"/>
      <c r="K192" s="25"/>
      <c r="L192" s="23"/>
      <c r="M192" s="25"/>
      <c r="N192" s="23"/>
      <c r="O192" s="26"/>
      <c r="P192" s="27"/>
      <c r="Q192" s="28"/>
      <c r="R192" s="29"/>
      <c r="S192" s="24"/>
      <c r="T192" s="25"/>
      <c r="U192" s="23"/>
      <c r="V192" s="25"/>
      <c r="W192" s="23"/>
      <c r="X192" s="26"/>
      <c r="Y192" s="24"/>
      <c r="Z192" s="25"/>
      <c r="AA192" s="23"/>
      <c r="AB192" s="25"/>
      <c r="AC192" s="23"/>
      <c r="AD192" s="26"/>
    </row>
    <row r="193">
      <c r="A193" s="30" t="s">
        <v>58</v>
      </c>
      <c r="B193" s="22" t="s">
        <v>70</v>
      </c>
      <c r="C193" s="22" t="s">
        <v>71</v>
      </c>
      <c r="D193" s="24"/>
      <c r="E193" s="25"/>
      <c r="F193" s="23"/>
      <c r="G193" s="25"/>
      <c r="H193" s="23"/>
      <c r="I193" s="26"/>
      <c r="J193" s="24"/>
      <c r="K193" s="25"/>
      <c r="L193" s="23"/>
      <c r="M193" s="25"/>
      <c r="N193" s="23"/>
      <c r="O193" s="26"/>
      <c r="P193" s="27"/>
      <c r="Q193" s="28"/>
      <c r="R193" s="29"/>
      <c r="S193" s="24"/>
      <c r="T193" s="25"/>
      <c r="U193" s="23"/>
      <c r="V193" s="25"/>
      <c r="W193" s="23"/>
      <c r="X193" s="26"/>
      <c r="Y193" s="24"/>
      <c r="Z193" s="25"/>
      <c r="AA193" s="23"/>
      <c r="AB193" s="25"/>
      <c r="AC193" s="23"/>
      <c r="AD193" s="26"/>
    </row>
    <row r="194">
      <c r="A194" s="30" t="s">
        <v>59</v>
      </c>
      <c r="B194" s="22" t="s">
        <v>70</v>
      </c>
      <c r="C194" s="22" t="s">
        <v>71</v>
      </c>
      <c r="D194" s="24"/>
      <c r="E194" s="25"/>
      <c r="F194" s="23"/>
      <c r="G194" s="25"/>
      <c r="H194" s="23"/>
      <c r="I194" s="26"/>
      <c r="J194" s="24"/>
      <c r="K194" s="25"/>
      <c r="L194" s="23"/>
      <c r="M194" s="25"/>
      <c r="N194" s="23"/>
      <c r="O194" s="26"/>
      <c r="P194" s="27"/>
      <c r="Q194" s="28"/>
      <c r="R194" s="29"/>
      <c r="S194" s="24"/>
      <c r="T194" s="25"/>
      <c r="U194" s="23"/>
      <c r="V194" s="25"/>
      <c r="W194" s="23"/>
      <c r="X194" s="26"/>
      <c r="Y194" s="24"/>
      <c r="Z194" s="25"/>
      <c r="AA194" s="23"/>
      <c r="AB194" s="25"/>
      <c r="AC194" s="23"/>
      <c r="AD194" s="26"/>
    </row>
    <row r="195">
      <c r="A195" s="30" t="s">
        <v>60</v>
      </c>
      <c r="B195" s="22" t="s">
        <v>70</v>
      </c>
      <c r="C195" s="22" t="s">
        <v>71</v>
      </c>
      <c r="D195" s="24"/>
      <c r="E195" s="25"/>
      <c r="F195" s="23"/>
      <c r="G195" s="25"/>
      <c r="H195" s="23"/>
      <c r="I195" s="26"/>
      <c r="J195" s="24"/>
      <c r="K195" s="25"/>
      <c r="L195" s="23"/>
      <c r="M195" s="25"/>
      <c r="N195" s="23"/>
      <c r="O195" s="26"/>
      <c r="P195" s="27"/>
      <c r="Q195" s="28"/>
      <c r="R195" s="29"/>
      <c r="S195" s="24"/>
      <c r="T195" s="25"/>
      <c r="U195" s="23"/>
      <c r="V195" s="25"/>
      <c r="W195" s="23"/>
      <c r="X195" s="26"/>
      <c r="Y195" s="24"/>
      <c r="Z195" s="25"/>
      <c r="AA195" s="23"/>
      <c r="AB195" s="25"/>
      <c r="AC195" s="23"/>
      <c r="AD195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BO_DM0032</vt:lpstr>
      <vt:lpstr>BO_DM0032!Print_Titles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2018-09-03T00:18:24Z</dcterms:created>
  <cp:lastPrinted>2018-09-03T04:46:34Z</cp:lastPrinted>
  <dcterms:modified xsi:type="dcterms:W3CDTF">2020-09-02T23:58:52Z</dcterms:modified>
</cp:coreProperties>
</file>