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<sst xmlns="http://schemas.openxmlformats.org/spreadsheetml/2006/main" count="698" uniqueCount="72">
  <si>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</si>
  <si>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</si>
  <si>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</si>
  <si>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</si>
  <si>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</si>
  <si>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</si>
  <si>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</si>
  <si>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</si>
  <si>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</si>
  <si>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</si>
  <si>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</si>
  <si>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</si>
  <si>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</si>
  <si>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</si>
  <si>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</si>
  <si>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</si>
  <si>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</si>
  <si>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</si>
  <si>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</si>
  <si>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</si>
  <si>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</si>
  <si>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</si>
  <si>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</si>
  <si>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</si>
  <si>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</si>
  <si>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</si>
  <si>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5.1</t>
  </si>
  <si>
    <t>日経225オプション</t>
  </si>
  <si>
    <t>Nikkei 225 Options</t>
  </si>
  <si>
    <t>2</t>
  </si>
  <si>
    <t>3</t>
  </si>
  <si>
    <t>4</t>
  </si>
  <si>
    <t>5</t>
  </si>
  <si>
    <t>6</t>
  </si>
  <si>
    <t>7</t>
  </si>
  <si>
    <t>◎</t>
  </si>
  <si>
    <t>8</t>
  </si>
  <si>
    <t>9</t>
  </si>
  <si>
    <t>10</t>
  </si>
  <si>
    <t>●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</si>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</sst>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41688</f>
        <v>41688.0</v>
      </c>
      <c r="F10" s="23"/>
      <c r="G10" s="25" t="n">
        <f>26359</f>
        <v>26359.0</v>
      </c>
      <c r="H10" s="23"/>
      <c r="I10" s="26" t="n">
        <f>68047</f>
        <v>68047.0</v>
      </c>
      <c r="J10" s="24"/>
      <c r="K10" s="25" t="n">
        <f>23484945370</f>
        <v>2.348494537E10</v>
      </c>
      <c r="L10" s="23"/>
      <c r="M10" s="25" t="n">
        <f>12209810270</f>
        <v>1.220981027E10</v>
      </c>
      <c r="N10" s="23"/>
      <c r="O10" s="26" t="n">
        <f>35694755640</f>
        <v>3.569475564E10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14352</f>
        <v>14352.0</v>
      </c>
      <c r="U10" s="23"/>
      <c r="V10" s="25" t="n">
        <f>5552</f>
        <v>5552.0</v>
      </c>
      <c r="W10" s="23"/>
      <c r="X10" s="26" t="n">
        <f>19904</f>
        <v>19904.0</v>
      </c>
      <c r="Y10" s="24"/>
      <c r="Z10" s="25" t="n">
        <f>787767</f>
        <v>787767.0</v>
      </c>
      <c r="AA10" s="23"/>
      <c r="AB10" s="25" t="n">
        <f>513682</f>
        <v>513682.0</v>
      </c>
      <c r="AC10" s="23"/>
      <c r="AD10" s="26" t="n">
        <f>1301449</f>
        <v>1301449.0</v>
      </c>
    </row>
    <row r="11">
      <c r="A11" s="30" t="s">
        <v>29</v>
      </c>
      <c r="B11" s="22" t="s">
        <v>27</v>
      </c>
      <c r="C11" s="22" t="s">
        <v>28</v>
      </c>
      <c r="D11" s="24"/>
      <c r="E11" s="25" t="n">
        <f>32146</f>
        <v>32146.0</v>
      </c>
      <c r="F11" s="23"/>
      <c r="G11" s="25" t="n">
        <f>28937</f>
        <v>28937.0</v>
      </c>
      <c r="H11" s="23"/>
      <c r="I11" s="26" t="n">
        <f>61083</f>
        <v>61083.0</v>
      </c>
      <c r="J11" s="24"/>
      <c r="K11" s="25" t="n">
        <f>7324765945</f>
        <v>7.324765945E9</v>
      </c>
      <c r="L11" s="23"/>
      <c r="M11" s="25" t="n">
        <f>7585349410</f>
        <v>7.58534941E9</v>
      </c>
      <c r="N11" s="23"/>
      <c r="O11" s="26" t="n">
        <f>14910115355</f>
        <v>1.4910115355E10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4937</f>
        <v>4937.0</v>
      </c>
      <c r="U11" s="23"/>
      <c r="V11" s="25" t="n">
        <f>6148</f>
        <v>6148.0</v>
      </c>
      <c r="W11" s="23"/>
      <c r="X11" s="26" t="n">
        <f>11085</f>
        <v>11085.0</v>
      </c>
      <c r="Y11" s="24"/>
      <c r="Z11" s="25" t="n">
        <f>792768</f>
        <v>792768.0</v>
      </c>
      <c r="AA11" s="23"/>
      <c r="AB11" s="25" t="n">
        <f>522110</f>
        <v>522110.0</v>
      </c>
      <c r="AC11" s="23"/>
      <c r="AD11" s="26" t="n">
        <f>1314878</f>
        <v>1314878.0</v>
      </c>
    </row>
    <row r="12">
      <c r="A12" s="30" t="s">
        <v>30</v>
      </c>
      <c r="B12" s="22" t="s">
        <v>27</v>
      </c>
      <c r="C12" s="22" t="s">
        <v>28</v>
      </c>
      <c r="D12" s="24"/>
      <c r="E12" s="25"/>
      <c r="F12" s="23"/>
      <c r="G12" s="25"/>
      <c r="H12" s="23"/>
      <c r="I12" s="26"/>
      <c r="J12" s="24"/>
      <c r="K12" s="25"/>
      <c r="L12" s="23"/>
      <c r="M12" s="25"/>
      <c r="N12" s="23"/>
      <c r="O12" s="26"/>
      <c r="P12" s="27"/>
      <c r="Q12" s="28"/>
      <c r="R12" s="29"/>
      <c r="S12" s="24"/>
      <c r="T12" s="25"/>
      <c r="U12" s="23"/>
      <c r="V12" s="25"/>
      <c r="W12" s="23"/>
      <c r="X12" s="26"/>
      <c r="Y12" s="24"/>
      <c r="Z12" s="25"/>
      <c r="AA12" s="23"/>
      <c r="AB12" s="25"/>
      <c r="AC12" s="23"/>
      <c r="AD12" s="26"/>
    </row>
    <row r="13">
      <c r="A13" s="30" t="s">
        <v>31</v>
      </c>
      <c r="B13" s="22" t="s">
        <v>27</v>
      </c>
      <c r="C13" s="22" t="s">
        <v>28</v>
      </c>
      <c r="D13" s="24"/>
      <c r="E13" s="25"/>
      <c r="F13" s="23"/>
      <c r="G13" s="25"/>
      <c r="H13" s="23"/>
      <c r="I13" s="26"/>
      <c r="J13" s="24"/>
      <c r="K13" s="25"/>
      <c r="L13" s="23"/>
      <c r="M13" s="25"/>
      <c r="N13" s="23"/>
      <c r="O13" s="26"/>
      <c r="P13" s="27"/>
      <c r="Q13" s="28"/>
      <c r="R13" s="29"/>
      <c r="S13" s="24"/>
      <c r="T13" s="25"/>
      <c r="U13" s="23"/>
      <c r="V13" s="25"/>
      <c r="W13" s="23"/>
      <c r="X13" s="26"/>
      <c r="Y13" s="24"/>
      <c r="Z13" s="25"/>
      <c r="AA13" s="23"/>
      <c r="AB13" s="25"/>
      <c r="AC13" s="23"/>
      <c r="AD13" s="26"/>
    </row>
    <row r="14">
      <c r="A14" s="30" t="s">
        <v>32</v>
      </c>
      <c r="B14" s="22" t="s">
        <v>27</v>
      </c>
      <c r="C14" s="22" t="s">
        <v>28</v>
      </c>
      <c r="D14" s="24"/>
      <c r="E14" s="25"/>
      <c r="F14" s="23"/>
      <c r="G14" s="25"/>
      <c r="H14" s="23"/>
      <c r="I14" s="26"/>
      <c r="J14" s="24"/>
      <c r="K14" s="25"/>
      <c r="L14" s="23"/>
      <c r="M14" s="25"/>
      <c r="N14" s="23"/>
      <c r="O14" s="26"/>
      <c r="P14" s="27"/>
      <c r="Q14" s="28"/>
      <c r="R14" s="29"/>
      <c r="S14" s="24"/>
      <c r="T14" s="25"/>
      <c r="U14" s="23"/>
      <c r="V14" s="25"/>
      <c r="W14" s="23"/>
      <c r="X14" s="26"/>
      <c r="Y14" s="24"/>
      <c r="Z14" s="25"/>
      <c r="AA14" s="23"/>
      <c r="AB14" s="25"/>
      <c r="AC14" s="23"/>
      <c r="AD14" s="26"/>
    </row>
    <row r="15">
      <c r="A15" s="30" t="s">
        <v>33</v>
      </c>
      <c r="B15" s="22" t="s">
        <v>27</v>
      </c>
      <c r="C15" s="22" t="s">
        <v>28</v>
      </c>
      <c r="D15" s="24"/>
      <c r="E15" s="25"/>
      <c r="F15" s="23"/>
      <c r="G15" s="25"/>
      <c r="H15" s="23"/>
      <c r="I15" s="26"/>
      <c r="J15" s="24"/>
      <c r="K15" s="25"/>
      <c r="L15" s="23"/>
      <c r="M15" s="25"/>
      <c r="N15" s="23"/>
      <c r="O15" s="26"/>
      <c r="P15" s="27"/>
      <c r="Q15" s="28"/>
      <c r="R15" s="29"/>
      <c r="S15" s="24"/>
      <c r="T15" s="25"/>
      <c r="U15" s="23"/>
      <c r="V15" s="25"/>
      <c r="W15" s="23"/>
      <c r="X15" s="26"/>
      <c r="Y15" s="24"/>
      <c r="Z15" s="25"/>
      <c r="AA15" s="23"/>
      <c r="AB15" s="25"/>
      <c r="AC15" s="23"/>
      <c r="AD15" s="26"/>
    </row>
    <row r="16">
      <c r="A16" s="30" t="s">
        <v>34</v>
      </c>
      <c r="B16" s="22" t="s">
        <v>27</v>
      </c>
      <c r="C16" s="22" t="s">
        <v>28</v>
      </c>
      <c r="D16" s="24" t="s">
        <v>35</v>
      </c>
      <c r="E16" s="25" t="n">
        <f>64079</f>
        <v>64079.0</v>
      </c>
      <c r="F16" s="23" t="s">
        <v>35</v>
      </c>
      <c r="G16" s="25" t="n">
        <f>53756</f>
        <v>53756.0</v>
      </c>
      <c r="H16" s="23" t="s">
        <v>35</v>
      </c>
      <c r="I16" s="26" t="n">
        <f>117835</f>
        <v>117835.0</v>
      </c>
      <c r="J16" s="24"/>
      <c r="K16" s="25" t="n">
        <f>9903664768</f>
        <v>9.903664768E9</v>
      </c>
      <c r="L16" s="23"/>
      <c r="M16" s="25" t="n">
        <f>9045043680</f>
        <v>9.04504368E9</v>
      </c>
      <c r="N16" s="23"/>
      <c r="O16" s="26" t="n">
        <f>18948708448</f>
        <v>1.8948708448E10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 t="s">
        <v>35</v>
      </c>
      <c r="T16" s="25" t="n">
        <f>15854</f>
        <v>15854.0</v>
      </c>
      <c r="U16" s="23" t="s">
        <v>35</v>
      </c>
      <c r="V16" s="25" t="n">
        <f>12787</f>
        <v>12787.0</v>
      </c>
      <c r="W16" s="23" t="s">
        <v>35</v>
      </c>
      <c r="X16" s="26" t="n">
        <f>28641</f>
        <v>28641.0</v>
      </c>
      <c r="Y16" s="24"/>
      <c r="Z16" s="25" t="n">
        <f>790063</f>
        <v>790063.0</v>
      </c>
      <c r="AA16" s="23"/>
      <c r="AB16" s="25" t="n">
        <f>525034</f>
        <v>525034.0</v>
      </c>
      <c r="AC16" s="23"/>
      <c r="AD16" s="26" t="n">
        <f>1315097</f>
        <v>1315097.0</v>
      </c>
    </row>
    <row r="17">
      <c r="A17" s="30" t="s">
        <v>36</v>
      </c>
      <c r="B17" s="22" t="s">
        <v>27</v>
      </c>
      <c r="C17" s="22" t="s">
        <v>28</v>
      </c>
      <c r="D17" s="24"/>
      <c r="E17" s="25" t="n">
        <f>42083</f>
        <v>42083.0</v>
      </c>
      <c r="F17" s="23"/>
      <c r="G17" s="25" t="n">
        <f>37530</f>
        <v>37530.0</v>
      </c>
      <c r="H17" s="23"/>
      <c r="I17" s="26" t="n">
        <f>79613</f>
        <v>79613.0</v>
      </c>
      <c r="J17" s="24"/>
      <c r="K17" s="25" t="n">
        <f>7606479798</f>
        <v>7.606479798E9</v>
      </c>
      <c r="L17" s="23"/>
      <c r="M17" s="25" t="n">
        <f>6249536958</f>
        <v>6.249536958E9</v>
      </c>
      <c r="N17" s="23"/>
      <c r="O17" s="26" t="n">
        <f>13856016756</f>
        <v>1.3856016756E10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9671</f>
        <v>9671.0</v>
      </c>
      <c r="U17" s="23"/>
      <c r="V17" s="25" t="n">
        <f>8436</f>
        <v>8436.0</v>
      </c>
      <c r="W17" s="23"/>
      <c r="X17" s="26" t="n">
        <f>18107</f>
        <v>18107.0</v>
      </c>
      <c r="Y17" s="24"/>
      <c r="Z17" s="25" t="n">
        <f>793785</f>
        <v>793785.0</v>
      </c>
      <c r="AA17" s="23"/>
      <c r="AB17" s="25" t="n">
        <f>528489</f>
        <v>528489.0</v>
      </c>
      <c r="AC17" s="23"/>
      <c r="AD17" s="26" t="n">
        <f>1322274</f>
        <v>1322274.0</v>
      </c>
    </row>
    <row r="18">
      <c r="A18" s="30" t="s">
        <v>37</v>
      </c>
      <c r="B18" s="22" t="s">
        <v>27</v>
      </c>
      <c r="C18" s="22" t="s">
        <v>28</v>
      </c>
      <c r="D18" s="24"/>
      <c r="E18" s="25" t="n">
        <f>38471</f>
        <v>38471.0</v>
      </c>
      <c r="F18" s="23"/>
      <c r="G18" s="25" t="n">
        <f>38200</f>
        <v>38200.0</v>
      </c>
      <c r="H18" s="23"/>
      <c r="I18" s="26" t="n">
        <f>76671</f>
        <v>76671.0</v>
      </c>
      <c r="J18" s="24"/>
      <c r="K18" s="25" t="n">
        <f>11862408630</f>
        <v>1.186240863E10</v>
      </c>
      <c r="L18" s="23"/>
      <c r="M18" s="25" t="n">
        <f>12612714847</f>
        <v>1.2612714847E10</v>
      </c>
      <c r="N18" s="23"/>
      <c r="O18" s="26" t="n">
        <f>24475123477</f>
        <v>2.4475123477E10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6867</f>
        <v>6867.0</v>
      </c>
      <c r="U18" s="23"/>
      <c r="V18" s="25" t="n">
        <f>5968</f>
        <v>5968.0</v>
      </c>
      <c r="W18" s="23"/>
      <c r="X18" s="26" t="n">
        <f>12835</f>
        <v>12835.0</v>
      </c>
      <c r="Y18" s="24" t="s">
        <v>35</v>
      </c>
      <c r="Z18" s="25" t="n">
        <f>801329</f>
        <v>801329.0</v>
      </c>
      <c r="AA18" s="23" t="s">
        <v>35</v>
      </c>
      <c r="AB18" s="25" t="n">
        <f>535455</f>
        <v>535455.0</v>
      </c>
      <c r="AC18" s="23" t="s">
        <v>35</v>
      </c>
      <c r="AD18" s="26" t="n">
        <f>1336784</f>
        <v>1336784.0</v>
      </c>
    </row>
    <row r="19">
      <c r="A19" s="30" t="s">
        <v>38</v>
      </c>
      <c r="B19" s="22" t="s">
        <v>27</v>
      </c>
      <c r="C19" s="22" t="s">
        <v>28</v>
      </c>
      <c r="D19" s="24"/>
      <c r="E19" s="25" t="n">
        <f>34412</f>
        <v>34412.0</v>
      </c>
      <c r="F19" s="23"/>
      <c r="G19" s="25" t="n">
        <f>26137</f>
        <v>26137.0</v>
      </c>
      <c r="H19" s="23"/>
      <c r="I19" s="26" t="n">
        <f>60549</f>
        <v>60549.0</v>
      </c>
      <c r="J19" s="24"/>
      <c r="K19" s="25" t="n">
        <f>8273572746</f>
        <v>8.273572746E9</v>
      </c>
      <c r="L19" s="23"/>
      <c r="M19" s="25" t="n">
        <f>7008640144</f>
        <v>7.008640144E9</v>
      </c>
      <c r="N19" s="23"/>
      <c r="O19" s="26" t="n">
        <f>15282212890</f>
        <v>1.528221289E10</v>
      </c>
      <c r="P19" s="27" t="n">
        <f>9648</f>
        <v>9648.0</v>
      </c>
      <c r="Q19" s="28" t="n">
        <f>16034</f>
        <v>16034.0</v>
      </c>
      <c r="R19" s="29" t="n">
        <f>25682</f>
        <v>25682.0</v>
      </c>
      <c r="S19" s="24"/>
      <c r="T19" s="25" t="n">
        <f>8787</f>
        <v>8787.0</v>
      </c>
      <c r="U19" s="23"/>
      <c r="V19" s="25" t="n">
        <f>7725</f>
        <v>7725.0</v>
      </c>
      <c r="W19" s="23"/>
      <c r="X19" s="26" t="n">
        <f>16512</f>
        <v>16512.0</v>
      </c>
      <c r="Y19" s="24" t="s">
        <v>39</v>
      </c>
      <c r="Z19" s="25" t="n">
        <f>706311</f>
        <v>706311.0</v>
      </c>
      <c r="AA19" s="23" t="s">
        <v>39</v>
      </c>
      <c r="AB19" s="25" t="n">
        <f>458946</f>
        <v>458946.0</v>
      </c>
      <c r="AC19" s="23" t="s">
        <v>39</v>
      </c>
      <c r="AD19" s="26" t="n">
        <f>1165257</f>
        <v>1165257.0</v>
      </c>
    </row>
    <row r="20">
      <c r="A20" s="30" t="s">
        <v>40</v>
      </c>
      <c r="B20" s="22" t="s">
        <v>27</v>
      </c>
      <c r="C20" s="22" t="s">
        <v>28</v>
      </c>
      <c r="D20" s="24"/>
      <c r="E20" s="25"/>
      <c r="F20" s="23"/>
      <c r="G20" s="25"/>
      <c r="H20" s="23"/>
      <c r="I20" s="26"/>
      <c r="J20" s="24"/>
      <c r="K20" s="25"/>
      <c r="L20" s="23"/>
      <c r="M20" s="25"/>
      <c r="N20" s="23"/>
      <c r="O20" s="26"/>
      <c r="P20" s="27"/>
      <c r="Q20" s="28"/>
      <c r="R20" s="29"/>
      <c r="S20" s="24"/>
      <c r="T20" s="25"/>
      <c r="U20" s="23"/>
      <c r="V20" s="25"/>
      <c r="W20" s="23"/>
      <c r="X20" s="26"/>
      <c r="Y20" s="24"/>
      <c r="Z20" s="25"/>
      <c r="AA20" s="23"/>
      <c r="AB20" s="25"/>
      <c r="AC20" s="23"/>
      <c r="AD20" s="26"/>
    </row>
    <row r="21">
      <c r="A21" s="30" t="s">
        <v>41</v>
      </c>
      <c r="B21" s="22" t="s">
        <v>27</v>
      </c>
      <c r="C21" s="22" t="s">
        <v>28</v>
      </c>
      <c r="D21" s="24"/>
      <c r="E21" s="25"/>
      <c r="F21" s="23"/>
      <c r="G21" s="25"/>
      <c r="H21" s="23"/>
      <c r="I21" s="26"/>
      <c r="J21" s="24"/>
      <c r="K21" s="25"/>
      <c r="L21" s="23"/>
      <c r="M21" s="25"/>
      <c r="N21" s="23"/>
      <c r="O21" s="26"/>
      <c r="P21" s="27"/>
      <c r="Q21" s="28"/>
      <c r="R21" s="29"/>
      <c r="S21" s="24"/>
      <c r="T21" s="25"/>
      <c r="U21" s="23"/>
      <c r="V21" s="25"/>
      <c r="W21" s="23"/>
      <c r="X21" s="26"/>
      <c r="Y21" s="24"/>
      <c r="Z21" s="25"/>
      <c r="AA21" s="23"/>
      <c r="AB21" s="25"/>
      <c r="AC21" s="23"/>
      <c r="AD21" s="26"/>
    </row>
    <row r="22">
      <c r="A22" s="30" t="s">
        <v>42</v>
      </c>
      <c r="B22" s="22" t="s">
        <v>27</v>
      </c>
      <c r="C22" s="22" t="s">
        <v>28</v>
      </c>
      <c r="D22" s="24"/>
      <c r="E22" s="25" t="n">
        <f>31874</f>
        <v>31874.0</v>
      </c>
      <c r="F22" s="23"/>
      <c r="G22" s="25" t="n">
        <f>27817</f>
        <v>27817.0</v>
      </c>
      <c r="H22" s="23"/>
      <c r="I22" s="26" t="n">
        <f>59691</f>
        <v>59691.0</v>
      </c>
      <c r="J22" s="24"/>
      <c r="K22" s="25" t="n">
        <f>7252339490</f>
        <v>7.25233949E9</v>
      </c>
      <c r="L22" s="23"/>
      <c r="M22" s="25" t="n">
        <f>6691446934</f>
        <v>6.691446934E9</v>
      </c>
      <c r="N22" s="23"/>
      <c r="O22" s="26" t="n">
        <f>13943786424</f>
        <v>1.3943786424E10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4"/>
      <c r="T22" s="25" t="n">
        <f>4433</f>
        <v>4433.0</v>
      </c>
      <c r="U22" s="23"/>
      <c r="V22" s="25" t="n">
        <f>4603</f>
        <v>4603.0</v>
      </c>
      <c r="W22" s="23"/>
      <c r="X22" s="26" t="n">
        <f>9036</f>
        <v>9036.0</v>
      </c>
      <c r="Y22" s="24"/>
      <c r="Z22" s="25" t="n">
        <f>717854</f>
        <v>717854.0</v>
      </c>
      <c r="AA22" s="23"/>
      <c r="AB22" s="25" t="n">
        <f>462921</f>
        <v>462921.0</v>
      </c>
      <c r="AC22" s="23"/>
      <c r="AD22" s="26" t="n">
        <f>1180775</f>
        <v>1180775.0</v>
      </c>
    </row>
    <row r="23">
      <c r="A23" s="30" t="s">
        <v>43</v>
      </c>
      <c r="B23" s="22" t="s">
        <v>27</v>
      </c>
      <c r="C23" s="22" t="s">
        <v>28</v>
      </c>
      <c r="D23" s="24"/>
      <c r="E23" s="25" t="n">
        <f>24132</f>
        <v>24132.0</v>
      </c>
      <c r="F23" s="23"/>
      <c r="G23" s="25" t="n">
        <f>21975</f>
        <v>21975.0</v>
      </c>
      <c r="H23" s="23"/>
      <c r="I23" s="26" t="n">
        <f>46107</f>
        <v>46107.0</v>
      </c>
      <c r="J23" s="24"/>
      <c r="K23" s="25" t="n">
        <f>8508302070</f>
        <v>8.50830207E9</v>
      </c>
      <c r="L23" s="23"/>
      <c r="M23" s="25" t="n">
        <f>7090735980</f>
        <v>7.09073598E9</v>
      </c>
      <c r="N23" s="23"/>
      <c r="O23" s="26" t="n">
        <f>15599038050</f>
        <v>1.559903805E10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4"/>
      <c r="T23" s="25" t="n">
        <f>3362</f>
        <v>3362.0</v>
      </c>
      <c r="U23" s="23" t="s">
        <v>39</v>
      </c>
      <c r="V23" s="25" t="n">
        <f>2923</f>
        <v>2923.0</v>
      </c>
      <c r="W23" s="23"/>
      <c r="X23" s="26" t="n">
        <f>6285</f>
        <v>6285.0</v>
      </c>
      <c r="Y23" s="24"/>
      <c r="Z23" s="25" t="n">
        <f>722029</f>
        <v>722029.0</v>
      </c>
      <c r="AA23" s="23"/>
      <c r="AB23" s="25" t="n">
        <f>465799</f>
        <v>465799.0</v>
      </c>
      <c r="AC23" s="23"/>
      <c r="AD23" s="26" t="n">
        <f>1187828</f>
        <v>1187828.0</v>
      </c>
    </row>
    <row r="24">
      <c r="A24" s="30" t="s">
        <v>44</v>
      </c>
      <c r="B24" s="22" t="s">
        <v>27</v>
      </c>
      <c r="C24" s="22" t="s">
        <v>28</v>
      </c>
      <c r="D24" s="24"/>
      <c r="E24" s="25" t="n">
        <f>25927</f>
        <v>25927.0</v>
      </c>
      <c r="F24" s="23"/>
      <c r="G24" s="25" t="n">
        <f>18010</f>
        <v>18010.0</v>
      </c>
      <c r="H24" s="23"/>
      <c r="I24" s="26" t="n">
        <f>43937</f>
        <v>43937.0</v>
      </c>
      <c r="J24" s="24"/>
      <c r="K24" s="25" t="n">
        <f>25837229970</f>
        <v>2.583722997E10</v>
      </c>
      <c r="L24" s="23"/>
      <c r="M24" s="25" t="n">
        <f>4892691006</f>
        <v>4.892691006E9</v>
      </c>
      <c r="N24" s="23"/>
      <c r="O24" s="26" t="n">
        <f>30729920976</f>
        <v>3.0729920976E10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 t="s">
        <v>39</v>
      </c>
      <c r="T24" s="25" t="n">
        <f>2860</f>
        <v>2860.0</v>
      </c>
      <c r="U24" s="23"/>
      <c r="V24" s="25" t="n">
        <f>3309</f>
        <v>3309.0</v>
      </c>
      <c r="W24" s="23" t="s">
        <v>39</v>
      </c>
      <c r="X24" s="26" t="n">
        <f>6169</f>
        <v>6169.0</v>
      </c>
      <c r="Y24" s="24"/>
      <c r="Z24" s="25" t="n">
        <f>728815</f>
        <v>728815.0</v>
      </c>
      <c r="AA24" s="23"/>
      <c r="AB24" s="25" t="n">
        <f>468558</f>
        <v>468558.0</v>
      </c>
      <c r="AC24" s="23"/>
      <c r="AD24" s="26" t="n">
        <f>1197373</f>
        <v>1197373.0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29724</f>
        <v>29724.0</v>
      </c>
      <c r="F25" s="23"/>
      <c r="G25" s="25" t="n">
        <f>26658</f>
        <v>26658.0</v>
      </c>
      <c r="H25" s="23"/>
      <c r="I25" s="26" t="n">
        <f>56382</f>
        <v>56382.0</v>
      </c>
      <c r="J25" s="24"/>
      <c r="K25" s="25" t="n">
        <f>8233074341</f>
        <v>8.233074341E9</v>
      </c>
      <c r="L25" s="23"/>
      <c r="M25" s="25" t="n">
        <f>9496855910</f>
        <v>9.49685591E9</v>
      </c>
      <c r="N25" s="23"/>
      <c r="O25" s="26" t="n">
        <f>17729930251</f>
        <v>1.7729930251E10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6286</f>
        <v>6286.0</v>
      </c>
      <c r="U25" s="23"/>
      <c r="V25" s="25" t="n">
        <f>4885</f>
        <v>4885.0</v>
      </c>
      <c r="W25" s="23"/>
      <c r="X25" s="26" t="n">
        <f>11171</f>
        <v>11171.0</v>
      </c>
      <c r="Y25" s="24"/>
      <c r="Z25" s="25" t="n">
        <f>736074</f>
        <v>736074.0</v>
      </c>
      <c r="AA25" s="23"/>
      <c r="AB25" s="25" t="n">
        <f>474824</f>
        <v>474824.0</v>
      </c>
      <c r="AC25" s="23"/>
      <c r="AD25" s="26" t="n">
        <f>1210898</f>
        <v>1210898.0</v>
      </c>
    </row>
    <row r="26">
      <c r="A26" s="30" t="s">
        <v>46</v>
      </c>
      <c r="B26" s="22" t="s">
        <v>27</v>
      </c>
      <c r="C26" s="22" t="s">
        <v>28</v>
      </c>
      <c r="D26" s="24"/>
      <c r="E26" s="25" t="n">
        <f>31922</f>
        <v>31922.0</v>
      </c>
      <c r="F26" s="23"/>
      <c r="G26" s="25" t="n">
        <f>20949</f>
        <v>20949.0</v>
      </c>
      <c r="H26" s="23"/>
      <c r="I26" s="26" t="n">
        <f>52871</f>
        <v>52871.0</v>
      </c>
      <c r="J26" s="24"/>
      <c r="K26" s="25" t="n">
        <f>12415251580</f>
        <v>1.241525158E10</v>
      </c>
      <c r="L26" s="23"/>
      <c r="M26" s="25" t="n">
        <f>14609809028</f>
        <v>1.4609809028E10</v>
      </c>
      <c r="N26" s="23"/>
      <c r="O26" s="26" t="n">
        <f>27025060608</f>
        <v>2.7025060608E10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/>
      <c r="T26" s="25" t="n">
        <f>5304</f>
        <v>5304.0</v>
      </c>
      <c r="U26" s="23"/>
      <c r="V26" s="25" t="n">
        <f>5658</f>
        <v>5658.0</v>
      </c>
      <c r="W26" s="23"/>
      <c r="X26" s="26" t="n">
        <f>10962</f>
        <v>10962.0</v>
      </c>
      <c r="Y26" s="24"/>
      <c r="Z26" s="25" t="n">
        <f>740466</f>
        <v>740466.0</v>
      </c>
      <c r="AA26" s="23"/>
      <c r="AB26" s="25" t="n">
        <f>477082</f>
        <v>477082.0</v>
      </c>
      <c r="AC26" s="23"/>
      <c r="AD26" s="26" t="n">
        <f>1217548</f>
        <v>1217548.0</v>
      </c>
    </row>
    <row r="27">
      <c r="A27" s="30" t="s">
        <v>47</v>
      </c>
      <c r="B27" s="22" t="s">
        <v>27</v>
      </c>
      <c r="C27" s="22" t="s">
        <v>28</v>
      </c>
      <c r="D27" s="24"/>
      <c r="E27" s="25"/>
      <c r="F27" s="23"/>
      <c r="G27" s="25"/>
      <c r="H27" s="23"/>
      <c r="I27" s="26"/>
      <c r="J27" s="24"/>
      <c r="K27" s="25"/>
      <c r="L27" s="23"/>
      <c r="M27" s="25"/>
      <c r="N27" s="23"/>
      <c r="O27" s="26"/>
      <c r="P27" s="27"/>
      <c r="Q27" s="28"/>
      <c r="R27" s="29"/>
      <c r="S27" s="24"/>
      <c r="T27" s="25"/>
      <c r="U27" s="23"/>
      <c r="V27" s="25"/>
      <c r="W27" s="23"/>
      <c r="X27" s="26"/>
      <c r="Y27" s="24"/>
      <c r="Z27" s="25"/>
      <c r="AA27" s="23"/>
      <c r="AB27" s="25"/>
      <c r="AC27" s="23"/>
      <c r="AD27" s="26"/>
    </row>
    <row r="28">
      <c r="A28" s="30" t="s">
        <v>48</v>
      </c>
      <c r="B28" s="22" t="s">
        <v>27</v>
      </c>
      <c r="C28" s="22" t="s">
        <v>28</v>
      </c>
      <c r="D28" s="24"/>
      <c r="E28" s="25"/>
      <c r="F28" s="23"/>
      <c r="G28" s="25"/>
      <c r="H28" s="23"/>
      <c r="I28" s="26"/>
      <c r="J28" s="24"/>
      <c r="K28" s="25"/>
      <c r="L28" s="23"/>
      <c r="M28" s="25"/>
      <c r="N28" s="23"/>
      <c r="O28" s="26"/>
      <c r="P28" s="27"/>
      <c r="Q28" s="28"/>
      <c r="R28" s="29"/>
      <c r="S28" s="24"/>
      <c r="T28" s="25"/>
      <c r="U28" s="23"/>
      <c r="V28" s="25"/>
      <c r="W28" s="23"/>
      <c r="X28" s="26"/>
      <c r="Y28" s="24"/>
      <c r="Z28" s="25"/>
      <c r="AA28" s="23"/>
      <c r="AB28" s="25"/>
      <c r="AC28" s="23"/>
      <c r="AD28" s="26"/>
    </row>
    <row r="29">
      <c r="A29" s="30" t="s">
        <v>49</v>
      </c>
      <c r="B29" s="22" t="s">
        <v>27</v>
      </c>
      <c r="C29" s="22" t="s">
        <v>28</v>
      </c>
      <c r="D29" s="24"/>
      <c r="E29" s="25" t="n">
        <f>35766</f>
        <v>35766.0</v>
      </c>
      <c r="F29" s="23"/>
      <c r="G29" s="25" t="n">
        <f>34862</f>
        <v>34862.0</v>
      </c>
      <c r="H29" s="23"/>
      <c r="I29" s="26" t="n">
        <f>70628</f>
        <v>70628.0</v>
      </c>
      <c r="J29" s="24"/>
      <c r="K29" s="25" t="n">
        <f>6997039520</f>
        <v>6.99703952E9</v>
      </c>
      <c r="L29" s="23" t="s">
        <v>35</v>
      </c>
      <c r="M29" s="25" t="n">
        <f>14664528600</f>
        <v>1.46645286E10</v>
      </c>
      <c r="N29" s="23"/>
      <c r="O29" s="26" t="n">
        <f>21661568120</f>
        <v>2.166156812E10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7502</f>
        <v>7502.0</v>
      </c>
      <c r="U29" s="23"/>
      <c r="V29" s="25" t="n">
        <f>10693</f>
        <v>10693.0</v>
      </c>
      <c r="W29" s="23"/>
      <c r="X29" s="26" t="n">
        <f>18195</f>
        <v>18195.0</v>
      </c>
      <c r="Y29" s="24"/>
      <c r="Z29" s="25" t="n">
        <f>747174</f>
        <v>747174.0</v>
      </c>
      <c r="AA29" s="23"/>
      <c r="AB29" s="25" t="n">
        <f>484466</f>
        <v>484466.0</v>
      </c>
      <c r="AC29" s="23"/>
      <c r="AD29" s="26" t="n">
        <f>1231640</f>
        <v>1231640.0</v>
      </c>
    </row>
    <row r="30">
      <c r="A30" s="30" t="s">
        <v>50</v>
      </c>
      <c r="B30" s="22" t="s">
        <v>27</v>
      </c>
      <c r="C30" s="22" t="s">
        <v>28</v>
      </c>
      <c r="D30" s="24" t="s">
        <v>39</v>
      </c>
      <c r="E30" s="25" t="n">
        <f>19575</f>
        <v>19575.0</v>
      </c>
      <c r="F30" s="23"/>
      <c r="G30" s="25" t="n">
        <f>21518</f>
        <v>21518.0</v>
      </c>
      <c r="H30" s="23" t="s">
        <v>39</v>
      </c>
      <c r="I30" s="26" t="n">
        <f>41093</f>
        <v>41093.0</v>
      </c>
      <c r="J30" s="24" t="s">
        <v>39</v>
      </c>
      <c r="K30" s="25" t="n">
        <f>4678543824</f>
        <v>4.678543824E9</v>
      </c>
      <c r="L30" s="23"/>
      <c r="M30" s="25" t="n">
        <f>8217863506</f>
        <v>8.217863506E9</v>
      </c>
      <c r="N30" s="23"/>
      <c r="O30" s="26" t="n">
        <f>12896407330</f>
        <v>1.289640733E10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4368</f>
        <v>4368.0</v>
      </c>
      <c r="U30" s="23"/>
      <c r="V30" s="25" t="n">
        <f>3461</f>
        <v>3461.0</v>
      </c>
      <c r="W30" s="23"/>
      <c r="X30" s="26" t="n">
        <f>7829</f>
        <v>7829.0</v>
      </c>
      <c r="Y30" s="24"/>
      <c r="Z30" s="25" t="n">
        <f>748108</f>
        <v>748108.0</v>
      </c>
      <c r="AA30" s="23"/>
      <c r="AB30" s="25" t="n">
        <f>483945</f>
        <v>483945.0</v>
      </c>
      <c r="AC30" s="23"/>
      <c r="AD30" s="26" t="n">
        <f>1232053</f>
        <v>1232053.0</v>
      </c>
    </row>
    <row r="31">
      <c r="A31" s="30" t="s">
        <v>51</v>
      </c>
      <c r="B31" s="22" t="s">
        <v>27</v>
      </c>
      <c r="C31" s="22" t="s">
        <v>28</v>
      </c>
      <c r="D31" s="24"/>
      <c r="E31" s="25" t="n">
        <f>23780</f>
        <v>23780.0</v>
      </c>
      <c r="F31" s="23"/>
      <c r="G31" s="25" t="n">
        <f>27945</f>
        <v>27945.0</v>
      </c>
      <c r="H31" s="23"/>
      <c r="I31" s="26" t="n">
        <f>51725</f>
        <v>51725.0</v>
      </c>
      <c r="J31" s="24"/>
      <c r="K31" s="25" t="n">
        <f>13143076520</f>
        <v>1.314307652E10</v>
      </c>
      <c r="L31" s="23"/>
      <c r="M31" s="25" t="n">
        <f>14365301993</f>
        <v>1.4365301993E10</v>
      </c>
      <c r="N31" s="23"/>
      <c r="O31" s="26" t="n">
        <f>27508378513</f>
        <v>2.7508378513E10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4992</f>
        <v>4992.0</v>
      </c>
      <c r="U31" s="23"/>
      <c r="V31" s="25" t="n">
        <f>5991</f>
        <v>5991.0</v>
      </c>
      <c r="W31" s="23"/>
      <c r="X31" s="26" t="n">
        <f>10983</f>
        <v>10983.0</v>
      </c>
      <c r="Y31" s="24"/>
      <c r="Z31" s="25" t="n">
        <f>750669</f>
        <v>750669.0</v>
      </c>
      <c r="AA31" s="23"/>
      <c r="AB31" s="25" t="n">
        <f>487580</f>
        <v>487580.0</v>
      </c>
      <c r="AC31" s="23"/>
      <c r="AD31" s="26" t="n">
        <f>1238249</f>
        <v>1238249.0</v>
      </c>
    </row>
    <row r="32">
      <c r="A32" s="30" t="s">
        <v>52</v>
      </c>
      <c r="B32" s="22" t="s">
        <v>27</v>
      </c>
      <c r="C32" s="22" t="s">
        <v>28</v>
      </c>
      <c r="D32" s="24"/>
      <c r="E32" s="25" t="n">
        <f>31246</f>
        <v>31246.0</v>
      </c>
      <c r="F32" s="23"/>
      <c r="G32" s="25" t="n">
        <f>27233</f>
        <v>27233.0</v>
      </c>
      <c r="H32" s="23"/>
      <c r="I32" s="26" t="n">
        <f>58479</f>
        <v>58479.0</v>
      </c>
      <c r="J32" s="24"/>
      <c r="K32" s="25" t="n">
        <f>6494310530</f>
        <v>6.49431053E9</v>
      </c>
      <c r="L32" s="23"/>
      <c r="M32" s="25" t="n">
        <f>7291976750</f>
        <v>7.29197675E9</v>
      </c>
      <c r="N32" s="23"/>
      <c r="O32" s="26" t="n">
        <f>13786287280</f>
        <v>1.378628728E10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8659</f>
        <v>8659.0</v>
      </c>
      <c r="U32" s="23"/>
      <c r="V32" s="25" t="n">
        <f>3712</f>
        <v>3712.0</v>
      </c>
      <c r="W32" s="23"/>
      <c r="X32" s="26" t="n">
        <f>12371</f>
        <v>12371.0</v>
      </c>
      <c r="Y32" s="24"/>
      <c r="Z32" s="25" t="n">
        <f>755660</f>
        <v>755660.0</v>
      </c>
      <c r="AA32" s="23"/>
      <c r="AB32" s="25" t="n">
        <f>489235</f>
        <v>489235.0</v>
      </c>
      <c r="AC32" s="23"/>
      <c r="AD32" s="26" t="n">
        <f>1244895</f>
        <v>1244895.0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33577</f>
        <v>33577.0</v>
      </c>
      <c r="F33" s="23"/>
      <c r="G33" s="25" t="n">
        <f>26067</f>
        <v>26067.0</v>
      </c>
      <c r="H33" s="23"/>
      <c r="I33" s="26" t="n">
        <f>59644</f>
        <v>59644.0</v>
      </c>
      <c r="J33" s="24"/>
      <c r="K33" s="25" t="n">
        <f>6228783910</f>
        <v>6.22878391E9</v>
      </c>
      <c r="L33" s="23"/>
      <c r="M33" s="25" t="n">
        <f>4539310390</f>
        <v>4.53931039E9</v>
      </c>
      <c r="N33" s="23"/>
      <c r="O33" s="26" t="n">
        <f>10768094300</f>
        <v>1.07680943E10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7037</f>
        <v>7037.0</v>
      </c>
      <c r="U33" s="23"/>
      <c r="V33" s="25" t="n">
        <f>6159</f>
        <v>6159.0</v>
      </c>
      <c r="W33" s="23"/>
      <c r="X33" s="26" t="n">
        <f>13196</f>
        <v>13196.0</v>
      </c>
      <c r="Y33" s="24"/>
      <c r="Z33" s="25" t="n">
        <f>761118</f>
        <v>761118.0</v>
      </c>
      <c r="AA33" s="23"/>
      <c r="AB33" s="25" t="n">
        <f>490564</f>
        <v>490564.0</v>
      </c>
      <c r="AC33" s="23"/>
      <c r="AD33" s="26" t="n">
        <f>1251682</f>
        <v>1251682.0</v>
      </c>
    </row>
    <row r="34">
      <c r="A34" s="30" t="s">
        <v>54</v>
      </c>
      <c r="B34" s="22" t="s">
        <v>27</v>
      </c>
      <c r="C34" s="22" t="s">
        <v>28</v>
      </c>
      <c r="D34" s="24"/>
      <c r="E34" s="25"/>
      <c r="F34" s="23"/>
      <c r="G34" s="25"/>
      <c r="H34" s="23"/>
      <c r="I34" s="26"/>
      <c r="J34" s="24"/>
      <c r="K34" s="25"/>
      <c r="L34" s="23"/>
      <c r="M34" s="25"/>
      <c r="N34" s="23"/>
      <c r="O34" s="26"/>
      <c r="P34" s="27"/>
      <c r="Q34" s="28"/>
      <c r="R34" s="29"/>
      <c r="S34" s="24"/>
      <c r="T34" s="25"/>
      <c r="U34" s="23"/>
      <c r="V34" s="25"/>
      <c r="W34" s="23"/>
      <c r="X34" s="26"/>
      <c r="Y34" s="24"/>
      <c r="Z34" s="25"/>
      <c r="AA34" s="23"/>
      <c r="AB34" s="25"/>
      <c r="AC34" s="23"/>
      <c r="AD34" s="26"/>
    </row>
    <row r="35">
      <c r="A35" s="30" t="s">
        <v>55</v>
      </c>
      <c r="B35" s="22" t="s">
        <v>27</v>
      </c>
      <c r="C35" s="22" t="s">
        <v>28</v>
      </c>
      <c r="D35" s="24"/>
      <c r="E35" s="25"/>
      <c r="F35" s="23"/>
      <c r="G35" s="25"/>
      <c r="H35" s="23"/>
      <c r="I35" s="26"/>
      <c r="J35" s="24"/>
      <c r="K35" s="25"/>
      <c r="L35" s="23"/>
      <c r="M35" s="25"/>
      <c r="N35" s="23"/>
      <c r="O35" s="26"/>
      <c r="P35" s="27"/>
      <c r="Q35" s="28"/>
      <c r="R35" s="29"/>
      <c r="S35" s="24"/>
      <c r="T35" s="25"/>
      <c r="U35" s="23"/>
      <c r="V35" s="25"/>
      <c r="W35" s="23"/>
      <c r="X35" s="26"/>
      <c r="Y35" s="24"/>
      <c r="Z35" s="25"/>
      <c r="AA35" s="23"/>
      <c r="AB35" s="25"/>
      <c r="AC35" s="23"/>
      <c r="AD35" s="26"/>
    </row>
    <row r="36">
      <c r="A36" s="30" t="s">
        <v>56</v>
      </c>
      <c r="B36" s="22" t="s">
        <v>27</v>
      </c>
      <c r="C36" s="22" t="s">
        <v>28</v>
      </c>
      <c r="D36" s="24"/>
      <c r="E36" s="25" t="n">
        <f>24215</f>
        <v>24215.0</v>
      </c>
      <c r="F36" s="23"/>
      <c r="G36" s="25" t="n">
        <f>20675</f>
        <v>20675.0</v>
      </c>
      <c r="H36" s="23"/>
      <c r="I36" s="26" t="n">
        <f>44890</f>
        <v>44890.0</v>
      </c>
      <c r="J36" s="24"/>
      <c r="K36" s="25" t="n">
        <f>5180663509</f>
        <v>5.180663509E9</v>
      </c>
      <c r="L36" s="23" t="s">
        <v>39</v>
      </c>
      <c r="M36" s="25" t="n">
        <f>3523412410</f>
        <v>3.52341241E9</v>
      </c>
      <c r="N36" s="23" t="s">
        <v>39</v>
      </c>
      <c r="O36" s="26" t="n">
        <f>8704075919</f>
        <v>8.704075919E9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/>
      <c r="T36" s="25" t="n">
        <f>5297</f>
        <v>5297.0</v>
      </c>
      <c r="U36" s="23"/>
      <c r="V36" s="25" t="n">
        <f>7262</f>
        <v>7262.0</v>
      </c>
      <c r="W36" s="23"/>
      <c r="X36" s="26" t="n">
        <f>12559</f>
        <v>12559.0</v>
      </c>
      <c r="Y36" s="24"/>
      <c r="Z36" s="25" t="n">
        <f>764826</f>
        <v>764826.0</v>
      </c>
      <c r="AA36" s="23"/>
      <c r="AB36" s="25" t="n">
        <f>494030</f>
        <v>494030.0</v>
      </c>
      <c r="AC36" s="23"/>
      <c r="AD36" s="26" t="n">
        <f>1258856</f>
        <v>1258856.0</v>
      </c>
    </row>
    <row r="37">
      <c r="A37" s="30" t="s">
        <v>57</v>
      </c>
      <c r="B37" s="22" t="s">
        <v>27</v>
      </c>
      <c r="C37" s="22" t="s">
        <v>28</v>
      </c>
      <c r="D37" s="24"/>
      <c r="E37" s="25" t="n">
        <f>24995</f>
        <v>24995.0</v>
      </c>
      <c r="F37" s="23" t="s">
        <v>39</v>
      </c>
      <c r="G37" s="25" t="n">
        <f>17295</f>
        <v>17295.0</v>
      </c>
      <c r="H37" s="23"/>
      <c r="I37" s="26" t="n">
        <f>42290</f>
        <v>42290.0</v>
      </c>
      <c r="J37" s="24"/>
      <c r="K37" s="25" t="n">
        <f>5082619500</f>
        <v>5.0826195E9</v>
      </c>
      <c r="L37" s="23"/>
      <c r="M37" s="25" t="n">
        <f>11404527441</f>
        <v>1.1404527441E10</v>
      </c>
      <c r="N37" s="23"/>
      <c r="O37" s="26" t="n">
        <f>16487146941</f>
        <v>1.6487146941E10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3860</f>
        <v>3860.0</v>
      </c>
      <c r="U37" s="23"/>
      <c r="V37" s="25" t="n">
        <f>4440</f>
        <v>4440.0</v>
      </c>
      <c r="W37" s="23"/>
      <c r="X37" s="26" t="n">
        <f>8300</f>
        <v>8300.0</v>
      </c>
      <c r="Y37" s="24"/>
      <c r="Z37" s="25" t="n">
        <f>769104</f>
        <v>769104.0</v>
      </c>
      <c r="AA37" s="23"/>
      <c r="AB37" s="25" t="n">
        <f>496709</f>
        <v>496709.0</v>
      </c>
      <c r="AC37" s="23"/>
      <c r="AD37" s="26" t="n">
        <f>1265813</f>
        <v>1265813.0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43861</f>
        <v>43861.0</v>
      </c>
      <c r="F38" s="23"/>
      <c r="G38" s="25" t="n">
        <f>31482</f>
        <v>31482.0</v>
      </c>
      <c r="H38" s="23"/>
      <c r="I38" s="26" t="n">
        <f>75343</f>
        <v>75343.0</v>
      </c>
      <c r="J38" s="24" t="s">
        <v>35</v>
      </c>
      <c r="K38" s="25" t="n">
        <f>28704686499</f>
        <v>2.8704686499E10</v>
      </c>
      <c r="L38" s="23"/>
      <c r="M38" s="25" t="n">
        <f>13788542340</f>
        <v>1.378854234E10</v>
      </c>
      <c r="N38" s="23" t="s">
        <v>35</v>
      </c>
      <c r="O38" s="26" t="n">
        <f>42493228839</f>
        <v>4.2493228839E10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5600</f>
        <v>5600.0</v>
      </c>
      <c r="U38" s="23"/>
      <c r="V38" s="25" t="n">
        <f>5048</f>
        <v>5048.0</v>
      </c>
      <c r="W38" s="23"/>
      <c r="X38" s="26" t="n">
        <f>10648</f>
        <v>10648.0</v>
      </c>
      <c r="Y38" s="24"/>
      <c r="Z38" s="25" t="n">
        <f>782792</f>
        <v>782792.0</v>
      </c>
      <c r="AA38" s="23"/>
      <c r="AB38" s="25" t="n">
        <f>507046</f>
        <v>507046.0</v>
      </c>
      <c r="AC38" s="23"/>
      <c r="AD38" s="26" t="n">
        <f>1289838</f>
        <v>1289838.0</v>
      </c>
    </row>
    <row r="39">
      <c r="A39" s="30" t="s">
        <v>59</v>
      </c>
      <c r="B39" s="22" t="s">
        <v>27</v>
      </c>
      <c r="C39" s="22" t="s">
        <v>28</v>
      </c>
      <c r="D39" s="24"/>
      <c r="E39" s="25" t="n">
        <f>43837</f>
        <v>43837.0</v>
      </c>
      <c r="F39" s="23"/>
      <c r="G39" s="25" t="n">
        <f>38208</f>
        <v>38208.0</v>
      </c>
      <c r="H39" s="23"/>
      <c r="I39" s="26" t="n">
        <f>82045</f>
        <v>82045.0</v>
      </c>
      <c r="J39" s="24"/>
      <c r="K39" s="25" t="n">
        <f>11011412240</f>
        <v>1.101141224E10</v>
      </c>
      <c r="L39" s="23"/>
      <c r="M39" s="25" t="n">
        <f>5833379510</f>
        <v>5.83337951E9</v>
      </c>
      <c r="N39" s="23"/>
      <c r="O39" s="26" t="n">
        <f>16844791750</f>
        <v>1.684479175E10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6970</f>
        <v>6970.0</v>
      </c>
      <c r="U39" s="23"/>
      <c r="V39" s="25" t="n">
        <f>7266</f>
        <v>7266.0</v>
      </c>
      <c r="W39" s="23"/>
      <c r="X39" s="26" t="n">
        <f>14236</f>
        <v>14236.0</v>
      </c>
      <c r="Y39" s="24"/>
      <c r="Z39" s="25" t="n">
        <f>789035</f>
        <v>789035.0</v>
      </c>
      <c r="AA39" s="23"/>
      <c r="AB39" s="25" t="n">
        <f>507598</f>
        <v>507598.0</v>
      </c>
      <c r="AC39" s="23"/>
      <c r="AD39" s="26" t="n">
        <f>1296633</f>
        <v>1296633.0</v>
      </c>
    </row>
    <row r="40">
      <c r="A40" s="30" t="s">
        <v>60</v>
      </c>
      <c r="B40" s="22" t="s">
        <v>27</v>
      </c>
      <c r="C40" s="22" t="s">
        <v>28</v>
      </c>
      <c r="D40" s="24"/>
      <c r="E40" s="25" t="n">
        <f>35292</f>
        <v>35292.0</v>
      </c>
      <c r="F40" s="23"/>
      <c r="G40" s="25" t="n">
        <f>28758</f>
        <v>28758.0</v>
      </c>
      <c r="H40" s="23"/>
      <c r="I40" s="26" t="n">
        <f>64050</f>
        <v>64050.0</v>
      </c>
      <c r="J40" s="24"/>
      <c r="K40" s="25" t="n">
        <f>12124212100</f>
        <v>1.21242121E10</v>
      </c>
      <c r="L40" s="23"/>
      <c r="M40" s="25" t="n">
        <f>6773714720</f>
        <v>6.77371472E9</v>
      </c>
      <c r="N40" s="23"/>
      <c r="O40" s="26" t="n">
        <f>18897926820</f>
        <v>1.889792682E10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4"/>
      <c r="T40" s="25" t="n">
        <f>9385</f>
        <v>9385.0</v>
      </c>
      <c r="U40" s="23"/>
      <c r="V40" s="25" t="n">
        <f>8380</f>
        <v>8380.0</v>
      </c>
      <c r="W40" s="23"/>
      <c r="X40" s="26" t="n">
        <f>17765</f>
        <v>17765.0</v>
      </c>
      <c r="Y40" s="24"/>
      <c r="Z40" s="25" t="n">
        <f>789307</f>
        <v>789307.0</v>
      </c>
      <c r="AA40" s="23"/>
      <c r="AB40" s="25" t="n">
        <f>511244</f>
        <v>511244.0</v>
      </c>
      <c r="AC40" s="23"/>
      <c r="AD40" s="26" t="n">
        <f>1300551</f>
        <v>1300551.0</v>
      </c>
    </row>
    <row r="41">
      <c r="A41" s="30" t="s">
        <v>26</v>
      </c>
      <c r="B41" s="22" t="s">
        <v>61</v>
      </c>
      <c r="C41" s="22" t="s">
        <v>62</v>
      </c>
      <c r="D41" s="24"/>
      <c r="E41" s="25" t="n">
        <f>26001</f>
        <v>26001.0</v>
      </c>
      <c r="F41" s="23"/>
      <c r="G41" s="25" t="n">
        <f>38878</f>
        <v>38878.0</v>
      </c>
      <c r="H41" s="23"/>
      <c r="I41" s="26" t="n">
        <f>64879</f>
        <v>64879.0</v>
      </c>
      <c r="J41" s="24"/>
      <c r="K41" s="25" t="n">
        <f>188032890</f>
        <v>1.8803289E8</v>
      </c>
      <c r="L41" s="23"/>
      <c r="M41" s="25" t="n">
        <f>227340940</f>
        <v>2.2734094E8</v>
      </c>
      <c r="N41" s="23"/>
      <c r="O41" s="26" t="n">
        <f>415373830</f>
        <v>4.1537383E8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/>
      <c r="T41" s="25" t="n">
        <f>4540</f>
        <v>4540.0</v>
      </c>
      <c r="U41" s="23" t="s">
        <v>35</v>
      </c>
      <c r="V41" s="25" t="n">
        <f>14488</f>
        <v>14488.0</v>
      </c>
      <c r="W41" s="23"/>
      <c r="X41" s="26" t="n">
        <f>19028</f>
        <v>19028.0</v>
      </c>
      <c r="Y41" s="24"/>
      <c r="Z41" s="25" t="n">
        <f>34342</f>
        <v>34342.0</v>
      </c>
      <c r="AA41" s="23"/>
      <c r="AB41" s="25" t="n">
        <f>37128</f>
        <v>37128.0</v>
      </c>
      <c r="AC41" s="23"/>
      <c r="AD41" s="26" t="n">
        <f>71470</f>
        <v>71470.0</v>
      </c>
    </row>
    <row r="42">
      <c r="A42" s="30" t="s">
        <v>29</v>
      </c>
      <c r="B42" s="22" t="s">
        <v>61</v>
      </c>
      <c r="C42" s="22" t="s">
        <v>62</v>
      </c>
      <c r="D42" s="24" t="s">
        <v>39</v>
      </c>
      <c r="E42" s="25" t="n">
        <f>10839</f>
        <v>10839.0</v>
      </c>
      <c r="F42" s="23" t="s">
        <v>39</v>
      </c>
      <c r="G42" s="25" t="n">
        <f>7079</f>
        <v>7079.0</v>
      </c>
      <c r="H42" s="23" t="s">
        <v>39</v>
      </c>
      <c r="I42" s="26" t="n">
        <f>17918</f>
        <v>17918.0</v>
      </c>
      <c r="J42" s="24"/>
      <c r="K42" s="25" t="n">
        <f>140368700</f>
        <v>1.403687E8</v>
      </c>
      <c r="L42" s="23" t="s">
        <v>39</v>
      </c>
      <c r="M42" s="25" t="n">
        <f>91563380</f>
        <v>9.156338E7</v>
      </c>
      <c r="N42" s="23"/>
      <c r="O42" s="26" t="n">
        <f>231932080</f>
        <v>2.3193208E8</v>
      </c>
      <c r="P42" s="27" t="n">
        <f>1068</f>
        <v>1068.0</v>
      </c>
      <c r="Q42" s="28" t="n">
        <f>490</f>
        <v>490.0</v>
      </c>
      <c r="R42" s="29" t="n">
        <f>1558</f>
        <v>1558.0</v>
      </c>
      <c r="S42" s="24" t="s">
        <v>39</v>
      </c>
      <c r="T42" s="25" t="n">
        <f>980</f>
        <v>980.0</v>
      </c>
      <c r="U42" s="23" t="s">
        <v>39</v>
      </c>
      <c r="V42" s="25" t="n">
        <f>220</f>
        <v>220.0</v>
      </c>
      <c r="W42" s="23" t="s">
        <v>39</v>
      </c>
      <c r="X42" s="26" t="n">
        <f>1200</f>
        <v>1200.0</v>
      </c>
      <c r="Y42" s="24" t="s">
        <v>39</v>
      </c>
      <c r="Z42" s="25" t="n">
        <f>14379</f>
        <v>14379.0</v>
      </c>
      <c r="AA42" s="23" t="s">
        <v>39</v>
      </c>
      <c r="AB42" s="25" t="n">
        <f>13594</f>
        <v>13594.0</v>
      </c>
      <c r="AC42" s="23" t="s">
        <v>39</v>
      </c>
      <c r="AD42" s="26" t="n">
        <f>27973</f>
        <v>27973.0</v>
      </c>
    </row>
    <row r="43">
      <c r="A43" s="30" t="s">
        <v>30</v>
      </c>
      <c r="B43" s="22" t="s">
        <v>61</v>
      </c>
      <c r="C43" s="22" t="s">
        <v>62</v>
      </c>
      <c r="D43" s="24"/>
      <c r="E43" s="25"/>
      <c r="F43" s="23"/>
      <c r="G43" s="25"/>
      <c r="H43" s="23"/>
      <c r="I43" s="26"/>
      <c r="J43" s="24"/>
      <c r="K43" s="25"/>
      <c r="L43" s="23"/>
      <c r="M43" s="25"/>
      <c r="N43" s="23"/>
      <c r="O43" s="26"/>
      <c r="P43" s="27"/>
      <c r="Q43" s="28"/>
      <c r="R43" s="29"/>
      <c r="S43" s="24"/>
      <c r="T43" s="25"/>
      <c r="U43" s="23"/>
      <c r="V43" s="25"/>
      <c r="W43" s="23"/>
      <c r="X43" s="26"/>
      <c r="Y43" s="24"/>
      <c r="Z43" s="25"/>
      <c r="AA43" s="23"/>
      <c r="AB43" s="25"/>
      <c r="AC43" s="23"/>
      <c r="AD43" s="26"/>
    </row>
    <row r="44">
      <c r="A44" s="30" t="s">
        <v>31</v>
      </c>
      <c r="B44" s="22" t="s">
        <v>61</v>
      </c>
      <c r="C44" s="22" t="s">
        <v>62</v>
      </c>
      <c r="D44" s="24"/>
      <c r="E44" s="25"/>
      <c r="F44" s="23"/>
      <c r="G44" s="25"/>
      <c r="H44" s="23"/>
      <c r="I44" s="26"/>
      <c r="J44" s="24"/>
      <c r="K44" s="25"/>
      <c r="L44" s="23"/>
      <c r="M44" s="25"/>
      <c r="N44" s="23"/>
      <c r="O44" s="26"/>
      <c r="P44" s="27"/>
      <c r="Q44" s="28"/>
      <c r="R44" s="29"/>
      <c r="S44" s="24"/>
      <c r="T44" s="25"/>
      <c r="U44" s="23"/>
      <c r="V44" s="25"/>
      <c r="W44" s="23"/>
      <c r="X44" s="26"/>
      <c r="Y44" s="24"/>
      <c r="Z44" s="25"/>
      <c r="AA44" s="23"/>
      <c r="AB44" s="25"/>
      <c r="AC44" s="23"/>
      <c r="AD44" s="26"/>
    </row>
    <row r="45">
      <c r="A45" s="30" t="s">
        <v>32</v>
      </c>
      <c r="B45" s="22" t="s">
        <v>61</v>
      </c>
      <c r="C45" s="22" t="s">
        <v>62</v>
      </c>
      <c r="D45" s="24"/>
      <c r="E45" s="25"/>
      <c r="F45" s="23"/>
      <c r="G45" s="25"/>
      <c r="H45" s="23"/>
      <c r="I45" s="26"/>
      <c r="J45" s="24"/>
      <c r="K45" s="25"/>
      <c r="L45" s="23"/>
      <c r="M45" s="25"/>
      <c r="N45" s="23"/>
      <c r="O45" s="26"/>
      <c r="P45" s="27"/>
      <c r="Q45" s="28"/>
      <c r="R45" s="29"/>
      <c r="S45" s="24"/>
      <c r="T45" s="25"/>
      <c r="U45" s="23"/>
      <c r="V45" s="25"/>
      <c r="W45" s="23"/>
      <c r="X45" s="26"/>
      <c r="Y45" s="24"/>
      <c r="Z45" s="25"/>
      <c r="AA45" s="23"/>
      <c r="AB45" s="25"/>
      <c r="AC45" s="23"/>
      <c r="AD45" s="26"/>
    </row>
    <row r="46">
      <c r="A46" s="30" t="s">
        <v>33</v>
      </c>
      <c r="B46" s="22" t="s">
        <v>61</v>
      </c>
      <c r="C46" s="22" t="s">
        <v>62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34</v>
      </c>
      <c r="B47" s="22" t="s">
        <v>61</v>
      </c>
      <c r="C47" s="22" t="s">
        <v>62</v>
      </c>
      <c r="D47" s="24"/>
      <c r="E47" s="25" t="n">
        <f>27371</f>
        <v>27371.0</v>
      </c>
      <c r="F47" s="23"/>
      <c r="G47" s="25" t="n">
        <f>41948</f>
        <v>41948.0</v>
      </c>
      <c r="H47" s="23"/>
      <c r="I47" s="26" t="n">
        <f>69319</f>
        <v>69319.0</v>
      </c>
      <c r="J47" s="24"/>
      <c r="K47" s="25" t="n">
        <f>363775500</f>
        <v>3.637755E8</v>
      </c>
      <c r="L47" s="23" t="s">
        <v>35</v>
      </c>
      <c r="M47" s="25" t="n">
        <f>509896040</f>
        <v>5.0989604E8</v>
      </c>
      <c r="N47" s="23" t="s">
        <v>35</v>
      </c>
      <c r="O47" s="26" t="n">
        <f>873671540</f>
        <v>8.7367154E8</v>
      </c>
      <c r="P47" s="27" t="str">
        <f>"－"</f>
        <v>－</v>
      </c>
      <c r="Q47" s="28" t="str">
        <f>"－"</f>
        <v>－</v>
      </c>
      <c r="R47" s="29" t="str">
        <f>"－"</f>
        <v>－</v>
      </c>
      <c r="S47" s="24"/>
      <c r="T47" s="25" t="n">
        <f>2270</f>
        <v>2270.0</v>
      </c>
      <c r="U47" s="23"/>
      <c r="V47" s="25" t="n">
        <f>11100</f>
        <v>11100.0</v>
      </c>
      <c r="W47" s="23"/>
      <c r="X47" s="26" t="n">
        <f>13370</f>
        <v>13370.0</v>
      </c>
      <c r="Y47" s="24"/>
      <c r="Z47" s="25" t="n">
        <f>17941</f>
        <v>17941.0</v>
      </c>
      <c r="AA47" s="23"/>
      <c r="AB47" s="25" t="n">
        <f>28280</f>
        <v>28280.0</v>
      </c>
      <c r="AC47" s="23"/>
      <c r="AD47" s="26" t="n">
        <f>46221</f>
        <v>46221.0</v>
      </c>
    </row>
    <row r="48">
      <c r="A48" s="30" t="s">
        <v>36</v>
      </c>
      <c r="B48" s="22" t="s">
        <v>61</v>
      </c>
      <c r="C48" s="22" t="s">
        <v>62</v>
      </c>
      <c r="D48" s="24"/>
      <c r="E48" s="25" t="n">
        <f>22521</f>
        <v>22521.0</v>
      </c>
      <c r="F48" s="23"/>
      <c r="G48" s="25" t="n">
        <f>31168</f>
        <v>31168.0</v>
      </c>
      <c r="H48" s="23"/>
      <c r="I48" s="26" t="n">
        <f>53689</f>
        <v>53689.0</v>
      </c>
      <c r="J48" s="24"/>
      <c r="K48" s="25" t="n">
        <f>191214180</f>
        <v>1.9121418E8</v>
      </c>
      <c r="L48" s="23"/>
      <c r="M48" s="25" t="n">
        <f>231027460</f>
        <v>2.3102746E8</v>
      </c>
      <c r="N48" s="23"/>
      <c r="O48" s="26" t="n">
        <f>422241640</f>
        <v>4.2224164E8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/>
      <c r="T48" s="25" t="n">
        <f>1510</f>
        <v>1510.0</v>
      </c>
      <c r="U48" s="23"/>
      <c r="V48" s="25" t="n">
        <f>8760</f>
        <v>8760.0</v>
      </c>
      <c r="W48" s="23"/>
      <c r="X48" s="26" t="n">
        <f>10270</f>
        <v>10270.0</v>
      </c>
      <c r="Y48" s="24"/>
      <c r="Z48" s="25" t="n">
        <f>23556</f>
        <v>23556.0</v>
      </c>
      <c r="AA48" s="23"/>
      <c r="AB48" s="25" t="n">
        <f>29469</f>
        <v>29469.0</v>
      </c>
      <c r="AC48" s="23"/>
      <c r="AD48" s="26" t="n">
        <f>53025</f>
        <v>53025.0</v>
      </c>
    </row>
    <row r="49">
      <c r="A49" s="30" t="s">
        <v>37</v>
      </c>
      <c r="B49" s="22" t="s">
        <v>61</v>
      </c>
      <c r="C49" s="22" t="s">
        <v>62</v>
      </c>
      <c r="D49" s="24"/>
      <c r="E49" s="25" t="n">
        <f>18834</f>
        <v>18834.0</v>
      </c>
      <c r="F49" s="23"/>
      <c r="G49" s="25" t="n">
        <f>30419</f>
        <v>30419.0</v>
      </c>
      <c r="H49" s="23"/>
      <c r="I49" s="26" t="n">
        <f>49253</f>
        <v>49253.0</v>
      </c>
      <c r="J49" s="24"/>
      <c r="K49" s="25" t="n">
        <f>176397910</f>
        <v>1.7639791E8</v>
      </c>
      <c r="L49" s="23"/>
      <c r="M49" s="25" t="n">
        <f>212922900</f>
        <v>2.129229E8</v>
      </c>
      <c r="N49" s="23"/>
      <c r="O49" s="26" t="n">
        <f>389320810</f>
        <v>3.8932081E8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2330</f>
        <v>2330.0</v>
      </c>
      <c r="U49" s="23"/>
      <c r="V49" s="25" t="n">
        <f>8120</f>
        <v>8120.0</v>
      </c>
      <c r="W49" s="23"/>
      <c r="X49" s="26" t="n">
        <f>10450</f>
        <v>10450.0</v>
      </c>
      <c r="Y49" s="24"/>
      <c r="Z49" s="25" t="n">
        <f>27217</f>
        <v>27217.0</v>
      </c>
      <c r="AA49" s="23"/>
      <c r="AB49" s="25" t="n">
        <f>28083</f>
        <v>28083.0</v>
      </c>
      <c r="AC49" s="23"/>
      <c r="AD49" s="26" t="n">
        <f>55300</f>
        <v>55300.0</v>
      </c>
    </row>
    <row r="50">
      <c r="A50" s="30" t="s">
        <v>38</v>
      </c>
      <c r="B50" s="22" t="s">
        <v>61</v>
      </c>
      <c r="C50" s="22" t="s">
        <v>62</v>
      </c>
      <c r="D50" s="24"/>
      <c r="E50" s="25" t="n">
        <f>25348</f>
        <v>25348.0</v>
      </c>
      <c r="F50" s="23"/>
      <c r="G50" s="25" t="n">
        <f>17793</f>
        <v>17793.0</v>
      </c>
      <c r="H50" s="23"/>
      <c r="I50" s="26" t="n">
        <f>43141</f>
        <v>43141.0</v>
      </c>
      <c r="J50" s="24"/>
      <c r="K50" s="25" t="n">
        <f>286496560</f>
        <v>2.8649656E8</v>
      </c>
      <c r="L50" s="23"/>
      <c r="M50" s="25" t="n">
        <f>193967670</f>
        <v>1.9396767E8</v>
      </c>
      <c r="N50" s="23"/>
      <c r="O50" s="26" t="n">
        <f>480464230</f>
        <v>4.8046423E8</v>
      </c>
      <c r="P50" s="27" t="n">
        <f>1012</f>
        <v>1012.0</v>
      </c>
      <c r="Q50" s="28" t="n">
        <f>3196</f>
        <v>3196.0</v>
      </c>
      <c r="R50" s="29" t="n">
        <f>4208</f>
        <v>4208.0</v>
      </c>
      <c r="S50" s="24"/>
      <c r="T50" s="25" t="n">
        <f>5010</f>
        <v>5010.0</v>
      </c>
      <c r="U50" s="23"/>
      <c r="V50" s="25" t="n">
        <f>2723</f>
        <v>2723.0</v>
      </c>
      <c r="W50" s="23"/>
      <c r="X50" s="26" t="n">
        <f>7733</f>
        <v>7733.0</v>
      </c>
      <c r="Y50" s="24"/>
      <c r="Z50" s="25" t="n">
        <f>22643</f>
        <v>22643.0</v>
      </c>
      <c r="AA50" s="23"/>
      <c r="AB50" s="25" t="n">
        <f>15429</f>
        <v>15429.0</v>
      </c>
      <c r="AC50" s="23"/>
      <c r="AD50" s="26" t="n">
        <f>38072</f>
        <v>38072.0</v>
      </c>
    </row>
    <row r="51">
      <c r="A51" s="30" t="s">
        <v>40</v>
      </c>
      <c r="B51" s="22" t="s">
        <v>61</v>
      </c>
      <c r="C51" s="22" t="s">
        <v>62</v>
      </c>
      <c r="D51" s="24"/>
      <c r="E51" s="25"/>
      <c r="F51" s="23"/>
      <c r="G51" s="25"/>
      <c r="H51" s="23"/>
      <c r="I51" s="26"/>
      <c r="J51" s="24"/>
      <c r="K51" s="25"/>
      <c r="L51" s="23"/>
      <c r="M51" s="25"/>
      <c r="N51" s="23"/>
      <c r="O51" s="26"/>
      <c r="P51" s="27"/>
      <c r="Q51" s="28"/>
      <c r="R51" s="29"/>
      <c r="S51" s="24"/>
      <c r="T51" s="25"/>
      <c r="U51" s="23"/>
      <c r="V51" s="25"/>
      <c r="W51" s="23"/>
      <c r="X51" s="26"/>
      <c r="Y51" s="24"/>
      <c r="Z51" s="25"/>
      <c r="AA51" s="23"/>
      <c r="AB51" s="25"/>
      <c r="AC51" s="23"/>
      <c r="AD51" s="26"/>
    </row>
    <row r="52">
      <c r="A52" s="30" t="s">
        <v>41</v>
      </c>
      <c r="B52" s="22" t="s">
        <v>61</v>
      </c>
      <c r="C52" s="22" t="s">
        <v>62</v>
      </c>
      <c r="D52" s="24"/>
      <c r="E52" s="25"/>
      <c r="F52" s="23"/>
      <c r="G52" s="25"/>
      <c r="H52" s="23"/>
      <c r="I52" s="26"/>
      <c r="J52" s="24"/>
      <c r="K52" s="25"/>
      <c r="L52" s="23"/>
      <c r="M52" s="25"/>
      <c r="N52" s="23"/>
      <c r="O52" s="26"/>
      <c r="P52" s="27"/>
      <c r="Q52" s="28"/>
      <c r="R52" s="29"/>
      <c r="S52" s="24"/>
      <c r="T52" s="25"/>
      <c r="U52" s="23"/>
      <c r="V52" s="25"/>
      <c r="W52" s="23"/>
      <c r="X52" s="26"/>
      <c r="Y52" s="24"/>
      <c r="Z52" s="25"/>
      <c r="AA52" s="23"/>
      <c r="AB52" s="25"/>
      <c r="AC52" s="23"/>
      <c r="AD52" s="26"/>
    </row>
    <row r="53">
      <c r="A53" s="30" t="s">
        <v>42</v>
      </c>
      <c r="B53" s="22" t="s">
        <v>61</v>
      </c>
      <c r="C53" s="22" t="s">
        <v>62</v>
      </c>
      <c r="D53" s="24"/>
      <c r="E53" s="25" t="n">
        <f>22231</f>
        <v>22231.0</v>
      </c>
      <c r="F53" s="23"/>
      <c r="G53" s="25" t="n">
        <f>16541</f>
        <v>16541.0</v>
      </c>
      <c r="H53" s="23"/>
      <c r="I53" s="26" t="n">
        <f>38772</f>
        <v>38772.0</v>
      </c>
      <c r="J53" s="24"/>
      <c r="K53" s="25" t="n">
        <f>226258180</f>
        <v>2.2625818E8</v>
      </c>
      <c r="L53" s="23"/>
      <c r="M53" s="25" t="n">
        <f>161246230</f>
        <v>1.6124623E8</v>
      </c>
      <c r="N53" s="23"/>
      <c r="O53" s="26" t="n">
        <f>387504410</f>
        <v>3.8750441E8</v>
      </c>
      <c r="P53" s="27" t="str">
        <f>"－"</f>
        <v>－</v>
      </c>
      <c r="Q53" s="28" t="str">
        <f>"－"</f>
        <v>－</v>
      </c>
      <c r="R53" s="29" t="str">
        <f>"－"</f>
        <v>－</v>
      </c>
      <c r="S53" s="24"/>
      <c r="T53" s="25" t="n">
        <f>2810</f>
        <v>2810.0</v>
      </c>
      <c r="U53" s="23"/>
      <c r="V53" s="25" t="n">
        <f>2410</f>
        <v>2410.0</v>
      </c>
      <c r="W53" s="23"/>
      <c r="X53" s="26" t="n">
        <f>5220</f>
        <v>5220.0</v>
      </c>
      <c r="Y53" s="24"/>
      <c r="Z53" s="25" t="n">
        <f>29275</f>
        <v>29275.0</v>
      </c>
      <c r="AA53" s="23"/>
      <c r="AB53" s="25" t="n">
        <f>21308</f>
        <v>21308.0</v>
      </c>
      <c r="AC53" s="23"/>
      <c r="AD53" s="26" t="n">
        <f>50583</f>
        <v>50583.0</v>
      </c>
    </row>
    <row r="54">
      <c r="A54" s="30" t="s">
        <v>43</v>
      </c>
      <c r="B54" s="22" t="s">
        <v>61</v>
      </c>
      <c r="C54" s="22" t="s">
        <v>62</v>
      </c>
      <c r="D54" s="24"/>
      <c r="E54" s="25" t="n">
        <f>19267</f>
        <v>19267.0</v>
      </c>
      <c r="F54" s="23"/>
      <c r="G54" s="25" t="n">
        <f>16173</f>
        <v>16173.0</v>
      </c>
      <c r="H54" s="23"/>
      <c r="I54" s="26" t="n">
        <f>35440</f>
        <v>35440.0</v>
      </c>
      <c r="J54" s="24"/>
      <c r="K54" s="25" t="n">
        <f>130795280</f>
        <v>1.3079528E8</v>
      </c>
      <c r="L54" s="23"/>
      <c r="M54" s="25" t="n">
        <f>127659170</f>
        <v>1.2765917E8</v>
      </c>
      <c r="N54" s="23"/>
      <c r="O54" s="26" t="n">
        <f>258454450</f>
        <v>2.5845445E8</v>
      </c>
      <c r="P54" s="27" t="str">
        <f>"－"</f>
        <v>－</v>
      </c>
      <c r="Q54" s="28" t="str">
        <f>"－"</f>
        <v>－</v>
      </c>
      <c r="R54" s="29" t="str">
        <f>"－"</f>
        <v>－</v>
      </c>
      <c r="S54" s="24"/>
      <c r="T54" s="25" t="n">
        <f>3860</f>
        <v>3860.0</v>
      </c>
      <c r="U54" s="23"/>
      <c r="V54" s="25" t="n">
        <f>2150</f>
        <v>2150.0</v>
      </c>
      <c r="W54" s="23"/>
      <c r="X54" s="26" t="n">
        <f>6010</f>
        <v>6010.0</v>
      </c>
      <c r="Y54" s="24"/>
      <c r="Z54" s="25" t="n">
        <f>33493</f>
        <v>33493.0</v>
      </c>
      <c r="AA54" s="23"/>
      <c r="AB54" s="25" t="n">
        <f>25554</f>
        <v>25554.0</v>
      </c>
      <c r="AC54" s="23"/>
      <c r="AD54" s="26" t="n">
        <f>59047</f>
        <v>59047.0</v>
      </c>
    </row>
    <row r="55">
      <c r="A55" s="30" t="s">
        <v>44</v>
      </c>
      <c r="B55" s="22" t="s">
        <v>61</v>
      </c>
      <c r="C55" s="22" t="s">
        <v>62</v>
      </c>
      <c r="D55" s="24"/>
      <c r="E55" s="25" t="n">
        <f>31494</f>
        <v>31494.0</v>
      </c>
      <c r="F55" s="23"/>
      <c r="G55" s="25" t="n">
        <f>30655</f>
        <v>30655.0</v>
      </c>
      <c r="H55" s="23"/>
      <c r="I55" s="26" t="n">
        <f>62149</f>
        <v>62149.0</v>
      </c>
      <c r="J55" s="24"/>
      <c r="K55" s="25" t="n">
        <f>235747110</f>
        <v>2.3574711E8</v>
      </c>
      <c r="L55" s="23"/>
      <c r="M55" s="25" t="n">
        <f>287144630</f>
        <v>2.8714463E8</v>
      </c>
      <c r="N55" s="23"/>
      <c r="O55" s="26" t="n">
        <f>522891740</f>
        <v>5.2289174E8</v>
      </c>
      <c r="P55" s="27" t="str">
        <f>"－"</f>
        <v>－</v>
      </c>
      <c r="Q55" s="28" t="str">
        <f>"－"</f>
        <v>－</v>
      </c>
      <c r="R55" s="29" t="str">
        <f>"－"</f>
        <v>－</v>
      </c>
      <c r="S55" s="24"/>
      <c r="T55" s="25" t="n">
        <f>5760</f>
        <v>5760.0</v>
      </c>
      <c r="U55" s="23"/>
      <c r="V55" s="25" t="n">
        <f>6190</f>
        <v>6190.0</v>
      </c>
      <c r="W55" s="23"/>
      <c r="X55" s="26" t="n">
        <f>11950</f>
        <v>11950.0</v>
      </c>
      <c r="Y55" s="24"/>
      <c r="Z55" s="25" t="n">
        <f>36627</f>
        <v>36627.0</v>
      </c>
      <c r="AA55" s="23"/>
      <c r="AB55" s="25" t="n">
        <f>36486</f>
        <v>36486.0</v>
      </c>
      <c r="AC55" s="23"/>
      <c r="AD55" s="26" t="n">
        <f>73113</f>
        <v>73113.0</v>
      </c>
    </row>
    <row r="56">
      <c r="A56" s="30" t="s">
        <v>45</v>
      </c>
      <c r="B56" s="22" t="s">
        <v>61</v>
      </c>
      <c r="C56" s="22" t="s">
        <v>62</v>
      </c>
      <c r="D56" s="24"/>
      <c r="E56" s="25" t="n">
        <f>33020</f>
        <v>33020.0</v>
      </c>
      <c r="F56" s="23"/>
      <c r="G56" s="25" t="n">
        <f>39592</f>
        <v>39592.0</v>
      </c>
      <c r="H56" s="23"/>
      <c r="I56" s="26" t="n">
        <f>72612</f>
        <v>72612.0</v>
      </c>
      <c r="J56" s="24"/>
      <c r="K56" s="25" t="n">
        <f>209267950</f>
        <v>2.0926795E8</v>
      </c>
      <c r="L56" s="23"/>
      <c r="M56" s="25" t="n">
        <f>312181120</f>
        <v>3.1218112E8</v>
      </c>
      <c r="N56" s="23"/>
      <c r="O56" s="26" t="n">
        <f>521449070</f>
        <v>5.2144907E8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4380</f>
        <v>4380.0</v>
      </c>
      <c r="U56" s="23"/>
      <c r="V56" s="25" t="n">
        <f>10410</f>
        <v>10410.0</v>
      </c>
      <c r="W56" s="23"/>
      <c r="X56" s="26" t="n">
        <f>14790</f>
        <v>14790.0</v>
      </c>
      <c r="Y56" s="24" t="s">
        <v>35</v>
      </c>
      <c r="Z56" s="25" t="n">
        <f>43464</f>
        <v>43464.0</v>
      </c>
      <c r="AA56" s="23"/>
      <c r="AB56" s="25" t="n">
        <f>41436</f>
        <v>41436.0</v>
      </c>
      <c r="AC56" s="23" t="s">
        <v>35</v>
      </c>
      <c r="AD56" s="26" t="n">
        <f>84900</f>
        <v>84900.0</v>
      </c>
    </row>
    <row r="57">
      <c r="A57" s="30" t="s">
        <v>46</v>
      </c>
      <c r="B57" s="22" t="s">
        <v>61</v>
      </c>
      <c r="C57" s="22" t="s">
        <v>62</v>
      </c>
      <c r="D57" s="24"/>
      <c r="E57" s="25" t="n">
        <f>17387</f>
        <v>17387.0</v>
      </c>
      <c r="F57" s="23"/>
      <c r="G57" s="25" t="n">
        <f>21178</f>
        <v>21178.0</v>
      </c>
      <c r="H57" s="23"/>
      <c r="I57" s="26" t="n">
        <f>38565</f>
        <v>38565.0</v>
      </c>
      <c r="J57" s="24"/>
      <c r="K57" s="25" t="n">
        <f>169708720</f>
        <v>1.6970872E8</v>
      </c>
      <c r="L57" s="23"/>
      <c r="M57" s="25" t="n">
        <f>192574240</f>
        <v>1.9257424E8</v>
      </c>
      <c r="N57" s="23"/>
      <c r="O57" s="26" t="n">
        <f>362282960</f>
        <v>3.6228296E8</v>
      </c>
      <c r="P57" s="27" t="n">
        <f>725</f>
        <v>725.0</v>
      </c>
      <c r="Q57" s="28" t="n">
        <f>4840</f>
        <v>4840.0</v>
      </c>
      <c r="R57" s="29" t="n">
        <f>5565</f>
        <v>5565.0</v>
      </c>
      <c r="S57" s="24"/>
      <c r="T57" s="25" t="n">
        <f>1660</f>
        <v>1660.0</v>
      </c>
      <c r="U57" s="23"/>
      <c r="V57" s="25" t="n">
        <f>3630</f>
        <v>3630.0</v>
      </c>
      <c r="W57" s="23"/>
      <c r="X57" s="26" t="n">
        <f>5290</f>
        <v>5290.0</v>
      </c>
      <c r="Y57" s="24"/>
      <c r="Z57" s="25" t="n">
        <f>23918</f>
        <v>23918.0</v>
      </c>
      <c r="AA57" s="23"/>
      <c r="AB57" s="25" t="n">
        <f>26434</f>
        <v>26434.0</v>
      </c>
      <c r="AC57" s="23"/>
      <c r="AD57" s="26" t="n">
        <f>50352</f>
        <v>50352.0</v>
      </c>
    </row>
    <row r="58">
      <c r="A58" s="30" t="s">
        <v>47</v>
      </c>
      <c r="B58" s="22" t="s">
        <v>61</v>
      </c>
      <c r="C58" s="22" t="s">
        <v>62</v>
      </c>
      <c r="D58" s="24"/>
      <c r="E58" s="25"/>
      <c r="F58" s="23"/>
      <c r="G58" s="25"/>
      <c r="H58" s="23"/>
      <c r="I58" s="26"/>
      <c r="J58" s="24"/>
      <c r="K58" s="25"/>
      <c r="L58" s="23"/>
      <c r="M58" s="25"/>
      <c r="N58" s="23"/>
      <c r="O58" s="26"/>
      <c r="P58" s="27"/>
      <c r="Q58" s="28"/>
      <c r="R58" s="29"/>
      <c r="S58" s="24"/>
      <c r="T58" s="25"/>
      <c r="U58" s="23"/>
      <c r="V58" s="25"/>
      <c r="W58" s="23"/>
      <c r="X58" s="26"/>
      <c r="Y58" s="24"/>
      <c r="Z58" s="25"/>
      <c r="AA58" s="23"/>
      <c r="AB58" s="25"/>
      <c r="AC58" s="23"/>
      <c r="AD58" s="26"/>
    </row>
    <row r="59">
      <c r="A59" s="30" t="s">
        <v>48</v>
      </c>
      <c r="B59" s="22" t="s">
        <v>61</v>
      </c>
      <c r="C59" s="22" t="s">
        <v>62</v>
      </c>
      <c r="D59" s="24"/>
      <c r="E59" s="25"/>
      <c r="F59" s="23"/>
      <c r="G59" s="25"/>
      <c r="H59" s="23"/>
      <c r="I59" s="26"/>
      <c r="J59" s="24"/>
      <c r="K59" s="25"/>
      <c r="L59" s="23"/>
      <c r="M59" s="25"/>
      <c r="N59" s="23"/>
      <c r="O59" s="26"/>
      <c r="P59" s="27"/>
      <c r="Q59" s="28"/>
      <c r="R59" s="29"/>
      <c r="S59" s="24"/>
      <c r="T59" s="25"/>
      <c r="U59" s="23"/>
      <c r="V59" s="25"/>
      <c r="W59" s="23"/>
      <c r="X59" s="26"/>
      <c r="Y59" s="24"/>
      <c r="Z59" s="25"/>
      <c r="AA59" s="23"/>
      <c r="AB59" s="25"/>
      <c r="AC59" s="23"/>
      <c r="AD59" s="26"/>
    </row>
    <row r="60">
      <c r="A60" s="30" t="s">
        <v>49</v>
      </c>
      <c r="B60" s="22" t="s">
        <v>61</v>
      </c>
      <c r="C60" s="22" t="s">
        <v>62</v>
      </c>
      <c r="D60" s="24" t="s">
        <v>35</v>
      </c>
      <c r="E60" s="25" t="n">
        <f>49123</f>
        <v>49123.0</v>
      </c>
      <c r="F60" s="23"/>
      <c r="G60" s="25" t="n">
        <f>32443</f>
        <v>32443.0</v>
      </c>
      <c r="H60" s="23"/>
      <c r="I60" s="26" t="n">
        <f>81566</f>
        <v>81566.0</v>
      </c>
      <c r="J60" s="24"/>
      <c r="K60" s="25" t="n">
        <f>331223230</f>
        <v>3.3122323E8</v>
      </c>
      <c r="L60" s="23"/>
      <c r="M60" s="25" t="n">
        <f>299870360</f>
        <v>2.9987036E8</v>
      </c>
      <c r="N60" s="23"/>
      <c r="O60" s="26" t="n">
        <f>631093590</f>
        <v>6.3109359E8</v>
      </c>
      <c r="P60" s="27" t="str">
        <f>"－"</f>
        <v>－</v>
      </c>
      <c r="Q60" s="28" t="str">
        <f>"－"</f>
        <v>－</v>
      </c>
      <c r="R60" s="29" t="str">
        <f>"－"</f>
        <v>－</v>
      </c>
      <c r="S60" s="24" t="s">
        <v>35</v>
      </c>
      <c r="T60" s="25" t="n">
        <f>14980</f>
        <v>14980.0</v>
      </c>
      <c r="U60" s="23"/>
      <c r="V60" s="25" t="n">
        <f>8360</f>
        <v>8360.0</v>
      </c>
      <c r="W60" s="23" t="s">
        <v>35</v>
      </c>
      <c r="X60" s="26" t="n">
        <f>23340</f>
        <v>23340.0</v>
      </c>
      <c r="Y60" s="24"/>
      <c r="Z60" s="25" t="n">
        <f>31155</f>
        <v>31155.0</v>
      </c>
      <c r="AA60" s="23"/>
      <c r="AB60" s="25" t="n">
        <f>24975</f>
        <v>24975.0</v>
      </c>
      <c r="AC60" s="23"/>
      <c r="AD60" s="26" t="n">
        <f>56130</f>
        <v>56130.0</v>
      </c>
    </row>
    <row r="61">
      <c r="A61" s="30" t="s">
        <v>50</v>
      </c>
      <c r="B61" s="22" t="s">
        <v>61</v>
      </c>
      <c r="C61" s="22" t="s">
        <v>62</v>
      </c>
      <c r="D61" s="24"/>
      <c r="E61" s="25" t="n">
        <f>21787</f>
        <v>21787.0</v>
      </c>
      <c r="F61" s="23"/>
      <c r="G61" s="25" t="n">
        <f>26705</f>
        <v>26705.0</v>
      </c>
      <c r="H61" s="23"/>
      <c r="I61" s="26" t="n">
        <f>48492</f>
        <v>48492.0</v>
      </c>
      <c r="J61" s="24"/>
      <c r="K61" s="25" t="n">
        <f>156144390</f>
        <v>1.5614439E8</v>
      </c>
      <c r="L61" s="23"/>
      <c r="M61" s="25" t="n">
        <f>272785120</f>
        <v>2.7278512E8</v>
      </c>
      <c r="N61" s="23"/>
      <c r="O61" s="26" t="n">
        <f>428929510</f>
        <v>4.2892951E8</v>
      </c>
      <c r="P61" s="27" t="str">
        <f>"－"</f>
        <v>－</v>
      </c>
      <c r="Q61" s="28" t="str">
        <f>"－"</f>
        <v>－</v>
      </c>
      <c r="R61" s="29" t="str">
        <f>"－"</f>
        <v>－</v>
      </c>
      <c r="S61" s="24"/>
      <c r="T61" s="25" t="n">
        <f>3310</f>
        <v>3310.0</v>
      </c>
      <c r="U61" s="23"/>
      <c r="V61" s="25" t="n">
        <f>6300</f>
        <v>6300.0</v>
      </c>
      <c r="W61" s="23"/>
      <c r="X61" s="26" t="n">
        <f>9610</f>
        <v>9610.0</v>
      </c>
      <c r="Y61" s="24"/>
      <c r="Z61" s="25" t="n">
        <f>34611</f>
        <v>34611.0</v>
      </c>
      <c r="AA61" s="23"/>
      <c r="AB61" s="25" t="n">
        <f>30159</f>
        <v>30159.0</v>
      </c>
      <c r="AC61" s="23"/>
      <c r="AD61" s="26" t="n">
        <f>64770</f>
        <v>64770.0</v>
      </c>
    </row>
    <row r="62">
      <c r="A62" s="30" t="s">
        <v>51</v>
      </c>
      <c r="B62" s="22" t="s">
        <v>61</v>
      </c>
      <c r="C62" s="22" t="s">
        <v>62</v>
      </c>
      <c r="D62" s="24"/>
      <c r="E62" s="25" t="n">
        <f>22701</f>
        <v>22701.0</v>
      </c>
      <c r="F62" s="23"/>
      <c r="G62" s="25" t="n">
        <f>38743</f>
        <v>38743.0</v>
      </c>
      <c r="H62" s="23"/>
      <c r="I62" s="26" t="n">
        <f>61444</f>
        <v>61444.0</v>
      </c>
      <c r="J62" s="24"/>
      <c r="K62" s="25" t="n">
        <f>207205010</f>
        <v>2.0720501E8</v>
      </c>
      <c r="L62" s="23"/>
      <c r="M62" s="25" t="n">
        <f>232714030</f>
        <v>2.3271403E8</v>
      </c>
      <c r="N62" s="23"/>
      <c r="O62" s="26" t="n">
        <f>439919040</f>
        <v>4.3991904E8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2420</f>
        <v>2420.0</v>
      </c>
      <c r="U62" s="23"/>
      <c r="V62" s="25" t="n">
        <f>8990</f>
        <v>8990.0</v>
      </c>
      <c r="W62" s="23"/>
      <c r="X62" s="26" t="n">
        <f>11410</f>
        <v>11410.0</v>
      </c>
      <c r="Y62" s="24"/>
      <c r="Z62" s="25" t="n">
        <f>35836</f>
        <v>35836.0</v>
      </c>
      <c r="AA62" s="23"/>
      <c r="AB62" s="25" t="n">
        <f>38120</f>
        <v>38120.0</v>
      </c>
      <c r="AC62" s="23"/>
      <c r="AD62" s="26" t="n">
        <f>73956</f>
        <v>73956.0</v>
      </c>
    </row>
    <row r="63">
      <c r="A63" s="30" t="s">
        <v>52</v>
      </c>
      <c r="B63" s="22" t="s">
        <v>61</v>
      </c>
      <c r="C63" s="22" t="s">
        <v>62</v>
      </c>
      <c r="D63" s="24"/>
      <c r="E63" s="25" t="n">
        <f>36422</f>
        <v>36422.0</v>
      </c>
      <c r="F63" s="23" t="s">
        <v>35</v>
      </c>
      <c r="G63" s="25" t="n">
        <f>46464</f>
        <v>46464.0</v>
      </c>
      <c r="H63" s="23"/>
      <c r="I63" s="26" t="n">
        <f>82886</f>
        <v>82886.0</v>
      </c>
      <c r="J63" s="24"/>
      <c r="K63" s="25" t="n">
        <f>226450570</f>
        <v>2.2645057E8</v>
      </c>
      <c r="L63" s="23"/>
      <c r="M63" s="25" t="n">
        <f>332665480</f>
        <v>3.3266548E8</v>
      </c>
      <c r="N63" s="23"/>
      <c r="O63" s="26" t="n">
        <f>559116050</f>
        <v>5.5911605E8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5090</f>
        <v>5090.0</v>
      </c>
      <c r="U63" s="23"/>
      <c r="V63" s="25" t="n">
        <f>8440</f>
        <v>8440.0</v>
      </c>
      <c r="W63" s="23"/>
      <c r="X63" s="26" t="n">
        <f>13530</f>
        <v>13530.0</v>
      </c>
      <c r="Y63" s="24"/>
      <c r="Z63" s="25" t="n">
        <f>40354</f>
        <v>40354.0</v>
      </c>
      <c r="AA63" s="23" t="s">
        <v>35</v>
      </c>
      <c r="AB63" s="25" t="n">
        <f>42802</f>
        <v>42802.0</v>
      </c>
      <c r="AC63" s="23"/>
      <c r="AD63" s="26" t="n">
        <f>83156</f>
        <v>83156.0</v>
      </c>
    </row>
    <row r="64">
      <c r="A64" s="30" t="s">
        <v>53</v>
      </c>
      <c r="B64" s="22" t="s">
        <v>61</v>
      </c>
      <c r="C64" s="22" t="s">
        <v>62</v>
      </c>
      <c r="D64" s="24"/>
      <c r="E64" s="25" t="n">
        <f>23148</f>
        <v>23148.0</v>
      </c>
      <c r="F64" s="23"/>
      <c r="G64" s="25" t="n">
        <f>24801</f>
        <v>24801.0</v>
      </c>
      <c r="H64" s="23"/>
      <c r="I64" s="26" t="n">
        <f>47949</f>
        <v>47949.0</v>
      </c>
      <c r="J64" s="24"/>
      <c r="K64" s="25" t="n">
        <f>244286500</f>
        <v>2.442865E8</v>
      </c>
      <c r="L64" s="23"/>
      <c r="M64" s="25" t="n">
        <f>255159280</f>
        <v>2.5515928E8</v>
      </c>
      <c r="N64" s="23"/>
      <c r="O64" s="26" t="n">
        <f>499445780</f>
        <v>4.9944578E8</v>
      </c>
      <c r="P64" s="27" t="n">
        <f>2790</f>
        <v>2790.0</v>
      </c>
      <c r="Q64" s="28" t="n">
        <f>51</f>
        <v>51.0</v>
      </c>
      <c r="R64" s="29" t="n">
        <f>2841</f>
        <v>2841.0</v>
      </c>
      <c r="S64" s="24"/>
      <c r="T64" s="25" t="n">
        <f>1690</f>
        <v>1690.0</v>
      </c>
      <c r="U64" s="23"/>
      <c r="V64" s="25" t="n">
        <f>3680</f>
        <v>3680.0</v>
      </c>
      <c r="W64" s="23"/>
      <c r="X64" s="26" t="n">
        <f>5370</f>
        <v>5370.0</v>
      </c>
      <c r="Y64" s="24"/>
      <c r="Z64" s="25" t="n">
        <f>20356</f>
        <v>20356.0</v>
      </c>
      <c r="AA64" s="23"/>
      <c r="AB64" s="25" t="n">
        <f>23714</f>
        <v>23714.0</v>
      </c>
      <c r="AC64" s="23"/>
      <c r="AD64" s="26" t="n">
        <f>44070</f>
        <v>44070.0</v>
      </c>
    </row>
    <row r="65">
      <c r="A65" s="30" t="s">
        <v>54</v>
      </c>
      <c r="B65" s="22" t="s">
        <v>61</v>
      </c>
      <c r="C65" s="22" t="s">
        <v>62</v>
      </c>
      <c r="D65" s="24"/>
      <c r="E65" s="25"/>
      <c r="F65" s="23"/>
      <c r="G65" s="25"/>
      <c r="H65" s="23"/>
      <c r="I65" s="26"/>
      <c r="J65" s="24"/>
      <c r="K65" s="25"/>
      <c r="L65" s="23"/>
      <c r="M65" s="25"/>
      <c r="N65" s="23"/>
      <c r="O65" s="26"/>
      <c r="P65" s="27"/>
      <c r="Q65" s="28"/>
      <c r="R65" s="29"/>
      <c r="S65" s="24"/>
      <c r="T65" s="25"/>
      <c r="U65" s="23"/>
      <c r="V65" s="25"/>
      <c r="W65" s="23"/>
      <c r="X65" s="26"/>
      <c r="Y65" s="24"/>
      <c r="Z65" s="25"/>
      <c r="AA65" s="23"/>
      <c r="AB65" s="25"/>
      <c r="AC65" s="23"/>
      <c r="AD65" s="26"/>
    </row>
    <row r="66">
      <c r="A66" s="30" t="s">
        <v>55</v>
      </c>
      <c r="B66" s="22" t="s">
        <v>61</v>
      </c>
      <c r="C66" s="22" t="s">
        <v>62</v>
      </c>
      <c r="D66" s="24"/>
      <c r="E66" s="25"/>
      <c r="F66" s="23"/>
      <c r="G66" s="25"/>
      <c r="H66" s="23"/>
      <c r="I66" s="26"/>
      <c r="J66" s="24"/>
      <c r="K66" s="25"/>
      <c r="L66" s="23"/>
      <c r="M66" s="25"/>
      <c r="N66" s="23"/>
      <c r="O66" s="26"/>
      <c r="P66" s="27"/>
      <c r="Q66" s="28"/>
      <c r="R66" s="29"/>
      <c r="S66" s="24"/>
      <c r="T66" s="25"/>
      <c r="U66" s="23"/>
      <c r="V66" s="25"/>
      <c r="W66" s="23"/>
      <c r="X66" s="26"/>
      <c r="Y66" s="24"/>
      <c r="Z66" s="25"/>
      <c r="AA66" s="23"/>
      <c r="AB66" s="25"/>
      <c r="AC66" s="23"/>
      <c r="AD66" s="26"/>
    </row>
    <row r="67">
      <c r="A67" s="30" t="s">
        <v>56</v>
      </c>
      <c r="B67" s="22" t="s">
        <v>61</v>
      </c>
      <c r="C67" s="22" t="s">
        <v>62</v>
      </c>
      <c r="D67" s="24"/>
      <c r="E67" s="25" t="n">
        <f>16800</f>
        <v>16800.0</v>
      </c>
      <c r="F67" s="23"/>
      <c r="G67" s="25" t="n">
        <f>17629</f>
        <v>17629.0</v>
      </c>
      <c r="H67" s="23"/>
      <c r="I67" s="26" t="n">
        <f>34429</f>
        <v>34429.0</v>
      </c>
      <c r="J67" s="24"/>
      <c r="K67" s="25" t="n">
        <f>128971100</f>
        <v>1.289711E8</v>
      </c>
      <c r="L67" s="23"/>
      <c r="M67" s="25" t="n">
        <f>162553410</f>
        <v>1.6255341E8</v>
      </c>
      <c r="N67" s="23"/>
      <c r="O67" s="26" t="n">
        <f>291524510</f>
        <v>2.9152451E8</v>
      </c>
      <c r="P67" s="27" t="str">
        <f>"－"</f>
        <v>－</v>
      </c>
      <c r="Q67" s="28" t="str">
        <f>"－"</f>
        <v>－</v>
      </c>
      <c r="R67" s="29" t="str">
        <f>"－"</f>
        <v>－</v>
      </c>
      <c r="S67" s="24"/>
      <c r="T67" s="25" t="n">
        <f>2030</f>
        <v>2030.0</v>
      </c>
      <c r="U67" s="23"/>
      <c r="V67" s="25" t="n">
        <f>2030</f>
        <v>2030.0</v>
      </c>
      <c r="W67" s="23"/>
      <c r="X67" s="26" t="n">
        <f>4060</f>
        <v>4060.0</v>
      </c>
      <c r="Y67" s="24"/>
      <c r="Z67" s="25" t="n">
        <f>24826</f>
        <v>24826.0</v>
      </c>
      <c r="AA67" s="23"/>
      <c r="AB67" s="25" t="n">
        <f>27528</f>
        <v>27528.0</v>
      </c>
      <c r="AC67" s="23"/>
      <c r="AD67" s="26" t="n">
        <f>52354</f>
        <v>52354.0</v>
      </c>
    </row>
    <row r="68">
      <c r="A68" s="30" t="s">
        <v>57</v>
      </c>
      <c r="B68" s="22" t="s">
        <v>61</v>
      </c>
      <c r="C68" s="22" t="s">
        <v>62</v>
      </c>
      <c r="D68" s="24"/>
      <c r="E68" s="25" t="n">
        <f>16396</f>
        <v>16396.0</v>
      </c>
      <c r="F68" s="23"/>
      <c r="G68" s="25" t="n">
        <f>12677</f>
        <v>12677.0</v>
      </c>
      <c r="H68" s="23"/>
      <c r="I68" s="26" t="n">
        <f>29073</f>
        <v>29073.0</v>
      </c>
      <c r="J68" s="24" t="s">
        <v>39</v>
      </c>
      <c r="K68" s="25" t="n">
        <f>103660540</f>
        <v>1.0366054E8</v>
      </c>
      <c r="L68" s="23"/>
      <c r="M68" s="25" t="n">
        <f>108588830</f>
        <v>1.0858883E8</v>
      </c>
      <c r="N68" s="23" t="s">
        <v>39</v>
      </c>
      <c r="O68" s="26" t="n">
        <f>212249370</f>
        <v>2.1224937E8</v>
      </c>
      <c r="P68" s="27" t="str">
        <f>"－"</f>
        <v>－</v>
      </c>
      <c r="Q68" s="28" t="str">
        <f>"－"</f>
        <v>－</v>
      </c>
      <c r="R68" s="29" t="str">
        <f>"－"</f>
        <v>－</v>
      </c>
      <c r="S68" s="24"/>
      <c r="T68" s="25" t="n">
        <f>2830</f>
        <v>2830.0</v>
      </c>
      <c r="U68" s="23"/>
      <c r="V68" s="25" t="n">
        <f>1110</f>
        <v>1110.0</v>
      </c>
      <c r="W68" s="23"/>
      <c r="X68" s="26" t="n">
        <f>3940</f>
        <v>3940.0</v>
      </c>
      <c r="Y68" s="24"/>
      <c r="Z68" s="25" t="n">
        <f>29264</f>
        <v>29264.0</v>
      </c>
      <c r="AA68" s="23"/>
      <c r="AB68" s="25" t="n">
        <f>28930</f>
        <v>28930.0</v>
      </c>
      <c r="AC68" s="23"/>
      <c r="AD68" s="26" t="n">
        <f>58194</f>
        <v>58194.0</v>
      </c>
    </row>
    <row r="69">
      <c r="A69" s="30" t="s">
        <v>58</v>
      </c>
      <c r="B69" s="22" t="s">
        <v>61</v>
      </c>
      <c r="C69" s="22" t="s">
        <v>62</v>
      </c>
      <c r="D69" s="24"/>
      <c r="E69" s="25" t="n">
        <f>26316</f>
        <v>26316.0</v>
      </c>
      <c r="F69" s="23"/>
      <c r="G69" s="25" t="n">
        <f>26375</f>
        <v>26375.0</v>
      </c>
      <c r="H69" s="23"/>
      <c r="I69" s="26" t="n">
        <f>52691</f>
        <v>52691.0</v>
      </c>
      <c r="J69" s="24"/>
      <c r="K69" s="25" t="n">
        <f>167850380</f>
        <v>1.6785038E8</v>
      </c>
      <c r="L69" s="23"/>
      <c r="M69" s="25" t="n">
        <f>148173460</f>
        <v>1.4817346E8</v>
      </c>
      <c r="N69" s="23"/>
      <c r="O69" s="26" t="n">
        <f>316023840</f>
        <v>3.1602384E8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4780</f>
        <v>4780.0</v>
      </c>
      <c r="U69" s="23"/>
      <c r="V69" s="25" t="n">
        <f>2400</f>
        <v>2400.0</v>
      </c>
      <c r="W69" s="23"/>
      <c r="X69" s="26" t="n">
        <f>7180</f>
        <v>7180.0</v>
      </c>
      <c r="Y69" s="24"/>
      <c r="Z69" s="25" t="n">
        <f>33832</f>
        <v>33832.0</v>
      </c>
      <c r="AA69" s="23"/>
      <c r="AB69" s="25" t="n">
        <f>29533</f>
        <v>29533.0</v>
      </c>
      <c r="AC69" s="23"/>
      <c r="AD69" s="26" t="n">
        <f>63365</f>
        <v>63365.0</v>
      </c>
    </row>
    <row r="70">
      <c r="A70" s="30" t="s">
        <v>59</v>
      </c>
      <c r="B70" s="22" t="s">
        <v>61</v>
      </c>
      <c r="C70" s="22" t="s">
        <v>62</v>
      </c>
      <c r="D70" s="24"/>
      <c r="E70" s="25" t="n">
        <f>48956</f>
        <v>48956.0</v>
      </c>
      <c r="F70" s="23"/>
      <c r="G70" s="25" t="n">
        <f>38137</f>
        <v>38137.0</v>
      </c>
      <c r="H70" s="23" t="s">
        <v>35</v>
      </c>
      <c r="I70" s="26" t="n">
        <f>87093</f>
        <v>87093.0</v>
      </c>
      <c r="J70" s="24" t="s">
        <v>35</v>
      </c>
      <c r="K70" s="25" t="n">
        <f>538639010</f>
        <v>5.3863901E8</v>
      </c>
      <c r="L70" s="23"/>
      <c r="M70" s="25" t="n">
        <f>246764320</f>
        <v>2.4676432E8</v>
      </c>
      <c r="N70" s="23"/>
      <c r="O70" s="26" t="n">
        <f>785403330</f>
        <v>7.8540333E8</v>
      </c>
      <c r="P70" s="27" t="str">
        <f>"－"</f>
        <v>－</v>
      </c>
      <c r="Q70" s="28" t="str">
        <f>"－"</f>
        <v>－</v>
      </c>
      <c r="R70" s="29" t="str">
        <f>"－"</f>
        <v>－</v>
      </c>
      <c r="S70" s="24"/>
      <c r="T70" s="25" t="n">
        <f>4060</f>
        <v>4060.0</v>
      </c>
      <c r="U70" s="23"/>
      <c r="V70" s="25" t="n">
        <f>6430</f>
        <v>6430.0</v>
      </c>
      <c r="W70" s="23"/>
      <c r="X70" s="26" t="n">
        <f>10490</f>
        <v>10490.0</v>
      </c>
      <c r="Y70" s="24"/>
      <c r="Z70" s="25" t="n">
        <f>35059</f>
        <v>35059.0</v>
      </c>
      <c r="AA70" s="23"/>
      <c r="AB70" s="25" t="n">
        <f>36106</f>
        <v>36106.0</v>
      </c>
      <c r="AC70" s="23"/>
      <c r="AD70" s="26" t="n">
        <f>71165</f>
        <v>71165.0</v>
      </c>
    </row>
    <row r="71">
      <c r="A71" s="30" t="s">
        <v>60</v>
      </c>
      <c r="B71" s="22" t="s">
        <v>61</v>
      </c>
      <c r="C71" s="22" t="s">
        <v>62</v>
      </c>
      <c r="D71" s="24"/>
      <c r="E71" s="25" t="n">
        <f>22756</f>
        <v>22756.0</v>
      </c>
      <c r="F71" s="23"/>
      <c r="G71" s="25" t="n">
        <f>16225</f>
        <v>16225.0</v>
      </c>
      <c r="H71" s="23"/>
      <c r="I71" s="26" t="n">
        <f>38981</f>
        <v>38981.0</v>
      </c>
      <c r="J71" s="24"/>
      <c r="K71" s="25" t="n">
        <f>225140380</f>
        <v>2.2514038E8</v>
      </c>
      <c r="L71" s="23"/>
      <c r="M71" s="25" t="n">
        <f>160802260</f>
        <v>1.6080226E8</v>
      </c>
      <c r="N71" s="23"/>
      <c r="O71" s="26" t="n">
        <f>385942640</f>
        <v>3.8594264E8</v>
      </c>
      <c r="P71" s="27" t="n">
        <f>1802</f>
        <v>1802.0</v>
      </c>
      <c r="Q71" s="28" t="n">
        <f>929</f>
        <v>929.0</v>
      </c>
      <c r="R71" s="29" t="n">
        <f>2731</f>
        <v>2731.0</v>
      </c>
      <c r="S71" s="24"/>
      <c r="T71" s="25" t="n">
        <f>2270</f>
        <v>2270.0</v>
      </c>
      <c r="U71" s="23"/>
      <c r="V71" s="25" t="n">
        <f>800</f>
        <v>800.0</v>
      </c>
      <c r="W71" s="23"/>
      <c r="X71" s="26" t="n">
        <f>3070</f>
        <v>3070.0</v>
      </c>
      <c r="Y71" s="24"/>
      <c r="Z71" s="25" t="n">
        <f>22045</f>
        <v>22045.0</v>
      </c>
      <c r="AA71" s="23"/>
      <c r="AB71" s="25" t="n">
        <f>21658</f>
        <v>21658.0</v>
      </c>
      <c r="AC71" s="23"/>
      <c r="AD71" s="26" t="n">
        <f>43703</f>
        <v>43703.0</v>
      </c>
    </row>
    <row r="72">
      <c r="A72" s="30" t="s">
        <v>26</v>
      </c>
      <c r="B72" s="22" t="s">
        <v>63</v>
      </c>
      <c r="C72" s="22" t="s">
        <v>64</v>
      </c>
      <c r="D72" s="24"/>
      <c r="E72" s="25" t="n">
        <f>3602</f>
        <v>3602.0</v>
      </c>
      <c r="F72" s="23"/>
      <c r="G72" s="25" t="n">
        <f>418</f>
        <v>418.0</v>
      </c>
      <c r="H72" s="23"/>
      <c r="I72" s="26" t="n">
        <f>4020</f>
        <v>4020.0</v>
      </c>
      <c r="J72" s="24"/>
      <c r="K72" s="25" t="n">
        <f>2021906000</f>
        <v>2.021906E9</v>
      </c>
      <c r="L72" s="23"/>
      <c r="M72" s="25" t="n">
        <f>1180036000</f>
        <v>1.180036E9</v>
      </c>
      <c r="N72" s="23"/>
      <c r="O72" s="26" t="n">
        <f>3201942000</f>
        <v>3.201942E9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/>
      <c r="T72" s="25" t="n">
        <f>3200</f>
        <v>3200.0</v>
      </c>
      <c r="U72" s="23" t="s">
        <v>39</v>
      </c>
      <c r="V72" s="25" t="str">
        <f>"－"</f>
        <v>－</v>
      </c>
      <c r="W72" s="23"/>
      <c r="X72" s="26" t="n">
        <f>3200</f>
        <v>3200.0</v>
      </c>
      <c r="Y72" s="24"/>
      <c r="Z72" s="25" t="n">
        <f>104596</f>
        <v>104596.0</v>
      </c>
      <c r="AA72" s="23"/>
      <c r="AB72" s="25" t="n">
        <f>65269</f>
        <v>65269.0</v>
      </c>
      <c r="AC72" s="23"/>
      <c r="AD72" s="26" t="n">
        <f>169865</f>
        <v>169865.0</v>
      </c>
    </row>
    <row r="73">
      <c r="A73" s="30" t="s">
        <v>29</v>
      </c>
      <c r="B73" s="22" t="s">
        <v>63</v>
      </c>
      <c r="C73" s="22" t="s">
        <v>64</v>
      </c>
      <c r="D73" s="24"/>
      <c r="E73" s="25" t="n">
        <f>601</f>
        <v>601.0</v>
      </c>
      <c r="F73" s="23"/>
      <c r="G73" s="25" t="n">
        <f>705</f>
        <v>705.0</v>
      </c>
      <c r="H73" s="23"/>
      <c r="I73" s="26" t="n">
        <f>1306</f>
        <v>1306.0</v>
      </c>
      <c r="J73" s="24"/>
      <c r="K73" s="25" t="n">
        <f>232110000</f>
        <v>2.3211E8</v>
      </c>
      <c r="L73" s="23"/>
      <c r="M73" s="25" t="n">
        <f>113573880</f>
        <v>1.1357388E8</v>
      </c>
      <c r="N73" s="23"/>
      <c r="O73" s="26" t="n">
        <f>345683880</f>
        <v>3.4568388E8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 t="s">
        <v>39</v>
      </c>
      <c r="T73" s="25" t="str">
        <f>"－"</f>
        <v>－</v>
      </c>
      <c r="U73" s="23"/>
      <c r="V73" s="25" t="n">
        <f>705</f>
        <v>705.0</v>
      </c>
      <c r="W73" s="23"/>
      <c r="X73" s="26" t="n">
        <f>705</f>
        <v>705.0</v>
      </c>
      <c r="Y73" s="24"/>
      <c r="Z73" s="25" t="n">
        <f>104996</f>
        <v>104996.0</v>
      </c>
      <c r="AA73" s="23"/>
      <c r="AB73" s="25" t="n">
        <f>65974</f>
        <v>65974.0</v>
      </c>
      <c r="AC73" s="23"/>
      <c r="AD73" s="26" t="n">
        <f>170970</f>
        <v>170970.0</v>
      </c>
    </row>
    <row r="74">
      <c r="A74" s="30" t="s">
        <v>30</v>
      </c>
      <c r="B74" s="22" t="s">
        <v>63</v>
      </c>
      <c r="C74" s="22" t="s">
        <v>64</v>
      </c>
      <c r="D74" s="24"/>
      <c r="E74" s="25"/>
      <c r="F74" s="23"/>
      <c r="G74" s="25"/>
      <c r="H74" s="23"/>
      <c r="I74" s="26"/>
      <c r="J74" s="24"/>
      <c r="K74" s="25"/>
      <c r="L74" s="23"/>
      <c r="M74" s="25"/>
      <c r="N74" s="23"/>
      <c r="O74" s="26"/>
      <c r="P74" s="27"/>
      <c r="Q74" s="28"/>
      <c r="R74" s="29"/>
      <c r="S74" s="24"/>
      <c r="T74" s="25"/>
      <c r="U74" s="23"/>
      <c r="V74" s="25"/>
      <c r="W74" s="23"/>
      <c r="X74" s="26"/>
      <c r="Y74" s="24"/>
      <c r="Z74" s="25"/>
      <c r="AA74" s="23"/>
      <c r="AB74" s="25"/>
      <c r="AC74" s="23"/>
      <c r="AD74" s="26"/>
    </row>
    <row r="75">
      <c r="A75" s="30" t="s">
        <v>31</v>
      </c>
      <c r="B75" s="22" t="s">
        <v>63</v>
      </c>
      <c r="C75" s="22" t="s">
        <v>64</v>
      </c>
      <c r="D75" s="24"/>
      <c r="E75" s="25"/>
      <c r="F75" s="23"/>
      <c r="G75" s="25"/>
      <c r="H75" s="23"/>
      <c r="I75" s="26"/>
      <c r="J75" s="24"/>
      <c r="K75" s="25"/>
      <c r="L75" s="23"/>
      <c r="M75" s="25"/>
      <c r="N75" s="23"/>
      <c r="O75" s="26"/>
      <c r="P75" s="27"/>
      <c r="Q75" s="28"/>
      <c r="R75" s="29"/>
      <c r="S75" s="24"/>
      <c r="T75" s="25"/>
      <c r="U75" s="23"/>
      <c r="V75" s="25"/>
      <c r="W75" s="23"/>
      <c r="X75" s="26"/>
      <c r="Y75" s="24"/>
      <c r="Z75" s="25"/>
      <c r="AA75" s="23"/>
      <c r="AB75" s="25"/>
      <c r="AC75" s="23"/>
      <c r="AD75" s="26"/>
    </row>
    <row r="76">
      <c r="A76" s="30" t="s">
        <v>32</v>
      </c>
      <c r="B76" s="22" t="s">
        <v>63</v>
      </c>
      <c r="C76" s="22" t="s">
        <v>64</v>
      </c>
      <c r="D76" s="24"/>
      <c r="E76" s="25"/>
      <c r="F76" s="23"/>
      <c r="G76" s="25"/>
      <c r="H76" s="23"/>
      <c r="I76" s="26"/>
      <c r="J76" s="24"/>
      <c r="K76" s="25"/>
      <c r="L76" s="23"/>
      <c r="M76" s="25"/>
      <c r="N76" s="23"/>
      <c r="O76" s="26"/>
      <c r="P76" s="27"/>
      <c r="Q76" s="28"/>
      <c r="R76" s="29"/>
      <c r="S76" s="24"/>
      <c r="T76" s="25"/>
      <c r="U76" s="23"/>
      <c r="V76" s="25"/>
      <c r="W76" s="23"/>
      <c r="X76" s="26"/>
      <c r="Y76" s="24"/>
      <c r="Z76" s="25"/>
      <c r="AA76" s="23"/>
      <c r="AB76" s="25"/>
      <c r="AC76" s="23"/>
      <c r="AD76" s="26"/>
    </row>
    <row r="77">
      <c r="A77" s="30" t="s">
        <v>33</v>
      </c>
      <c r="B77" s="22" t="s">
        <v>63</v>
      </c>
      <c r="C77" s="22" t="s">
        <v>64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34</v>
      </c>
      <c r="B78" s="22" t="s">
        <v>63</v>
      </c>
      <c r="C78" s="22" t="s">
        <v>64</v>
      </c>
      <c r="D78" s="24"/>
      <c r="E78" s="25" t="n">
        <f>600</f>
        <v>600.0</v>
      </c>
      <c r="F78" s="23"/>
      <c r="G78" s="25" t="n">
        <f>1125</f>
        <v>1125.0</v>
      </c>
      <c r="H78" s="23"/>
      <c r="I78" s="26" t="n">
        <f>1725</f>
        <v>1725.0</v>
      </c>
      <c r="J78" s="24"/>
      <c r="K78" s="25" t="n">
        <f>130470000</f>
        <v>1.3047E8</v>
      </c>
      <c r="L78" s="23"/>
      <c r="M78" s="25" t="n">
        <f>314455625</f>
        <v>3.14455625E8</v>
      </c>
      <c r="N78" s="23"/>
      <c r="O78" s="26" t="n">
        <f>444925625</f>
        <v>4.44925625E8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n">
        <f>200</f>
        <v>200.0</v>
      </c>
      <c r="U78" s="23"/>
      <c r="V78" s="25" t="n">
        <f>825</f>
        <v>825.0</v>
      </c>
      <c r="W78" s="23"/>
      <c r="X78" s="26" t="n">
        <f>1025</f>
        <v>1025.0</v>
      </c>
      <c r="Y78" s="24"/>
      <c r="Z78" s="25" t="n">
        <f>105513</f>
        <v>105513.0</v>
      </c>
      <c r="AA78" s="23"/>
      <c r="AB78" s="25" t="n">
        <f>67099</f>
        <v>67099.0</v>
      </c>
      <c r="AC78" s="23"/>
      <c r="AD78" s="26" t="n">
        <f>172612</f>
        <v>172612.0</v>
      </c>
    </row>
    <row r="79">
      <c r="A79" s="30" t="s">
        <v>36</v>
      </c>
      <c r="B79" s="22" t="s">
        <v>63</v>
      </c>
      <c r="C79" s="22" t="s">
        <v>64</v>
      </c>
      <c r="D79" s="24"/>
      <c r="E79" s="25" t="n">
        <f>2248</f>
        <v>2248.0</v>
      </c>
      <c r="F79" s="23" t="s">
        <v>35</v>
      </c>
      <c r="G79" s="25" t="n">
        <f>3151</f>
        <v>3151.0</v>
      </c>
      <c r="H79" s="23"/>
      <c r="I79" s="26" t="n">
        <f>5399</f>
        <v>5399.0</v>
      </c>
      <c r="J79" s="24"/>
      <c r="K79" s="25" t="n">
        <f>2621510000</f>
        <v>2.62151E9</v>
      </c>
      <c r="L79" s="23" t="s">
        <v>35</v>
      </c>
      <c r="M79" s="25" t="n">
        <f>2518438405</f>
        <v>2.518438405E9</v>
      </c>
      <c r="N79" s="23" t="s">
        <v>35</v>
      </c>
      <c r="O79" s="26" t="n">
        <f>5139948405</f>
        <v>5.139948405E9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n">
        <f>613</f>
        <v>613.0</v>
      </c>
      <c r="U79" s="23"/>
      <c r="V79" s="25" t="n">
        <f>613</f>
        <v>613.0</v>
      </c>
      <c r="W79" s="23"/>
      <c r="X79" s="26" t="n">
        <f>1226</f>
        <v>1226.0</v>
      </c>
      <c r="Y79" s="24"/>
      <c r="Z79" s="25" t="n">
        <f>106601</f>
        <v>106601.0</v>
      </c>
      <c r="AA79" s="23"/>
      <c r="AB79" s="25" t="n">
        <f>67956</f>
        <v>67956.0</v>
      </c>
      <c r="AC79" s="23"/>
      <c r="AD79" s="26" t="n">
        <f>174557</f>
        <v>174557.0</v>
      </c>
    </row>
    <row r="80">
      <c r="A80" s="30" t="s">
        <v>37</v>
      </c>
      <c r="B80" s="22" t="s">
        <v>63</v>
      </c>
      <c r="C80" s="22" t="s">
        <v>64</v>
      </c>
      <c r="D80" s="24"/>
      <c r="E80" s="25" t="n">
        <f>260</f>
        <v>260.0</v>
      </c>
      <c r="F80" s="23"/>
      <c r="G80" s="25" t="n">
        <f>651</f>
        <v>651.0</v>
      </c>
      <c r="H80" s="23"/>
      <c r="I80" s="26" t="n">
        <f>911</f>
        <v>911.0</v>
      </c>
      <c r="J80" s="24"/>
      <c r="K80" s="25" t="n">
        <f>21970000</f>
        <v>2.197E7</v>
      </c>
      <c r="L80" s="23"/>
      <c r="M80" s="25" t="n">
        <f>136735000</f>
        <v>1.36735E8</v>
      </c>
      <c r="N80" s="23"/>
      <c r="O80" s="26" t="n">
        <f>158705000</f>
        <v>1.58705E8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n">
        <f>200</f>
        <v>200.0</v>
      </c>
      <c r="U80" s="23"/>
      <c r="V80" s="25" t="n">
        <f>600</f>
        <v>600.0</v>
      </c>
      <c r="W80" s="23"/>
      <c r="X80" s="26" t="n">
        <f>800</f>
        <v>800.0</v>
      </c>
      <c r="Y80" s="24"/>
      <c r="Z80" s="25" t="n">
        <f>106851</f>
        <v>106851.0</v>
      </c>
      <c r="AA80" s="23"/>
      <c r="AB80" s="25" t="n">
        <f>68605</f>
        <v>68605.0</v>
      </c>
      <c r="AC80" s="23"/>
      <c r="AD80" s="26" t="n">
        <f>175456</f>
        <v>175456.0</v>
      </c>
    </row>
    <row r="81">
      <c r="A81" s="30" t="s">
        <v>38</v>
      </c>
      <c r="B81" s="22" t="s">
        <v>63</v>
      </c>
      <c r="C81" s="22" t="s">
        <v>64</v>
      </c>
      <c r="D81" s="24" t="s">
        <v>39</v>
      </c>
      <c r="E81" s="25" t="str">
        <f>"－"</f>
        <v>－</v>
      </c>
      <c r="F81" s="23"/>
      <c r="G81" s="25" t="n">
        <f>1029</f>
        <v>1029.0</v>
      </c>
      <c r="H81" s="23"/>
      <c r="I81" s="26" t="n">
        <f>1029</f>
        <v>1029.0</v>
      </c>
      <c r="J81" s="24" t="s">
        <v>39</v>
      </c>
      <c r="K81" s="25" t="str">
        <f>"－"</f>
        <v>－</v>
      </c>
      <c r="L81" s="23"/>
      <c r="M81" s="25" t="n">
        <f>544833020</f>
        <v>5.4483302E8</v>
      </c>
      <c r="N81" s="23"/>
      <c r="O81" s="26" t="n">
        <f>544833020</f>
        <v>5.4483302E8</v>
      </c>
      <c r="P81" s="27" t="n">
        <f>270</f>
        <v>270.0</v>
      </c>
      <c r="Q81" s="28" t="n">
        <f>878</f>
        <v>878.0</v>
      </c>
      <c r="R81" s="29" t="n">
        <f>1148</f>
        <v>1148.0</v>
      </c>
      <c r="S81" s="24"/>
      <c r="T81" s="25" t="str">
        <f>"－"</f>
        <v>－</v>
      </c>
      <c r="U81" s="23"/>
      <c r="V81" s="25" t="n">
        <f>828</f>
        <v>828.0</v>
      </c>
      <c r="W81" s="23"/>
      <c r="X81" s="26" t="n">
        <f>828</f>
        <v>828.0</v>
      </c>
      <c r="Y81" s="24" t="s">
        <v>39</v>
      </c>
      <c r="Z81" s="25" t="n">
        <f>104179</f>
        <v>104179.0</v>
      </c>
      <c r="AA81" s="23" t="s">
        <v>39</v>
      </c>
      <c r="AB81" s="25" t="n">
        <f>64920</f>
        <v>64920.0</v>
      </c>
      <c r="AC81" s="23" t="s">
        <v>39</v>
      </c>
      <c r="AD81" s="26" t="n">
        <f>169099</f>
        <v>169099.0</v>
      </c>
    </row>
    <row r="82">
      <c r="A82" s="30" t="s">
        <v>40</v>
      </c>
      <c r="B82" s="22" t="s">
        <v>63</v>
      </c>
      <c r="C82" s="22" t="s">
        <v>64</v>
      </c>
      <c r="D82" s="24"/>
      <c r="E82" s="25"/>
      <c r="F82" s="23"/>
      <c r="G82" s="25"/>
      <c r="H82" s="23"/>
      <c r="I82" s="26"/>
      <c r="J82" s="24"/>
      <c r="K82" s="25"/>
      <c r="L82" s="23"/>
      <c r="M82" s="25"/>
      <c r="N82" s="23"/>
      <c r="O82" s="26"/>
      <c r="P82" s="27"/>
      <c r="Q82" s="28"/>
      <c r="R82" s="29"/>
      <c r="S82" s="24"/>
      <c r="T82" s="25"/>
      <c r="U82" s="23"/>
      <c r="V82" s="25"/>
      <c r="W82" s="23"/>
      <c r="X82" s="26"/>
      <c r="Y82" s="24"/>
      <c r="Z82" s="25"/>
      <c r="AA82" s="23"/>
      <c r="AB82" s="25"/>
      <c r="AC82" s="23"/>
      <c r="AD82" s="26"/>
    </row>
    <row r="83">
      <c r="A83" s="30" t="s">
        <v>41</v>
      </c>
      <c r="B83" s="22" t="s">
        <v>63</v>
      </c>
      <c r="C83" s="22" t="s">
        <v>64</v>
      </c>
      <c r="D83" s="24"/>
      <c r="E83" s="25"/>
      <c r="F83" s="23"/>
      <c r="G83" s="25"/>
      <c r="H83" s="23"/>
      <c r="I83" s="26"/>
      <c r="J83" s="24"/>
      <c r="K83" s="25"/>
      <c r="L83" s="23"/>
      <c r="M83" s="25"/>
      <c r="N83" s="23"/>
      <c r="O83" s="26"/>
      <c r="P83" s="27"/>
      <c r="Q83" s="28"/>
      <c r="R83" s="29"/>
      <c r="S83" s="24"/>
      <c r="T83" s="25"/>
      <c r="U83" s="23"/>
      <c r="V83" s="25"/>
      <c r="W83" s="23"/>
      <c r="X83" s="26"/>
      <c r="Y83" s="24"/>
      <c r="Z83" s="25"/>
      <c r="AA83" s="23"/>
      <c r="AB83" s="25"/>
      <c r="AC83" s="23"/>
      <c r="AD83" s="26"/>
    </row>
    <row r="84">
      <c r="A84" s="30" t="s">
        <v>42</v>
      </c>
      <c r="B84" s="22" t="s">
        <v>63</v>
      </c>
      <c r="C84" s="22" t="s">
        <v>64</v>
      </c>
      <c r="D84" s="24"/>
      <c r="E84" s="25" t="n">
        <f>75</f>
        <v>75.0</v>
      </c>
      <c r="F84" s="23"/>
      <c r="G84" s="25" t="n">
        <f>459</f>
        <v>459.0</v>
      </c>
      <c r="H84" s="23"/>
      <c r="I84" s="26" t="n">
        <f>534</f>
        <v>534.0</v>
      </c>
      <c r="J84" s="24"/>
      <c r="K84" s="25" t="n">
        <f>41250000</f>
        <v>4.125E7</v>
      </c>
      <c r="L84" s="23"/>
      <c r="M84" s="25" t="n">
        <f>303150736</f>
        <v>3.03150736E8</v>
      </c>
      <c r="N84" s="23"/>
      <c r="O84" s="26" t="n">
        <f>344400736</f>
        <v>3.44400736E8</v>
      </c>
      <c r="P84" s="27" t="str">
        <f>"－"</f>
        <v>－</v>
      </c>
      <c r="Q84" s="28" t="str">
        <f>"－"</f>
        <v>－</v>
      </c>
      <c r="R84" s="29" t="str">
        <f>"－"</f>
        <v>－</v>
      </c>
      <c r="S84" s="24"/>
      <c r="T84" s="25" t="str">
        <f>"－"</f>
        <v>－</v>
      </c>
      <c r="U84" s="23"/>
      <c r="V84" s="25" t="n">
        <f>344</f>
        <v>344.0</v>
      </c>
      <c r="W84" s="23"/>
      <c r="X84" s="26" t="n">
        <f>344</f>
        <v>344.0</v>
      </c>
      <c r="Y84" s="24"/>
      <c r="Z84" s="25" t="n">
        <f>104254</f>
        <v>104254.0</v>
      </c>
      <c r="AA84" s="23"/>
      <c r="AB84" s="25" t="n">
        <f>65129</f>
        <v>65129.0</v>
      </c>
      <c r="AC84" s="23"/>
      <c r="AD84" s="26" t="n">
        <f>169383</f>
        <v>169383.0</v>
      </c>
    </row>
    <row r="85">
      <c r="A85" s="30" t="s">
        <v>43</v>
      </c>
      <c r="B85" s="22" t="s">
        <v>63</v>
      </c>
      <c r="C85" s="22" t="s">
        <v>64</v>
      </c>
      <c r="D85" s="24"/>
      <c r="E85" s="25" t="n">
        <f>1668</f>
        <v>1668.0</v>
      </c>
      <c r="F85" s="23"/>
      <c r="G85" s="25" t="n">
        <f>1218</f>
        <v>1218.0</v>
      </c>
      <c r="H85" s="23"/>
      <c r="I85" s="26" t="n">
        <f>2886</f>
        <v>2886.0</v>
      </c>
      <c r="J85" s="24"/>
      <c r="K85" s="25" t="n">
        <f>745835000</f>
        <v>7.45835E8</v>
      </c>
      <c r="L85" s="23"/>
      <c r="M85" s="25" t="n">
        <f>504000000</f>
        <v>5.04E8</v>
      </c>
      <c r="N85" s="23"/>
      <c r="O85" s="26" t="n">
        <f>1249835000</f>
        <v>1.249835E9</v>
      </c>
      <c r="P85" s="27" t="str">
        <f>"－"</f>
        <v>－</v>
      </c>
      <c r="Q85" s="28" t="str">
        <f>"－"</f>
        <v>－</v>
      </c>
      <c r="R85" s="29" t="str">
        <f>"－"</f>
        <v>－</v>
      </c>
      <c r="S85" s="24"/>
      <c r="T85" s="25" t="n">
        <f>1000</f>
        <v>1000.0</v>
      </c>
      <c r="U85" s="23"/>
      <c r="V85" s="25" t="n">
        <f>1000</f>
        <v>1000.0</v>
      </c>
      <c r="W85" s="23"/>
      <c r="X85" s="26" t="n">
        <f>2000</f>
        <v>2000.0</v>
      </c>
      <c r="Y85" s="24"/>
      <c r="Z85" s="25" t="n">
        <f>105572</f>
        <v>105572.0</v>
      </c>
      <c r="AA85" s="23"/>
      <c r="AB85" s="25" t="n">
        <f>66197</f>
        <v>66197.0</v>
      </c>
      <c r="AC85" s="23"/>
      <c r="AD85" s="26" t="n">
        <f>171769</f>
        <v>171769.0</v>
      </c>
    </row>
    <row r="86">
      <c r="A86" s="30" t="s">
        <v>44</v>
      </c>
      <c r="B86" s="22" t="s">
        <v>63</v>
      </c>
      <c r="C86" s="22" t="s">
        <v>64</v>
      </c>
      <c r="D86" s="24"/>
      <c r="E86" s="25" t="n">
        <f>425</f>
        <v>425.0</v>
      </c>
      <c r="F86" s="23"/>
      <c r="G86" s="25" t="n">
        <f>766</f>
        <v>766.0</v>
      </c>
      <c r="H86" s="23"/>
      <c r="I86" s="26" t="n">
        <f>1191</f>
        <v>1191.0</v>
      </c>
      <c r="J86" s="24"/>
      <c r="K86" s="25" t="n">
        <f>38750000</f>
        <v>3.875E7</v>
      </c>
      <c r="L86" s="23"/>
      <c r="M86" s="25" t="n">
        <f>513279667</f>
        <v>5.13279667E8</v>
      </c>
      <c r="N86" s="23"/>
      <c r="O86" s="26" t="n">
        <f>552029667</f>
        <v>5.52029667E8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n">
        <f>425</f>
        <v>425.0</v>
      </c>
      <c r="U86" s="23"/>
      <c r="V86" s="25" t="n">
        <f>469</f>
        <v>469.0</v>
      </c>
      <c r="W86" s="23"/>
      <c r="X86" s="26" t="n">
        <f>894</f>
        <v>894.0</v>
      </c>
      <c r="Y86" s="24"/>
      <c r="Z86" s="25" t="n">
        <f>105822</f>
        <v>105822.0</v>
      </c>
      <c r="AA86" s="23"/>
      <c r="AB86" s="25" t="n">
        <f>66250</f>
        <v>66250.0</v>
      </c>
      <c r="AC86" s="23"/>
      <c r="AD86" s="26" t="n">
        <f>172072</f>
        <v>172072.0</v>
      </c>
    </row>
    <row r="87">
      <c r="A87" s="30" t="s">
        <v>45</v>
      </c>
      <c r="B87" s="22" t="s">
        <v>63</v>
      </c>
      <c r="C87" s="22" t="s">
        <v>64</v>
      </c>
      <c r="D87" s="24"/>
      <c r="E87" s="25" t="n">
        <f>200</f>
        <v>200.0</v>
      </c>
      <c r="F87" s="23"/>
      <c r="G87" s="25" t="n">
        <f>1028</f>
        <v>1028.0</v>
      </c>
      <c r="H87" s="23"/>
      <c r="I87" s="26" t="n">
        <f>1228</f>
        <v>1228.0</v>
      </c>
      <c r="J87" s="24"/>
      <c r="K87" s="25" t="n">
        <f>110000000</f>
        <v>1.1E8</v>
      </c>
      <c r="L87" s="23"/>
      <c r="M87" s="25" t="n">
        <f>209389236</f>
        <v>2.09389236E8</v>
      </c>
      <c r="N87" s="23"/>
      <c r="O87" s="26" t="n">
        <f>319389236</f>
        <v>3.19389236E8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str">
        <f>"－"</f>
        <v>－</v>
      </c>
      <c r="U87" s="23"/>
      <c r="V87" s="25" t="str">
        <f>"－"</f>
        <v>－</v>
      </c>
      <c r="W87" s="23" t="s">
        <v>39</v>
      </c>
      <c r="X87" s="26" t="str">
        <f>"－"</f>
        <v>－</v>
      </c>
      <c r="Y87" s="24"/>
      <c r="Z87" s="25" t="n">
        <f>106022</f>
        <v>106022.0</v>
      </c>
      <c r="AA87" s="23"/>
      <c r="AB87" s="25" t="n">
        <f>66450</f>
        <v>66450.0</v>
      </c>
      <c r="AC87" s="23"/>
      <c r="AD87" s="26" t="n">
        <f>172472</f>
        <v>172472.0</v>
      </c>
    </row>
    <row r="88">
      <c r="A88" s="30" t="s">
        <v>46</v>
      </c>
      <c r="B88" s="22" t="s">
        <v>63</v>
      </c>
      <c r="C88" s="22" t="s">
        <v>64</v>
      </c>
      <c r="D88" s="24"/>
      <c r="E88" s="25" t="n">
        <f>847</f>
        <v>847.0</v>
      </c>
      <c r="F88" s="23"/>
      <c r="G88" s="25" t="n">
        <f>945</f>
        <v>945.0</v>
      </c>
      <c r="H88" s="23"/>
      <c r="I88" s="26" t="n">
        <f>1792</f>
        <v>1792.0</v>
      </c>
      <c r="J88" s="24"/>
      <c r="K88" s="25" t="n">
        <f>1335472772</f>
        <v>1.335472772E9</v>
      </c>
      <c r="L88" s="23"/>
      <c r="M88" s="25" t="n">
        <f>921900000</f>
        <v>9.219E8</v>
      </c>
      <c r="N88" s="23"/>
      <c r="O88" s="26" t="n">
        <f>2257372772</f>
        <v>2.257372772E9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47</f>
        <v>47.0</v>
      </c>
      <c r="U88" s="23"/>
      <c r="V88" s="25" t="str">
        <f>"－"</f>
        <v>－</v>
      </c>
      <c r="W88" s="23"/>
      <c r="X88" s="26" t="n">
        <f>47</f>
        <v>47.0</v>
      </c>
      <c r="Y88" s="24"/>
      <c r="Z88" s="25" t="n">
        <f>106549</f>
        <v>106549.0</v>
      </c>
      <c r="AA88" s="23"/>
      <c r="AB88" s="25" t="n">
        <f>67005</f>
        <v>67005.0</v>
      </c>
      <c r="AC88" s="23"/>
      <c r="AD88" s="26" t="n">
        <f>173554</f>
        <v>173554.0</v>
      </c>
    </row>
    <row r="89">
      <c r="A89" s="30" t="s">
        <v>47</v>
      </c>
      <c r="B89" s="22" t="s">
        <v>63</v>
      </c>
      <c r="C89" s="22" t="s">
        <v>64</v>
      </c>
      <c r="D89" s="24"/>
      <c r="E89" s="25"/>
      <c r="F89" s="23"/>
      <c r="G89" s="25"/>
      <c r="H89" s="23"/>
      <c r="I89" s="26"/>
      <c r="J89" s="24"/>
      <c r="K89" s="25"/>
      <c r="L89" s="23"/>
      <c r="M89" s="25"/>
      <c r="N89" s="23"/>
      <c r="O89" s="26"/>
      <c r="P89" s="27"/>
      <c r="Q89" s="28"/>
      <c r="R89" s="29"/>
      <c r="S89" s="24"/>
      <c r="T89" s="25"/>
      <c r="U89" s="23"/>
      <c r="V89" s="25"/>
      <c r="W89" s="23"/>
      <c r="X89" s="26"/>
      <c r="Y89" s="24"/>
      <c r="Z89" s="25"/>
      <c r="AA89" s="23"/>
      <c r="AB89" s="25"/>
      <c r="AC89" s="23"/>
      <c r="AD89" s="26"/>
    </row>
    <row r="90">
      <c r="A90" s="30" t="s">
        <v>48</v>
      </c>
      <c r="B90" s="22" t="s">
        <v>63</v>
      </c>
      <c r="C90" s="22" t="s">
        <v>64</v>
      </c>
      <c r="D90" s="24"/>
      <c r="E90" s="25"/>
      <c r="F90" s="23"/>
      <c r="G90" s="25"/>
      <c r="H90" s="23"/>
      <c r="I90" s="26"/>
      <c r="J90" s="24"/>
      <c r="K90" s="25"/>
      <c r="L90" s="23"/>
      <c r="M90" s="25"/>
      <c r="N90" s="23"/>
      <c r="O90" s="26"/>
      <c r="P90" s="27"/>
      <c r="Q90" s="28"/>
      <c r="R90" s="29"/>
      <c r="S90" s="24"/>
      <c r="T90" s="25"/>
      <c r="U90" s="23"/>
      <c r="V90" s="25"/>
      <c r="W90" s="23"/>
      <c r="X90" s="26"/>
      <c r="Y90" s="24"/>
      <c r="Z90" s="25"/>
      <c r="AA90" s="23"/>
      <c r="AB90" s="25"/>
      <c r="AC90" s="23"/>
      <c r="AD90" s="26"/>
    </row>
    <row r="91">
      <c r="A91" s="30" t="s">
        <v>49</v>
      </c>
      <c r="B91" s="22" t="s">
        <v>63</v>
      </c>
      <c r="C91" s="22" t="s">
        <v>64</v>
      </c>
      <c r="D91" s="24"/>
      <c r="E91" s="25" t="n">
        <f>750</f>
        <v>750.0</v>
      </c>
      <c r="F91" s="23"/>
      <c r="G91" s="25" t="n">
        <f>735</f>
        <v>735.0</v>
      </c>
      <c r="H91" s="23"/>
      <c r="I91" s="26" t="n">
        <f>1485</f>
        <v>1485.0</v>
      </c>
      <c r="J91" s="24"/>
      <c r="K91" s="25" t="n">
        <f>858545600</f>
        <v>8.585456E8</v>
      </c>
      <c r="L91" s="23"/>
      <c r="M91" s="25" t="n">
        <f>590382125</f>
        <v>5.90382125E8</v>
      </c>
      <c r="N91" s="23"/>
      <c r="O91" s="26" t="n">
        <f>1448927725</f>
        <v>1.448927725E9</v>
      </c>
      <c r="P91" s="27" t="str">
        <f>"－"</f>
        <v>－</v>
      </c>
      <c r="Q91" s="28" t="str">
        <f>"－"</f>
        <v>－</v>
      </c>
      <c r="R91" s="29" t="str">
        <f>"－"</f>
        <v>－</v>
      </c>
      <c r="S91" s="24"/>
      <c r="T91" s="25" t="n">
        <f>300</f>
        <v>300.0</v>
      </c>
      <c r="U91" s="23"/>
      <c r="V91" s="25" t="n">
        <f>400</f>
        <v>400.0</v>
      </c>
      <c r="W91" s="23"/>
      <c r="X91" s="26" t="n">
        <f>700</f>
        <v>700.0</v>
      </c>
      <c r="Y91" s="24"/>
      <c r="Z91" s="25" t="n">
        <f>107199</f>
        <v>107199.0</v>
      </c>
      <c r="AA91" s="23"/>
      <c r="AB91" s="25" t="n">
        <f>67740</f>
        <v>67740.0</v>
      </c>
      <c r="AC91" s="23"/>
      <c r="AD91" s="26" t="n">
        <f>174939</f>
        <v>174939.0</v>
      </c>
    </row>
    <row r="92">
      <c r="A92" s="30" t="s">
        <v>50</v>
      </c>
      <c r="B92" s="22" t="s">
        <v>63</v>
      </c>
      <c r="C92" s="22" t="s">
        <v>64</v>
      </c>
      <c r="D92" s="24"/>
      <c r="E92" s="25" t="n">
        <f>112</f>
        <v>112.0</v>
      </c>
      <c r="F92" s="23"/>
      <c r="G92" s="25" t="n">
        <f>1392</f>
        <v>1392.0</v>
      </c>
      <c r="H92" s="23"/>
      <c r="I92" s="26" t="n">
        <f>1504</f>
        <v>1504.0</v>
      </c>
      <c r="J92" s="24"/>
      <c r="K92" s="25" t="n">
        <f>46962400</f>
        <v>4.69624E7</v>
      </c>
      <c r="L92" s="23"/>
      <c r="M92" s="25" t="n">
        <f>180346611</f>
        <v>1.80346611E8</v>
      </c>
      <c r="N92" s="23"/>
      <c r="O92" s="26" t="n">
        <f>227309011</f>
        <v>2.27309011E8</v>
      </c>
      <c r="P92" s="27" t="str">
        <f>"－"</f>
        <v>－</v>
      </c>
      <c r="Q92" s="28" t="str">
        <f>"－"</f>
        <v>－</v>
      </c>
      <c r="R92" s="29" t="str">
        <f>"－"</f>
        <v>－</v>
      </c>
      <c r="S92" s="24"/>
      <c r="T92" s="25" t="str">
        <f>"－"</f>
        <v>－</v>
      </c>
      <c r="U92" s="23" t="s">
        <v>35</v>
      </c>
      <c r="V92" s="25" t="n">
        <f>1369</f>
        <v>1369.0</v>
      </c>
      <c r="W92" s="23"/>
      <c r="X92" s="26" t="n">
        <f>1369</f>
        <v>1369.0</v>
      </c>
      <c r="Y92" s="24"/>
      <c r="Z92" s="25" t="n">
        <f>106849</f>
        <v>106849.0</v>
      </c>
      <c r="AA92" s="23"/>
      <c r="AB92" s="25" t="n">
        <f>68719</f>
        <v>68719.0</v>
      </c>
      <c r="AC92" s="23"/>
      <c r="AD92" s="26" t="n">
        <f>175568</f>
        <v>175568.0</v>
      </c>
    </row>
    <row r="93">
      <c r="A93" s="30" t="s">
        <v>51</v>
      </c>
      <c r="B93" s="22" t="s">
        <v>63</v>
      </c>
      <c r="C93" s="22" t="s">
        <v>64</v>
      </c>
      <c r="D93" s="24"/>
      <c r="E93" s="25" t="n">
        <f>75</f>
        <v>75.0</v>
      </c>
      <c r="F93" s="23"/>
      <c r="G93" s="25" t="n">
        <f>135</f>
        <v>135.0</v>
      </c>
      <c r="H93" s="23"/>
      <c r="I93" s="26" t="n">
        <f>210</f>
        <v>210.0</v>
      </c>
      <c r="J93" s="24"/>
      <c r="K93" s="25" t="n">
        <f>86775000</f>
        <v>8.6775E7</v>
      </c>
      <c r="L93" s="23"/>
      <c r="M93" s="25" t="n">
        <f>109690000</f>
        <v>1.0969E8</v>
      </c>
      <c r="N93" s="23"/>
      <c r="O93" s="26" t="n">
        <f>196465000</f>
        <v>1.96465E8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str">
        <f>"－"</f>
        <v>－</v>
      </c>
      <c r="U93" s="23"/>
      <c r="V93" s="25" t="str">
        <f>"－"</f>
        <v>－</v>
      </c>
      <c r="W93" s="23"/>
      <c r="X93" s="26" t="str">
        <f>"－"</f>
        <v>－</v>
      </c>
      <c r="Y93" s="24"/>
      <c r="Z93" s="25" t="n">
        <f>106924</f>
        <v>106924.0</v>
      </c>
      <c r="AA93" s="23"/>
      <c r="AB93" s="25" t="n">
        <f>68854</f>
        <v>68854.0</v>
      </c>
      <c r="AC93" s="23"/>
      <c r="AD93" s="26" t="n">
        <f>175778</f>
        <v>175778.0</v>
      </c>
    </row>
    <row r="94">
      <c r="A94" s="30" t="s">
        <v>52</v>
      </c>
      <c r="B94" s="22" t="s">
        <v>63</v>
      </c>
      <c r="C94" s="22" t="s">
        <v>64</v>
      </c>
      <c r="D94" s="24"/>
      <c r="E94" s="25" t="n">
        <f>950</f>
        <v>950.0</v>
      </c>
      <c r="F94" s="23"/>
      <c r="G94" s="25" t="n">
        <f>87</f>
        <v>87.0</v>
      </c>
      <c r="H94" s="23"/>
      <c r="I94" s="26" t="n">
        <f>1037</f>
        <v>1037.0</v>
      </c>
      <c r="J94" s="24"/>
      <c r="K94" s="25" t="n">
        <f>273750000</f>
        <v>2.7375E8</v>
      </c>
      <c r="L94" s="23"/>
      <c r="M94" s="25" t="n">
        <f>119563000</f>
        <v>1.19563E8</v>
      </c>
      <c r="N94" s="23"/>
      <c r="O94" s="26" t="n">
        <f>393313000</f>
        <v>3.93313E8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n">
        <f>37</f>
        <v>37.0</v>
      </c>
      <c r="W94" s="23"/>
      <c r="X94" s="26" t="n">
        <f>37</f>
        <v>37.0</v>
      </c>
      <c r="Y94" s="24"/>
      <c r="Z94" s="25" t="n">
        <f>107341</f>
        <v>107341.0</v>
      </c>
      <c r="AA94" s="23"/>
      <c r="AB94" s="25" t="n">
        <f>68867</f>
        <v>68867.0</v>
      </c>
      <c r="AC94" s="23"/>
      <c r="AD94" s="26" t="n">
        <f>176208</f>
        <v>176208.0</v>
      </c>
    </row>
    <row r="95">
      <c r="A95" s="30" t="s">
        <v>53</v>
      </c>
      <c r="B95" s="22" t="s">
        <v>63</v>
      </c>
      <c r="C95" s="22" t="s">
        <v>64</v>
      </c>
      <c r="D95" s="24"/>
      <c r="E95" s="25" t="n">
        <f>50</f>
        <v>50.0</v>
      </c>
      <c r="F95" s="23" t="s">
        <v>39</v>
      </c>
      <c r="G95" s="25" t="str">
        <f>"－"</f>
        <v>－</v>
      </c>
      <c r="H95" s="23" t="s">
        <v>39</v>
      </c>
      <c r="I95" s="26" t="n">
        <f>50</f>
        <v>50.0</v>
      </c>
      <c r="J95" s="24"/>
      <c r="K95" s="25" t="n">
        <f>18000000</f>
        <v>1.8E7</v>
      </c>
      <c r="L95" s="23" t="s">
        <v>39</v>
      </c>
      <c r="M95" s="25" t="str">
        <f>"－"</f>
        <v>－</v>
      </c>
      <c r="N95" s="23" t="s">
        <v>39</v>
      </c>
      <c r="O95" s="26" t="n">
        <f>18000000</f>
        <v>1.8E7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str">
        <f>"－"</f>
        <v>－</v>
      </c>
      <c r="U95" s="23"/>
      <c r="V95" s="25" t="str">
        <f>"－"</f>
        <v>－</v>
      </c>
      <c r="W95" s="23"/>
      <c r="X95" s="26" t="str">
        <f>"－"</f>
        <v>－</v>
      </c>
      <c r="Y95" s="24"/>
      <c r="Z95" s="25" t="n">
        <f>107391</f>
        <v>107391.0</v>
      </c>
      <c r="AA95" s="23"/>
      <c r="AB95" s="25" t="n">
        <f>68867</f>
        <v>68867.0</v>
      </c>
      <c r="AC95" s="23"/>
      <c r="AD95" s="26" t="n">
        <f>176258</f>
        <v>176258.0</v>
      </c>
    </row>
    <row r="96">
      <c r="A96" s="30" t="s">
        <v>54</v>
      </c>
      <c r="B96" s="22" t="s">
        <v>63</v>
      </c>
      <c r="C96" s="22" t="s">
        <v>64</v>
      </c>
      <c r="D96" s="24"/>
      <c r="E96" s="25"/>
      <c r="F96" s="23"/>
      <c r="G96" s="25"/>
      <c r="H96" s="23"/>
      <c r="I96" s="26"/>
      <c r="J96" s="24"/>
      <c r="K96" s="25"/>
      <c r="L96" s="23"/>
      <c r="M96" s="25"/>
      <c r="N96" s="23"/>
      <c r="O96" s="26"/>
      <c r="P96" s="27"/>
      <c r="Q96" s="28"/>
      <c r="R96" s="29"/>
      <c r="S96" s="24"/>
      <c r="T96" s="25"/>
      <c r="U96" s="23"/>
      <c r="V96" s="25"/>
      <c r="W96" s="23"/>
      <c r="X96" s="26"/>
      <c r="Y96" s="24"/>
      <c r="Z96" s="25"/>
      <c r="AA96" s="23"/>
      <c r="AB96" s="25"/>
      <c r="AC96" s="23"/>
      <c r="AD96" s="26"/>
    </row>
    <row r="97">
      <c r="A97" s="30" t="s">
        <v>55</v>
      </c>
      <c r="B97" s="22" t="s">
        <v>63</v>
      </c>
      <c r="C97" s="22" t="s">
        <v>64</v>
      </c>
      <c r="D97" s="24"/>
      <c r="E97" s="25"/>
      <c r="F97" s="23"/>
      <c r="G97" s="25"/>
      <c r="H97" s="23"/>
      <c r="I97" s="26"/>
      <c r="J97" s="24"/>
      <c r="K97" s="25"/>
      <c r="L97" s="23"/>
      <c r="M97" s="25"/>
      <c r="N97" s="23"/>
      <c r="O97" s="26"/>
      <c r="P97" s="27"/>
      <c r="Q97" s="28"/>
      <c r="R97" s="29"/>
      <c r="S97" s="24"/>
      <c r="T97" s="25"/>
      <c r="U97" s="23"/>
      <c r="V97" s="25"/>
      <c r="W97" s="23"/>
      <c r="X97" s="26"/>
      <c r="Y97" s="24"/>
      <c r="Z97" s="25"/>
      <c r="AA97" s="23"/>
      <c r="AB97" s="25"/>
      <c r="AC97" s="23"/>
      <c r="AD97" s="26"/>
    </row>
    <row r="98">
      <c r="A98" s="30" t="s">
        <v>56</v>
      </c>
      <c r="B98" s="22" t="s">
        <v>63</v>
      </c>
      <c r="C98" s="22" t="s">
        <v>64</v>
      </c>
      <c r="D98" s="24"/>
      <c r="E98" s="25" t="n">
        <f>7176</f>
        <v>7176.0</v>
      </c>
      <c r="F98" s="23"/>
      <c r="G98" s="25" t="str">
        <f>"－"</f>
        <v>－</v>
      </c>
      <c r="H98" s="23"/>
      <c r="I98" s="26" t="n">
        <f>7176</f>
        <v>7176.0</v>
      </c>
      <c r="J98" s="24" t="s">
        <v>35</v>
      </c>
      <c r="K98" s="25" t="n">
        <f>4682818365</f>
        <v>4.682818365E9</v>
      </c>
      <c r="L98" s="23"/>
      <c r="M98" s="25" t="str">
        <f>"－"</f>
        <v>－</v>
      </c>
      <c r="N98" s="23"/>
      <c r="O98" s="26" t="n">
        <f>4682818365</f>
        <v>4.682818365E9</v>
      </c>
      <c r="P98" s="27" t="str">
        <f>"－"</f>
        <v>－</v>
      </c>
      <c r="Q98" s="28" t="str">
        <f>"－"</f>
        <v>－</v>
      </c>
      <c r="R98" s="29" t="str">
        <f>"－"</f>
        <v>－</v>
      </c>
      <c r="S98" s="24" t="s">
        <v>35</v>
      </c>
      <c r="T98" s="25" t="n">
        <f>7176</f>
        <v>7176.0</v>
      </c>
      <c r="U98" s="23"/>
      <c r="V98" s="25" t="str">
        <f>"－"</f>
        <v>－</v>
      </c>
      <c r="W98" s="23"/>
      <c r="X98" s="26" t="n">
        <f>7176</f>
        <v>7176.0</v>
      </c>
      <c r="Y98" s="24"/>
      <c r="Z98" s="25" t="n">
        <f>110829</f>
        <v>110829.0</v>
      </c>
      <c r="AA98" s="23"/>
      <c r="AB98" s="25" t="n">
        <f>68867</f>
        <v>68867.0</v>
      </c>
      <c r="AC98" s="23"/>
      <c r="AD98" s="26" t="n">
        <f>179696</f>
        <v>179696.0</v>
      </c>
    </row>
    <row r="99">
      <c r="A99" s="30" t="s">
        <v>57</v>
      </c>
      <c r="B99" s="22" t="s">
        <v>63</v>
      </c>
      <c r="C99" s="22" t="s">
        <v>64</v>
      </c>
      <c r="D99" s="24"/>
      <c r="E99" s="25" t="n">
        <f>1725</f>
        <v>1725.0</v>
      </c>
      <c r="F99" s="23"/>
      <c r="G99" s="25" t="n">
        <f>120</f>
        <v>120.0</v>
      </c>
      <c r="H99" s="23"/>
      <c r="I99" s="26" t="n">
        <f>1845</f>
        <v>1845.0</v>
      </c>
      <c r="J99" s="24"/>
      <c r="K99" s="25" t="n">
        <f>253341628</f>
        <v>2.53341628E8</v>
      </c>
      <c r="L99" s="23"/>
      <c r="M99" s="25" t="n">
        <f>6970000</f>
        <v>6970000.0</v>
      </c>
      <c r="N99" s="23"/>
      <c r="O99" s="26" t="n">
        <f>260311628</f>
        <v>2.60311628E8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str">
        <f>"－"</f>
        <v>－</v>
      </c>
      <c r="U99" s="23"/>
      <c r="V99" s="25" t="str">
        <f>"－"</f>
        <v>－</v>
      </c>
      <c r="W99" s="23"/>
      <c r="X99" s="26" t="str">
        <f>"－"</f>
        <v>－</v>
      </c>
      <c r="Y99" s="24"/>
      <c r="Z99" s="25" t="n">
        <f>111242</f>
        <v>111242.0</v>
      </c>
      <c r="AA99" s="23"/>
      <c r="AB99" s="25" t="n">
        <f>68867</f>
        <v>68867.0</v>
      </c>
      <c r="AC99" s="23"/>
      <c r="AD99" s="26" t="n">
        <f>180109</f>
        <v>180109.0</v>
      </c>
    </row>
    <row r="100">
      <c r="A100" s="30" t="s">
        <v>58</v>
      </c>
      <c r="B100" s="22" t="s">
        <v>63</v>
      </c>
      <c r="C100" s="22" t="s">
        <v>64</v>
      </c>
      <c r="D100" s="24" t="s">
        <v>35</v>
      </c>
      <c r="E100" s="25" t="n">
        <f>7246</f>
        <v>7246.0</v>
      </c>
      <c r="F100" s="23"/>
      <c r="G100" s="25" t="n">
        <f>328</f>
        <v>328.0</v>
      </c>
      <c r="H100" s="23" t="s">
        <v>35</v>
      </c>
      <c r="I100" s="26" t="n">
        <f>7574</f>
        <v>7574.0</v>
      </c>
      <c r="J100" s="24"/>
      <c r="K100" s="25" t="n">
        <f>4345675940</f>
        <v>4.34567594E9</v>
      </c>
      <c r="L100" s="23"/>
      <c r="M100" s="25" t="n">
        <f>27598230</f>
        <v>2.759823E7</v>
      </c>
      <c r="N100" s="23"/>
      <c r="O100" s="26" t="n">
        <f>4373274170</f>
        <v>4.37327417E9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n">
        <f>7046</f>
        <v>7046.0</v>
      </c>
      <c r="U100" s="23"/>
      <c r="V100" s="25" t="n">
        <f>228</f>
        <v>228.0</v>
      </c>
      <c r="W100" s="23" t="s">
        <v>35</v>
      </c>
      <c r="X100" s="26" t="n">
        <f>7274</f>
        <v>7274.0</v>
      </c>
      <c r="Y100" s="24"/>
      <c r="Z100" s="25" t="n">
        <f>114915</f>
        <v>114915.0</v>
      </c>
      <c r="AA100" s="23"/>
      <c r="AB100" s="25" t="n">
        <f>68995</f>
        <v>68995.0</v>
      </c>
      <c r="AC100" s="23"/>
      <c r="AD100" s="26" t="n">
        <f>183910</f>
        <v>183910.0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870</f>
        <v>870.0</v>
      </c>
      <c r="F101" s="23"/>
      <c r="G101" s="25" t="n">
        <f>1256</f>
        <v>1256.0</v>
      </c>
      <c r="H101" s="23"/>
      <c r="I101" s="26" t="n">
        <f>2126</f>
        <v>2126.0</v>
      </c>
      <c r="J101" s="24"/>
      <c r="K101" s="25" t="n">
        <f>299770000</f>
        <v>2.9977E8</v>
      </c>
      <c r="L101" s="23"/>
      <c r="M101" s="25" t="n">
        <f>1234568053</f>
        <v>1.234568053E9</v>
      </c>
      <c r="N101" s="23"/>
      <c r="O101" s="26" t="n">
        <f>1534338053</f>
        <v>1.534338053E9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n">
        <f>350</f>
        <v>350.0</v>
      </c>
      <c r="U101" s="23"/>
      <c r="V101" s="25" t="str">
        <f>"－"</f>
        <v>－</v>
      </c>
      <c r="W101" s="23"/>
      <c r="X101" s="26" t="n">
        <f>350</f>
        <v>350.0</v>
      </c>
      <c r="Y101" s="24"/>
      <c r="Z101" s="25" t="n">
        <f>115545</f>
        <v>115545.0</v>
      </c>
      <c r="AA101" s="23"/>
      <c r="AB101" s="25" t="n">
        <f>70151</f>
        <v>70151.0</v>
      </c>
      <c r="AC101" s="23"/>
      <c r="AD101" s="26" t="n">
        <f>185696</f>
        <v>185696.0</v>
      </c>
    </row>
    <row r="102">
      <c r="A102" s="30" t="s">
        <v>60</v>
      </c>
      <c r="B102" s="22" t="s">
        <v>63</v>
      </c>
      <c r="C102" s="22" t="s">
        <v>64</v>
      </c>
      <c r="D102" s="24"/>
      <c r="E102" s="25" t="n">
        <f>1211</f>
        <v>1211.0</v>
      </c>
      <c r="F102" s="23"/>
      <c r="G102" s="25" t="n">
        <f>1039</f>
        <v>1039.0</v>
      </c>
      <c r="H102" s="23"/>
      <c r="I102" s="26" t="n">
        <f>2250</f>
        <v>2250.0</v>
      </c>
      <c r="J102" s="24"/>
      <c r="K102" s="25" t="n">
        <f>294250000</f>
        <v>2.9425E8</v>
      </c>
      <c r="L102" s="23"/>
      <c r="M102" s="25" t="n">
        <f>328421922</f>
        <v>3.28421922E8</v>
      </c>
      <c r="N102" s="23"/>
      <c r="O102" s="26" t="n">
        <f>622671922</f>
        <v>6.22671922E8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str">
        <f>"－"</f>
        <v>－</v>
      </c>
      <c r="U102" s="23"/>
      <c r="V102" s="25" t="n">
        <f>739</f>
        <v>739.0</v>
      </c>
      <c r="W102" s="23"/>
      <c r="X102" s="26" t="n">
        <f>739</f>
        <v>739.0</v>
      </c>
      <c r="Y102" s="24" t="s">
        <v>35</v>
      </c>
      <c r="Z102" s="25" t="n">
        <f>115705</f>
        <v>115705.0</v>
      </c>
      <c r="AA102" s="23" t="s">
        <v>35</v>
      </c>
      <c r="AB102" s="25" t="n">
        <f>70221</f>
        <v>70221.0</v>
      </c>
      <c r="AC102" s="23" t="s">
        <v>35</v>
      </c>
      <c r="AD102" s="26" t="n">
        <f>185926</f>
        <v>185926.0</v>
      </c>
    </row>
    <row r="103">
      <c r="A103" s="30" t="s">
        <v>26</v>
      </c>
      <c r="B103" s="22" t="s">
        <v>65</v>
      </c>
      <c r="C103" s="22" t="s">
        <v>66</v>
      </c>
      <c r="D103" s="24" t="s">
        <v>67</v>
      </c>
      <c r="E103" s="25" t="str">
        <f>"－"</f>
        <v>－</v>
      </c>
      <c r="F103" s="23" t="s">
        <v>67</v>
      </c>
      <c r="G103" s="25" t="str">
        <f>"－"</f>
        <v>－</v>
      </c>
      <c r="H103" s="23" t="s">
        <v>67</v>
      </c>
      <c r="I103" s="26" t="str">
        <f>"－"</f>
        <v>－</v>
      </c>
      <c r="J103" s="24" t="s">
        <v>67</v>
      </c>
      <c r="K103" s="25" t="str">
        <f>"－"</f>
        <v>－</v>
      </c>
      <c r="L103" s="23" t="s">
        <v>67</v>
      </c>
      <c r="M103" s="25" t="str">
        <f>"－"</f>
        <v>－</v>
      </c>
      <c r="N103" s="23" t="s">
        <v>67</v>
      </c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 t="s">
        <v>67</v>
      </c>
      <c r="T103" s="25" t="str">
        <f>"－"</f>
        <v>－</v>
      </c>
      <c r="U103" s="23" t="s">
        <v>67</v>
      </c>
      <c r="V103" s="25" t="str">
        <f>"－"</f>
        <v>－</v>
      </c>
      <c r="W103" s="23" t="s">
        <v>67</v>
      </c>
      <c r="X103" s="26" t="str">
        <f>"－"</f>
        <v>－</v>
      </c>
      <c r="Y103" s="24" t="s">
        <v>67</v>
      </c>
      <c r="Z103" s="25" t="str">
        <f>"－"</f>
        <v>－</v>
      </c>
      <c r="AA103" s="23" t="s">
        <v>67</v>
      </c>
      <c r="AB103" s="25" t="str">
        <f>"－"</f>
        <v>－</v>
      </c>
      <c r="AC103" s="23" t="s">
        <v>67</v>
      </c>
      <c r="AD103" s="26" t="str">
        <f>"－"</f>
        <v>－</v>
      </c>
    </row>
    <row r="104">
      <c r="A104" s="30" t="s">
        <v>29</v>
      </c>
      <c r="B104" s="22" t="s">
        <v>65</v>
      </c>
      <c r="C104" s="22" t="s">
        <v>66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30</v>
      </c>
      <c r="B105" s="22" t="s">
        <v>65</v>
      </c>
      <c r="C105" s="22" t="s">
        <v>66</v>
      </c>
      <c r="D105" s="24"/>
      <c r="E105" s="25"/>
      <c r="F105" s="23"/>
      <c r="G105" s="25"/>
      <c r="H105" s="23"/>
      <c r="I105" s="26"/>
      <c r="J105" s="24"/>
      <c r="K105" s="25"/>
      <c r="L105" s="23"/>
      <c r="M105" s="25"/>
      <c r="N105" s="23"/>
      <c r="O105" s="26"/>
      <c r="P105" s="27"/>
      <c r="Q105" s="28"/>
      <c r="R105" s="29"/>
      <c r="S105" s="24"/>
      <c r="T105" s="25"/>
      <c r="U105" s="23"/>
      <c r="V105" s="25"/>
      <c r="W105" s="23"/>
      <c r="X105" s="26"/>
      <c r="Y105" s="24"/>
      <c r="Z105" s="25"/>
      <c r="AA105" s="23"/>
      <c r="AB105" s="25"/>
      <c r="AC105" s="23"/>
      <c r="AD105" s="26"/>
    </row>
    <row r="106">
      <c r="A106" s="30" t="s">
        <v>31</v>
      </c>
      <c r="B106" s="22" t="s">
        <v>65</v>
      </c>
      <c r="C106" s="22" t="s">
        <v>66</v>
      </c>
      <c r="D106" s="24"/>
      <c r="E106" s="25"/>
      <c r="F106" s="23"/>
      <c r="G106" s="25"/>
      <c r="H106" s="23"/>
      <c r="I106" s="26"/>
      <c r="J106" s="24"/>
      <c r="K106" s="25"/>
      <c r="L106" s="23"/>
      <c r="M106" s="25"/>
      <c r="N106" s="23"/>
      <c r="O106" s="26"/>
      <c r="P106" s="27"/>
      <c r="Q106" s="28"/>
      <c r="R106" s="29"/>
      <c r="S106" s="24"/>
      <c r="T106" s="25"/>
      <c r="U106" s="23"/>
      <c r="V106" s="25"/>
      <c r="W106" s="23"/>
      <c r="X106" s="26"/>
      <c r="Y106" s="24"/>
      <c r="Z106" s="25"/>
      <c r="AA106" s="23"/>
      <c r="AB106" s="25"/>
      <c r="AC106" s="23"/>
      <c r="AD106" s="26"/>
    </row>
    <row r="107">
      <c r="A107" s="30" t="s">
        <v>32</v>
      </c>
      <c r="B107" s="22" t="s">
        <v>65</v>
      </c>
      <c r="C107" s="22" t="s">
        <v>66</v>
      </c>
      <c r="D107" s="24"/>
      <c r="E107" s="25"/>
      <c r="F107" s="23"/>
      <c r="G107" s="25"/>
      <c r="H107" s="23"/>
      <c r="I107" s="26"/>
      <c r="J107" s="24"/>
      <c r="K107" s="25"/>
      <c r="L107" s="23"/>
      <c r="M107" s="25"/>
      <c r="N107" s="23"/>
      <c r="O107" s="26"/>
      <c r="P107" s="27"/>
      <c r="Q107" s="28"/>
      <c r="R107" s="29"/>
      <c r="S107" s="24"/>
      <c r="T107" s="25"/>
      <c r="U107" s="23"/>
      <c r="V107" s="25"/>
      <c r="W107" s="23"/>
      <c r="X107" s="26"/>
      <c r="Y107" s="24"/>
      <c r="Z107" s="25"/>
      <c r="AA107" s="23"/>
      <c r="AB107" s="25"/>
      <c r="AC107" s="23"/>
      <c r="AD107" s="26"/>
    </row>
    <row r="108">
      <c r="A108" s="30" t="s">
        <v>33</v>
      </c>
      <c r="B108" s="22" t="s">
        <v>65</v>
      </c>
      <c r="C108" s="22" t="s">
        <v>66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34</v>
      </c>
      <c r="B109" s="22" t="s">
        <v>65</v>
      </c>
      <c r="C109" s="22" t="s">
        <v>66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36</v>
      </c>
      <c r="B110" s="22" t="s">
        <v>65</v>
      </c>
      <c r="C110" s="22" t="s">
        <v>66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37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38</v>
      </c>
      <c r="B112" s="22" t="s">
        <v>65</v>
      </c>
      <c r="C112" s="22" t="s">
        <v>66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40</v>
      </c>
      <c r="B113" s="22" t="s">
        <v>65</v>
      </c>
      <c r="C113" s="22" t="s">
        <v>66</v>
      </c>
      <c r="D113" s="24"/>
      <c r="E113" s="25"/>
      <c r="F113" s="23"/>
      <c r="G113" s="25"/>
      <c r="H113" s="23"/>
      <c r="I113" s="26"/>
      <c r="J113" s="24"/>
      <c r="K113" s="25"/>
      <c r="L113" s="23"/>
      <c r="M113" s="25"/>
      <c r="N113" s="23"/>
      <c r="O113" s="26"/>
      <c r="P113" s="27"/>
      <c r="Q113" s="28"/>
      <c r="R113" s="29"/>
      <c r="S113" s="24"/>
      <c r="T113" s="25"/>
      <c r="U113" s="23"/>
      <c r="V113" s="25"/>
      <c r="W113" s="23"/>
      <c r="X113" s="26"/>
      <c r="Y113" s="24"/>
      <c r="Z113" s="25"/>
      <c r="AA113" s="23"/>
      <c r="AB113" s="25"/>
      <c r="AC113" s="23"/>
      <c r="AD113" s="26"/>
    </row>
    <row r="114">
      <c r="A114" s="30" t="s">
        <v>41</v>
      </c>
      <c r="B114" s="22" t="s">
        <v>65</v>
      </c>
      <c r="C114" s="22" t="s">
        <v>66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42</v>
      </c>
      <c r="B115" s="22" t="s">
        <v>65</v>
      </c>
      <c r="C115" s="22" t="s">
        <v>66</v>
      </c>
      <c r="D115" s="24"/>
      <c r="E115" s="25" t="str">
        <f>"－"</f>
        <v>－</v>
      </c>
      <c r="F115" s="23"/>
      <c r="G115" s="25" t="str">
        <f>"－"</f>
        <v>－</v>
      </c>
      <c r="H115" s="23"/>
      <c r="I115" s="26" t="str">
        <f>"－"</f>
        <v>－</v>
      </c>
      <c r="J115" s="24"/>
      <c r="K115" s="25" t="str">
        <f>"－"</f>
        <v>－</v>
      </c>
      <c r="L115" s="23"/>
      <c r="M115" s="25" t="str">
        <f>"－"</f>
        <v>－</v>
      </c>
      <c r="N115" s="23"/>
      <c r="O115" s="26" t="str">
        <f>"－"</f>
        <v>－</v>
      </c>
      <c r="P115" s="27" t="str">
        <f>"－"</f>
        <v>－</v>
      </c>
      <c r="Q115" s="28" t="str">
        <f>"－"</f>
        <v>－</v>
      </c>
      <c r="R115" s="29" t="str">
        <f>"－"</f>
        <v>－</v>
      </c>
      <c r="S115" s="24"/>
      <c r="T115" s="25" t="str">
        <f>"－"</f>
        <v>－</v>
      </c>
      <c r="U115" s="23"/>
      <c r="V115" s="25" t="str">
        <f>"－"</f>
        <v>－</v>
      </c>
      <c r="W115" s="23"/>
      <c r="X115" s="26" t="str">
        <f>"－"</f>
        <v>－</v>
      </c>
      <c r="Y115" s="24"/>
      <c r="Z115" s="25" t="str">
        <f>"－"</f>
        <v>－</v>
      </c>
      <c r="AA115" s="23"/>
      <c r="AB115" s="25" t="str">
        <f>"－"</f>
        <v>－</v>
      </c>
      <c r="AC115" s="23"/>
      <c r="AD115" s="26" t="str">
        <f>"－"</f>
        <v>－</v>
      </c>
    </row>
    <row r="116">
      <c r="A116" s="30" t="s">
        <v>43</v>
      </c>
      <c r="B116" s="22" t="s">
        <v>65</v>
      </c>
      <c r="C116" s="22" t="s">
        <v>66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44</v>
      </c>
      <c r="B117" s="22" t="s">
        <v>65</v>
      </c>
      <c r="C117" s="22" t="s">
        <v>66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47</v>
      </c>
      <c r="B120" s="22" t="s">
        <v>65</v>
      </c>
      <c r="C120" s="22" t="s">
        <v>66</v>
      </c>
      <c r="D120" s="24"/>
      <c r="E120" s="25"/>
      <c r="F120" s="23"/>
      <c r="G120" s="25"/>
      <c r="H120" s="23"/>
      <c r="I120" s="26"/>
      <c r="J120" s="24"/>
      <c r="K120" s="25"/>
      <c r="L120" s="23"/>
      <c r="M120" s="25"/>
      <c r="N120" s="23"/>
      <c r="O120" s="26"/>
      <c r="P120" s="27"/>
      <c r="Q120" s="28"/>
      <c r="R120" s="29"/>
      <c r="S120" s="24"/>
      <c r="T120" s="25"/>
      <c r="U120" s="23"/>
      <c r="V120" s="25"/>
      <c r="W120" s="23"/>
      <c r="X120" s="26"/>
      <c r="Y120" s="24"/>
      <c r="Z120" s="25"/>
      <c r="AA120" s="23"/>
      <c r="AB120" s="25"/>
      <c r="AC120" s="23"/>
      <c r="AD120" s="26"/>
    </row>
    <row r="121">
      <c r="A121" s="30" t="s">
        <v>48</v>
      </c>
      <c r="B121" s="22" t="s">
        <v>65</v>
      </c>
      <c r="C121" s="22" t="s">
        <v>66</v>
      </c>
      <c r="D121" s="24"/>
      <c r="E121" s="25"/>
      <c r="F121" s="23"/>
      <c r="G121" s="25"/>
      <c r="H121" s="23"/>
      <c r="I121" s="26"/>
      <c r="J121" s="24"/>
      <c r="K121" s="25"/>
      <c r="L121" s="23"/>
      <c r="M121" s="25"/>
      <c r="N121" s="23"/>
      <c r="O121" s="26"/>
      <c r="P121" s="27"/>
      <c r="Q121" s="28"/>
      <c r="R121" s="29"/>
      <c r="S121" s="24"/>
      <c r="T121" s="25"/>
      <c r="U121" s="23"/>
      <c r="V121" s="25"/>
      <c r="W121" s="23"/>
      <c r="X121" s="26"/>
      <c r="Y121" s="24"/>
      <c r="Z121" s="25"/>
      <c r="AA121" s="23"/>
      <c r="AB121" s="25"/>
      <c r="AC121" s="23"/>
      <c r="AD121" s="26"/>
    </row>
    <row r="122">
      <c r="A122" s="30" t="s">
        <v>49</v>
      </c>
      <c r="B122" s="22" t="s">
        <v>65</v>
      </c>
      <c r="C122" s="22" t="s">
        <v>66</v>
      </c>
      <c r="D122" s="24"/>
      <c r="E122" s="25" t="str">
        <f>"－"</f>
        <v>－</v>
      </c>
      <c r="F122" s="23"/>
      <c r="G122" s="25" t="str">
        <f>"－"</f>
        <v>－</v>
      </c>
      <c r="H122" s="23"/>
      <c r="I122" s="26" t="str">
        <f>"－"</f>
        <v>－</v>
      </c>
      <c r="J122" s="24"/>
      <c r="K122" s="25" t="str">
        <f>"－"</f>
        <v>－</v>
      </c>
      <c r="L122" s="23"/>
      <c r="M122" s="25" t="str">
        <f>"－"</f>
        <v>－</v>
      </c>
      <c r="N122" s="23"/>
      <c r="O122" s="26" t="str">
        <f>"－"</f>
        <v>－</v>
      </c>
      <c r="P122" s="27" t="str">
        <f>"－"</f>
        <v>－</v>
      </c>
      <c r="Q122" s="28" t="str">
        <f>"－"</f>
        <v>－</v>
      </c>
      <c r="R122" s="29" t="str">
        <f>"－"</f>
        <v>－</v>
      </c>
      <c r="S122" s="24"/>
      <c r="T122" s="25" t="str">
        <f>"－"</f>
        <v>－</v>
      </c>
      <c r="U122" s="23"/>
      <c r="V122" s="25" t="str">
        <f>"－"</f>
        <v>－</v>
      </c>
      <c r="W122" s="23"/>
      <c r="X122" s="26" t="str">
        <f>"－"</f>
        <v>－</v>
      </c>
      <c r="Y122" s="24"/>
      <c r="Z122" s="25" t="str">
        <f>"－"</f>
        <v>－</v>
      </c>
      <c r="AA122" s="23"/>
      <c r="AB122" s="25" t="str">
        <f>"－"</f>
        <v>－</v>
      </c>
      <c r="AC122" s="23"/>
      <c r="AD122" s="26" t="str">
        <f>"－"</f>
        <v>－</v>
      </c>
    </row>
    <row r="123">
      <c r="A123" s="30" t="s">
        <v>50</v>
      </c>
      <c r="B123" s="22" t="s">
        <v>65</v>
      </c>
      <c r="C123" s="22" t="s">
        <v>66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54</v>
      </c>
      <c r="B127" s="22" t="s">
        <v>65</v>
      </c>
      <c r="C127" s="22" t="s">
        <v>66</v>
      </c>
      <c r="D127" s="24"/>
      <c r="E127" s="25"/>
      <c r="F127" s="23"/>
      <c r="G127" s="25"/>
      <c r="H127" s="23"/>
      <c r="I127" s="26"/>
      <c r="J127" s="24"/>
      <c r="K127" s="25"/>
      <c r="L127" s="23"/>
      <c r="M127" s="25"/>
      <c r="N127" s="23"/>
      <c r="O127" s="26"/>
      <c r="P127" s="27"/>
      <c r="Q127" s="28"/>
      <c r="R127" s="29"/>
      <c r="S127" s="24"/>
      <c r="T127" s="25"/>
      <c r="U127" s="23"/>
      <c r="V127" s="25"/>
      <c r="W127" s="23"/>
      <c r="X127" s="26"/>
      <c r="Y127" s="24"/>
      <c r="Z127" s="25"/>
      <c r="AA127" s="23"/>
      <c r="AB127" s="25"/>
      <c r="AC127" s="23"/>
      <c r="AD127" s="26"/>
    </row>
    <row r="128">
      <c r="A128" s="30" t="s">
        <v>55</v>
      </c>
      <c r="B128" s="22" t="s">
        <v>65</v>
      </c>
      <c r="C128" s="22" t="s">
        <v>66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56</v>
      </c>
      <c r="B129" s="22" t="s">
        <v>65</v>
      </c>
      <c r="C129" s="22" t="s">
        <v>66</v>
      </c>
      <c r="D129" s="24"/>
      <c r="E129" s="25" t="str">
        <f>"－"</f>
        <v>－</v>
      </c>
      <c r="F129" s="23"/>
      <c r="G129" s="25" t="str">
        <f>"－"</f>
        <v>－</v>
      </c>
      <c r="H129" s="23"/>
      <c r="I129" s="26" t="str">
        <f>"－"</f>
        <v>－</v>
      </c>
      <c r="J129" s="24"/>
      <c r="K129" s="25" t="str">
        <f>"－"</f>
        <v>－</v>
      </c>
      <c r="L129" s="23"/>
      <c r="M129" s="25" t="str">
        <f>"－"</f>
        <v>－</v>
      </c>
      <c r="N129" s="23"/>
      <c r="O129" s="26" t="str">
        <f>"－"</f>
        <v>－</v>
      </c>
      <c r="P129" s="27" t="str">
        <f>"－"</f>
        <v>－</v>
      </c>
      <c r="Q129" s="28" t="str">
        <f>"－"</f>
        <v>－</v>
      </c>
      <c r="R129" s="29" t="str">
        <f>"－"</f>
        <v>－</v>
      </c>
      <c r="S129" s="24"/>
      <c r="T129" s="25" t="str">
        <f>"－"</f>
        <v>－</v>
      </c>
      <c r="U129" s="23"/>
      <c r="V129" s="25" t="str">
        <f>"－"</f>
        <v>－</v>
      </c>
      <c r="W129" s="23"/>
      <c r="X129" s="26" t="str">
        <f>"－"</f>
        <v>－</v>
      </c>
      <c r="Y129" s="24"/>
      <c r="Z129" s="25" t="str">
        <f>"－"</f>
        <v>－</v>
      </c>
      <c r="AA129" s="23"/>
      <c r="AB129" s="25" t="str">
        <f>"－"</f>
        <v>－</v>
      </c>
      <c r="AC129" s="23"/>
      <c r="AD129" s="26" t="str">
        <f>"－"</f>
        <v>－</v>
      </c>
    </row>
    <row r="130">
      <c r="A130" s="30" t="s">
        <v>57</v>
      </c>
      <c r="B130" s="22" t="s">
        <v>65</v>
      </c>
      <c r="C130" s="22" t="s">
        <v>66</v>
      </c>
      <c r="D130" s="24"/>
      <c r="E130" s="25" t="str">
        <f>"－"</f>
        <v>－</v>
      </c>
      <c r="F130" s="23"/>
      <c r="G130" s="25" t="str">
        <f>"－"</f>
        <v>－</v>
      </c>
      <c r="H130" s="23"/>
      <c r="I130" s="26" t="str">
        <f>"－"</f>
        <v>－</v>
      </c>
      <c r="J130" s="24"/>
      <c r="K130" s="25" t="str">
        <f>"－"</f>
        <v>－</v>
      </c>
      <c r="L130" s="23"/>
      <c r="M130" s="25" t="str">
        <f>"－"</f>
        <v>－</v>
      </c>
      <c r="N130" s="23"/>
      <c r="O130" s="26" t="str">
        <f>"－"</f>
        <v>－</v>
      </c>
      <c r="P130" s="27" t="str">
        <f>"－"</f>
        <v>－</v>
      </c>
      <c r="Q130" s="28" t="str">
        <f>"－"</f>
        <v>－</v>
      </c>
      <c r="R130" s="29" t="str">
        <f>"－"</f>
        <v>－</v>
      </c>
      <c r="S130" s="24"/>
      <c r="T130" s="25" t="str">
        <f>"－"</f>
        <v>－</v>
      </c>
      <c r="U130" s="23"/>
      <c r="V130" s="25" t="str">
        <f>"－"</f>
        <v>－</v>
      </c>
      <c r="W130" s="23"/>
      <c r="X130" s="26" t="str">
        <f>"－"</f>
        <v>－</v>
      </c>
      <c r="Y130" s="24"/>
      <c r="Z130" s="25" t="str">
        <f>"－"</f>
        <v>－</v>
      </c>
      <c r="AA130" s="23"/>
      <c r="AB130" s="25" t="str">
        <f>"－"</f>
        <v>－</v>
      </c>
      <c r="AC130" s="23"/>
      <c r="AD130" s="26" t="str">
        <f>"－"</f>
        <v>－</v>
      </c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 t="str">
        <f>"－"</f>
        <v>－</v>
      </c>
      <c r="F133" s="23"/>
      <c r="G133" s="25" t="str">
        <f>"－"</f>
        <v>－</v>
      </c>
      <c r="H133" s="23"/>
      <c r="I133" s="26" t="str">
        <f>"－"</f>
        <v>－</v>
      </c>
      <c r="J133" s="24"/>
      <c r="K133" s="25" t="str">
        <f>"－"</f>
        <v>－</v>
      </c>
      <c r="L133" s="23"/>
      <c r="M133" s="25" t="str">
        <f>"－"</f>
        <v>－</v>
      </c>
      <c r="N133" s="23"/>
      <c r="O133" s="26" t="str">
        <f>"－"</f>
        <v>－</v>
      </c>
      <c r="P133" s="27" t="str">
        <f>"－"</f>
        <v>－</v>
      </c>
      <c r="Q133" s="28" t="str">
        <f>"－"</f>
        <v>－</v>
      </c>
      <c r="R133" s="29" t="str">
        <f>"－"</f>
        <v>－</v>
      </c>
      <c r="S133" s="24"/>
      <c r="T133" s="25" t="str">
        <f>"－"</f>
        <v>－</v>
      </c>
      <c r="U133" s="23"/>
      <c r="V133" s="25" t="str">
        <f>"－"</f>
        <v>－</v>
      </c>
      <c r="W133" s="23"/>
      <c r="X133" s="26" t="str">
        <f>"－"</f>
        <v>－</v>
      </c>
      <c r="Y133" s="24"/>
      <c r="Z133" s="25" t="str">
        <f>"－"</f>
        <v>－</v>
      </c>
      <c r="AA133" s="23"/>
      <c r="AB133" s="25" t="str">
        <f>"－"</f>
        <v>－</v>
      </c>
      <c r="AC133" s="23"/>
      <c r="AD133" s="26" t="str">
        <f>"－"</f>
        <v>－</v>
      </c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31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32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33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34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36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37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38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40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31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32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33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34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36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37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38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40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