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<sst xmlns="http://schemas.openxmlformats.org/spreadsheetml/2006/main" count="680" uniqueCount="71">
  <si>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</si>
  <si>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</si>
  <si>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</si>
  <si>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</si>
  <si>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</si>
  <si>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</si>
  <si>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</si>
  <si>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</si>
  <si>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</si>
  <si>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</si>
  <si>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</si>
  <si>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</si>
  <si>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</si>
  <si>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</si>
  <si>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</si>
  <si>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</si>
  <si>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</si>
  <si>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</si>
  <si>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</si>
  <si>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</si>
  <si>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</si>
  <si>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</si>
  <si>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</si>
  <si>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</si>
  <si>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</si>
  <si>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</si>
  <si>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6.1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</si>
  <si>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</si>
  <si>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</si>
  <si>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</si>
  <si>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</si>
  <si>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</si>
  <si>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</si>
  <si>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</si>
  <si>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</si>
  <si>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</si>
  <si>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</si>
  <si>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</si>
  <si>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●</t>
  </si>
  <si>
    <t>11</t>
  </si>
  <si>
    <t>12</t>
  </si>
  <si>
    <t>13</t>
  </si>
  <si>
    <t>◎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</si>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</sst>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8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/>
      <c r="F10" s="23"/>
      <c r="G10" s="25"/>
      <c r="H10" s="23"/>
      <c r="I10" s="26"/>
      <c r="J10" s="24"/>
      <c r="K10" s="25"/>
      <c r="L10" s="23"/>
      <c r="M10" s="25"/>
      <c r="N10" s="23"/>
      <c r="O10" s="26"/>
      <c r="P10" s="27"/>
      <c r="Q10" s="28"/>
      <c r="R10" s="29"/>
      <c r="S10" s="24"/>
      <c r="T10" s="25"/>
      <c r="U10" s="23"/>
      <c r="V10" s="25"/>
      <c r="W10" s="23"/>
      <c r="X10" s="26"/>
      <c r="Y10" s="24"/>
      <c r="Z10" s="25"/>
      <c r="AA10" s="23"/>
      <c r="AB10" s="25"/>
      <c r="AC10" s="23"/>
      <c r="AD10" s="26"/>
    </row>
    <row r="11">
      <c r="A11" s="30" t="s">
        <v>29</v>
      </c>
      <c r="B11" s="22" t="s">
        <v>27</v>
      </c>
      <c r="C11" s="22" t="s">
        <v>28</v>
      </c>
      <c r="D11" s="24"/>
      <c r="E11" s="25"/>
      <c r="F11" s="23"/>
      <c r="G11" s="25"/>
      <c r="H11" s="23"/>
      <c r="I11" s="26"/>
      <c r="J11" s="24"/>
      <c r="K11" s="25"/>
      <c r="L11" s="23"/>
      <c r="M11" s="25"/>
      <c r="N11" s="23"/>
      <c r="O11" s="26"/>
      <c r="P11" s="27"/>
      <c r="Q11" s="28"/>
      <c r="R11" s="29"/>
      <c r="S11" s="24"/>
      <c r="T11" s="25"/>
      <c r="U11" s="23"/>
      <c r="V11" s="25"/>
      <c r="W11" s="23"/>
      <c r="X11" s="26"/>
      <c r="Y11" s="24"/>
      <c r="Z11" s="25"/>
      <c r="AA11" s="23"/>
      <c r="AB11" s="25"/>
      <c r="AC11" s="23"/>
      <c r="AD11" s="26"/>
    </row>
    <row r="12">
      <c r="A12" s="30" t="s">
        <v>30</v>
      </c>
      <c r="B12" s="22" t="s">
        <v>27</v>
      </c>
      <c r="C12" s="22" t="s">
        <v>28</v>
      </c>
      <c r="D12" s="24"/>
      <c r="E12" s="25" t="n">
        <f>41510</f>
        <v>41510.0</v>
      </c>
      <c r="F12" s="23"/>
      <c r="G12" s="25" t="n">
        <f>38075</f>
        <v>38075.0</v>
      </c>
      <c r="H12" s="23"/>
      <c r="I12" s="26" t="n">
        <f>79585</f>
        <v>79585.0</v>
      </c>
      <c r="J12" s="24"/>
      <c r="K12" s="25" t="n">
        <f>8459331192</f>
        <v>8.459331192E9</v>
      </c>
      <c r="L12" s="23"/>
      <c r="M12" s="25" t="n">
        <f>7196972694</f>
        <v>7.196972694E9</v>
      </c>
      <c r="N12" s="23"/>
      <c r="O12" s="26" t="n">
        <f>15656303886</f>
        <v>1.5656303886E10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10539</f>
        <v>10539.0</v>
      </c>
      <c r="U12" s="23"/>
      <c r="V12" s="25" t="n">
        <f>5623</f>
        <v>5623.0</v>
      </c>
      <c r="W12" s="23"/>
      <c r="X12" s="26" t="n">
        <f>16162</f>
        <v>16162.0</v>
      </c>
      <c r="Y12" s="24"/>
      <c r="Z12" s="25" t="n">
        <f>794460</f>
        <v>794460.0</v>
      </c>
      <c r="AA12" s="23"/>
      <c r="AB12" s="25" t="n">
        <f>514341</f>
        <v>514341.0</v>
      </c>
      <c r="AC12" s="23"/>
      <c r="AD12" s="26" t="n">
        <f>1308801</f>
        <v>1308801.0</v>
      </c>
    </row>
    <row r="13">
      <c r="A13" s="30" t="s">
        <v>31</v>
      </c>
      <c r="B13" s="22" t="s">
        <v>27</v>
      </c>
      <c r="C13" s="22" t="s">
        <v>28</v>
      </c>
      <c r="D13" s="24"/>
      <c r="E13" s="25" t="n">
        <f>32115</f>
        <v>32115.0</v>
      </c>
      <c r="F13" s="23"/>
      <c r="G13" s="25" t="n">
        <f>19998</f>
        <v>19998.0</v>
      </c>
      <c r="H13" s="23"/>
      <c r="I13" s="26" t="n">
        <f>52113</f>
        <v>52113.0</v>
      </c>
      <c r="J13" s="24"/>
      <c r="K13" s="25" t="n">
        <f>9012158199</f>
        <v>9.012158199E9</v>
      </c>
      <c r="L13" s="23"/>
      <c r="M13" s="25" t="n">
        <f>4061685140</f>
        <v>4.06168514E9</v>
      </c>
      <c r="N13" s="23"/>
      <c r="O13" s="26" t="n">
        <f>13073843339</f>
        <v>1.3073843339E10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6648</f>
        <v>6648.0</v>
      </c>
      <c r="U13" s="23"/>
      <c r="V13" s="25" t="n">
        <f>4058</f>
        <v>4058.0</v>
      </c>
      <c r="W13" s="23"/>
      <c r="X13" s="26" t="n">
        <f>10706</f>
        <v>10706.0</v>
      </c>
      <c r="Y13" s="24"/>
      <c r="Z13" s="25" t="n">
        <f>800090</f>
        <v>800090.0</v>
      </c>
      <c r="AA13" s="23"/>
      <c r="AB13" s="25" t="n">
        <f>518133</f>
        <v>518133.0</v>
      </c>
      <c r="AC13" s="23"/>
      <c r="AD13" s="26" t="n">
        <f>1318223</f>
        <v>1318223.0</v>
      </c>
    </row>
    <row r="14">
      <c r="A14" s="30" t="s">
        <v>32</v>
      </c>
      <c r="B14" s="22" t="s">
        <v>27</v>
      </c>
      <c r="C14" s="22" t="s">
        <v>28</v>
      </c>
      <c r="D14" s="24"/>
      <c r="E14" s="25" t="n">
        <f>36947</f>
        <v>36947.0</v>
      </c>
      <c r="F14" s="23"/>
      <c r="G14" s="25" t="n">
        <f>25340</f>
        <v>25340.0</v>
      </c>
      <c r="H14" s="23"/>
      <c r="I14" s="26" t="n">
        <f>62287</f>
        <v>62287.0</v>
      </c>
      <c r="J14" s="24"/>
      <c r="K14" s="25" t="n">
        <f>10831414250</f>
        <v>1.083141425E10</v>
      </c>
      <c r="L14" s="23"/>
      <c r="M14" s="25" t="n">
        <f>4688380468</f>
        <v>4.688380468E9</v>
      </c>
      <c r="N14" s="23"/>
      <c r="O14" s="26" t="n">
        <f>15519794718</f>
        <v>1.5519794718E10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7713</f>
        <v>7713.0</v>
      </c>
      <c r="U14" s="23"/>
      <c r="V14" s="25" t="n">
        <f>4593</f>
        <v>4593.0</v>
      </c>
      <c r="W14" s="23"/>
      <c r="X14" s="26" t="n">
        <f>12306</f>
        <v>12306.0</v>
      </c>
      <c r="Y14" s="24"/>
      <c r="Z14" s="25" t="n">
        <f>807901</f>
        <v>807901.0</v>
      </c>
      <c r="AA14" s="23"/>
      <c r="AB14" s="25" t="n">
        <f>522039</f>
        <v>522039.0</v>
      </c>
      <c r="AC14" s="23"/>
      <c r="AD14" s="26" t="n">
        <f>1329940</f>
        <v>1329940.0</v>
      </c>
    </row>
    <row r="15">
      <c r="A15" s="30" t="s">
        <v>33</v>
      </c>
      <c r="B15" s="22" t="s">
        <v>27</v>
      </c>
      <c r="C15" s="22" t="s">
        <v>28</v>
      </c>
      <c r="D15" s="24"/>
      <c r="E15" s="25" t="n">
        <f>30936</f>
        <v>30936.0</v>
      </c>
      <c r="F15" s="23"/>
      <c r="G15" s="25" t="n">
        <f>28801</f>
        <v>28801.0</v>
      </c>
      <c r="H15" s="23"/>
      <c r="I15" s="26" t="n">
        <f>59737</f>
        <v>59737.0</v>
      </c>
      <c r="J15" s="24"/>
      <c r="K15" s="25" t="n">
        <f>7936451326</f>
        <v>7.936451326E9</v>
      </c>
      <c r="L15" s="23"/>
      <c r="M15" s="25" t="n">
        <f>7023159490</f>
        <v>7.02315949E9</v>
      </c>
      <c r="N15" s="23"/>
      <c r="O15" s="26" t="n">
        <f>14959610816</f>
        <v>1.4959610816E10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4798</f>
        <v>4798.0</v>
      </c>
      <c r="U15" s="23"/>
      <c r="V15" s="25" t="n">
        <f>3217</f>
        <v>3217.0</v>
      </c>
      <c r="W15" s="23"/>
      <c r="X15" s="26" t="n">
        <f>8015</f>
        <v>8015.0</v>
      </c>
      <c r="Y15" s="24"/>
      <c r="Z15" s="25" t="n">
        <f>814427</f>
        <v>814427.0</v>
      </c>
      <c r="AA15" s="23"/>
      <c r="AB15" s="25" t="n">
        <f>525431</f>
        <v>525431.0</v>
      </c>
      <c r="AC15" s="23"/>
      <c r="AD15" s="26" t="n">
        <f>1339858</f>
        <v>1339858.0</v>
      </c>
    </row>
    <row r="16">
      <c r="A16" s="30" t="s">
        <v>34</v>
      </c>
      <c r="B16" s="22" t="s">
        <v>27</v>
      </c>
      <c r="C16" s="22" t="s">
        <v>28</v>
      </c>
      <c r="D16" s="24"/>
      <c r="E16" s="25" t="n">
        <f>27598</f>
        <v>27598.0</v>
      </c>
      <c r="F16" s="23"/>
      <c r="G16" s="25" t="n">
        <f>21845</f>
        <v>21845.0</v>
      </c>
      <c r="H16" s="23"/>
      <c r="I16" s="26" t="n">
        <f>49443</f>
        <v>49443.0</v>
      </c>
      <c r="J16" s="24"/>
      <c r="K16" s="25" t="n">
        <f>9049569920</f>
        <v>9.04956992E9</v>
      </c>
      <c r="L16" s="23"/>
      <c r="M16" s="25" t="n">
        <f>9384864240</f>
        <v>9.38486424E9</v>
      </c>
      <c r="N16" s="23"/>
      <c r="O16" s="26" t="n">
        <f>18434434160</f>
        <v>1.843443416E10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6194</f>
        <v>6194.0</v>
      </c>
      <c r="U16" s="23"/>
      <c r="V16" s="25" t="n">
        <f>3748</f>
        <v>3748.0</v>
      </c>
      <c r="W16" s="23"/>
      <c r="X16" s="26" t="n">
        <f>9942</f>
        <v>9942.0</v>
      </c>
      <c r="Y16" s="24"/>
      <c r="Z16" s="25" t="n">
        <f>818866</f>
        <v>818866.0</v>
      </c>
      <c r="AA16" s="23"/>
      <c r="AB16" s="25" t="n">
        <f>527529</f>
        <v>527529.0</v>
      </c>
      <c r="AC16" s="23"/>
      <c r="AD16" s="26" t="n">
        <f>1346395</f>
        <v>1346395.0</v>
      </c>
    </row>
    <row r="17">
      <c r="A17" s="30" t="s">
        <v>35</v>
      </c>
      <c r="B17" s="22" t="s">
        <v>27</v>
      </c>
      <c r="C17" s="22" t="s">
        <v>28</v>
      </c>
      <c r="D17" s="24"/>
      <c r="E17" s="25"/>
      <c r="F17" s="23"/>
      <c r="G17" s="25"/>
      <c r="H17" s="23"/>
      <c r="I17" s="26"/>
      <c r="J17" s="24"/>
      <c r="K17" s="25"/>
      <c r="L17" s="23"/>
      <c r="M17" s="25"/>
      <c r="N17" s="23"/>
      <c r="O17" s="26"/>
      <c r="P17" s="27"/>
      <c r="Q17" s="28"/>
      <c r="R17" s="29"/>
      <c r="S17" s="24"/>
      <c r="T17" s="25"/>
      <c r="U17" s="23"/>
      <c r="V17" s="25"/>
      <c r="W17" s="23"/>
      <c r="X17" s="26"/>
      <c r="Y17" s="24"/>
      <c r="Z17" s="25"/>
      <c r="AA17" s="23"/>
      <c r="AB17" s="25"/>
      <c r="AC17" s="23"/>
      <c r="AD17" s="26"/>
    </row>
    <row r="18">
      <c r="A18" s="30" t="s">
        <v>36</v>
      </c>
      <c r="B18" s="22" t="s">
        <v>27</v>
      </c>
      <c r="C18" s="22" t="s">
        <v>28</v>
      </c>
      <c r="D18" s="24"/>
      <c r="E18" s="25"/>
      <c r="F18" s="23"/>
      <c r="G18" s="25"/>
      <c r="H18" s="23"/>
      <c r="I18" s="26"/>
      <c r="J18" s="24"/>
      <c r="K18" s="25"/>
      <c r="L18" s="23"/>
      <c r="M18" s="25"/>
      <c r="N18" s="23"/>
      <c r="O18" s="26"/>
      <c r="P18" s="27"/>
      <c r="Q18" s="28"/>
      <c r="R18" s="29"/>
      <c r="S18" s="24"/>
      <c r="T18" s="25"/>
      <c r="U18" s="23"/>
      <c r="V18" s="25"/>
      <c r="W18" s="23"/>
      <c r="X18" s="26"/>
      <c r="Y18" s="24"/>
      <c r="Z18" s="25"/>
      <c r="AA18" s="23"/>
      <c r="AB18" s="25"/>
      <c r="AC18" s="23"/>
      <c r="AD18" s="26"/>
    </row>
    <row r="19">
      <c r="A19" s="30" t="s">
        <v>37</v>
      </c>
      <c r="B19" s="22" t="s">
        <v>27</v>
      </c>
      <c r="C19" s="22" t="s">
        <v>28</v>
      </c>
      <c r="D19" s="24"/>
      <c r="E19" s="25" t="n">
        <f>30771</f>
        <v>30771.0</v>
      </c>
      <c r="F19" s="23"/>
      <c r="G19" s="25" t="n">
        <f>29573</f>
        <v>29573.0</v>
      </c>
      <c r="H19" s="23"/>
      <c r="I19" s="26" t="n">
        <f>60344</f>
        <v>60344.0</v>
      </c>
      <c r="J19" s="24" t="s">
        <v>38</v>
      </c>
      <c r="K19" s="25" t="n">
        <f>3395473851</f>
        <v>3.395473851E9</v>
      </c>
      <c r="L19" s="23"/>
      <c r="M19" s="25" t="n">
        <f>5579452210</f>
        <v>5.57945221E9</v>
      </c>
      <c r="N19" s="23"/>
      <c r="O19" s="26" t="n">
        <f>8974926061</f>
        <v>8.974926061E9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5463</f>
        <v>5463.0</v>
      </c>
      <c r="U19" s="23"/>
      <c r="V19" s="25" t="n">
        <f>3978</f>
        <v>3978.0</v>
      </c>
      <c r="W19" s="23"/>
      <c r="X19" s="26" t="n">
        <f>9441</f>
        <v>9441.0</v>
      </c>
      <c r="Y19" s="24"/>
      <c r="Z19" s="25" t="n">
        <f>823851</f>
        <v>823851.0</v>
      </c>
      <c r="AA19" s="23"/>
      <c r="AB19" s="25" t="n">
        <f>534653</f>
        <v>534653.0</v>
      </c>
      <c r="AC19" s="23"/>
      <c r="AD19" s="26" t="n">
        <f>1358504</f>
        <v>1358504.0</v>
      </c>
    </row>
    <row r="20">
      <c r="A20" s="30" t="s">
        <v>39</v>
      </c>
      <c r="B20" s="22" t="s">
        <v>27</v>
      </c>
      <c r="C20" s="22" t="s">
        <v>28</v>
      </c>
      <c r="D20" s="24"/>
      <c r="E20" s="25" t="n">
        <f>37629</f>
        <v>37629.0</v>
      </c>
      <c r="F20" s="23"/>
      <c r="G20" s="25" t="n">
        <f>31977</f>
        <v>31977.0</v>
      </c>
      <c r="H20" s="23"/>
      <c r="I20" s="26" t="n">
        <f>69606</f>
        <v>69606.0</v>
      </c>
      <c r="J20" s="24"/>
      <c r="K20" s="25" t="n">
        <f>6161221820</f>
        <v>6.16122182E9</v>
      </c>
      <c r="L20" s="23"/>
      <c r="M20" s="25" t="n">
        <f>9414149650</f>
        <v>9.41414965E9</v>
      </c>
      <c r="N20" s="23"/>
      <c r="O20" s="26" t="n">
        <f>15575371470</f>
        <v>1.557537147E10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6369</f>
        <v>6369.0</v>
      </c>
      <c r="U20" s="23"/>
      <c r="V20" s="25" t="n">
        <f>4599</f>
        <v>4599.0</v>
      </c>
      <c r="W20" s="23"/>
      <c r="X20" s="26" t="n">
        <f>10968</f>
        <v>10968.0</v>
      </c>
      <c r="Y20" s="24"/>
      <c r="Z20" s="25" t="n">
        <f>828134</f>
        <v>828134.0</v>
      </c>
      <c r="AA20" s="23"/>
      <c r="AB20" s="25" t="n">
        <f>535682</f>
        <v>535682.0</v>
      </c>
      <c r="AC20" s="23"/>
      <c r="AD20" s="26" t="n">
        <f>1363816</f>
        <v>1363816.0</v>
      </c>
    </row>
    <row r="21">
      <c r="A21" s="30" t="s">
        <v>40</v>
      </c>
      <c r="B21" s="22" t="s">
        <v>27</v>
      </c>
      <c r="C21" s="22" t="s">
        <v>28</v>
      </c>
      <c r="D21" s="24"/>
      <c r="E21" s="25" t="n">
        <f>31454</f>
        <v>31454.0</v>
      </c>
      <c r="F21" s="23"/>
      <c r="G21" s="25" t="n">
        <f>25032</f>
        <v>25032.0</v>
      </c>
      <c r="H21" s="23"/>
      <c r="I21" s="26" t="n">
        <f>56486</f>
        <v>56486.0</v>
      </c>
      <c r="J21" s="24"/>
      <c r="K21" s="25" t="n">
        <f>4982833751</f>
        <v>4.982833751E9</v>
      </c>
      <c r="L21" s="23"/>
      <c r="M21" s="25" t="n">
        <f>8225814213</f>
        <v>8.225814213E9</v>
      </c>
      <c r="N21" s="23"/>
      <c r="O21" s="26" t="n">
        <f>13208647964</f>
        <v>1.3208647964E10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4"/>
      <c r="T21" s="25" t="n">
        <f>5681</f>
        <v>5681.0</v>
      </c>
      <c r="U21" s="23"/>
      <c r="V21" s="25" t="n">
        <f>5568</f>
        <v>5568.0</v>
      </c>
      <c r="W21" s="23"/>
      <c r="X21" s="26" t="n">
        <f>11249</f>
        <v>11249.0</v>
      </c>
      <c r="Y21" s="24"/>
      <c r="Z21" s="25" t="n">
        <f>826256</f>
        <v>826256.0</v>
      </c>
      <c r="AA21" s="23"/>
      <c r="AB21" s="25" t="n">
        <f>534765</f>
        <v>534765.0</v>
      </c>
      <c r="AC21" s="23"/>
      <c r="AD21" s="26" t="n">
        <f>1361021</f>
        <v>1361021.0</v>
      </c>
    </row>
    <row r="22">
      <c r="A22" s="30" t="s">
        <v>41</v>
      </c>
      <c r="B22" s="22" t="s">
        <v>27</v>
      </c>
      <c r="C22" s="22" t="s">
        <v>28</v>
      </c>
      <c r="D22" s="24"/>
      <c r="E22" s="25" t="n">
        <f>44556</f>
        <v>44556.0</v>
      </c>
      <c r="F22" s="23" t="s">
        <v>42</v>
      </c>
      <c r="G22" s="25" t="n">
        <f>43469</f>
        <v>43469.0</v>
      </c>
      <c r="H22" s="23"/>
      <c r="I22" s="26" t="n">
        <f>88025</f>
        <v>88025.0</v>
      </c>
      <c r="J22" s="24"/>
      <c r="K22" s="25" t="n">
        <f>9344724914</f>
        <v>9.344724914E9</v>
      </c>
      <c r="L22" s="23"/>
      <c r="M22" s="25" t="n">
        <f>8632829170</f>
        <v>8.63282917E9</v>
      </c>
      <c r="N22" s="23"/>
      <c r="O22" s="26" t="n">
        <f>17977554084</f>
        <v>1.7977554084E10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/>
      <c r="T22" s="25" t="n">
        <f>7656</f>
        <v>7656.0</v>
      </c>
      <c r="U22" s="23"/>
      <c r="V22" s="25" t="n">
        <f>10037</f>
        <v>10037.0</v>
      </c>
      <c r="W22" s="23"/>
      <c r="X22" s="26" t="n">
        <f>17693</f>
        <v>17693.0</v>
      </c>
      <c r="Y22" s="24" t="s">
        <v>42</v>
      </c>
      <c r="Z22" s="25" t="n">
        <f>831356</f>
        <v>831356.0</v>
      </c>
      <c r="AA22" s="23" t="s">
        <v>42</v>
      </c>
      <c r="AB22" s="25" t="n">
        <f>542388</f>
        <v>542388.0</v>
      </c>
      <c r="AC22" s="23" t="s">
        <v>42</v>
      </c>
      <c r="AD22" s="26" t="n">
        <f>1373744</f>
        <v>1373744.0</v>
      </c>
    </row>
    <row r="23">
      <c r="A23" s="30" t="s">
        <v>43</v>
      </c>
      <c r="B23" s="22" t="s">
        <v>27</v>
      </c>
      <c r="C23" s="22" t="s">
        <v>28</v>
      </c>
      <c r="D23" s="24"/>
      <c r="E23" s="25" t="n">
        <f>33529</f>
        <v>33529.0</v>
      </c>
      <c r="F23" s="23"/>
      <c r="G23" s="25" t="n">
        <f>24151</f>
        <v>24151.0</v>
      </c>
      <c r="H23" s="23"/>
      <c r="I23" s="26" t="n">
        <f>57680</f>
        <v>57680.0</v>
      </c>
      <c r="J23" s="24"/>
      <c r="K23" s="25" t="n">
        <f>6339496460</f>
        <v>6.33949646E9</v>
      </c>
      <c r="L23" s="23"/>
      <c r="M23" s="25" t="n">
        <f>5637005874</f>
        <v>5.637005874E9</v>
      </c>
      <c r="N23" s="23"/>
      <c r="O23" s="26" t="n">
        <f>11976502334</f>
        <v>1.1976502334E10</v>
      </c>
      <c r="P23" s="27" t="n">
        <f>20213</f>
        <v>20213.0</v>
      </c>
      <c r="Q23" s="28" t="n">
        <f>105955</f>
        <v>105955.0</v>
      </c>
      <c r="R23" s="29" t="n">
        <f>126168</f>
        <v>126168.0</v>
      </c>
      <c r="S23" s="24"/>
      <c r="T23" s="25" t="n">
        <f>7750</f>
        <v>7750.0</v>
      </c>
      <c r="U23" s="23"/>
      <c r="V23" s="25" t="n">
        <f>8048</f>
        <v>8048.0</v>
      </c>
      <c r="W23" s="23"/>
      <c r="X23" s="26" t="n">
        <f>15798</f>
        <v>15798.0</v>
      </c>
      <c r="Y23" s="24" t="s">
        <v>38</v>
      </c>
      <c r="Z23" s="25" t="n">
        <f>563123</f>
        <v>563123.0</v>
      </c>
      <c r="AA23" s="23" t="s">
        <v>38</v>
      </c>
      <c r="AB23" s="25" t="n">
        <f>345457</f>
        <v>345457.0</v>
      </c>
      <c r="AC23" s="23" t="s">
        <v>38</v>
      </c>
      <c r="AD23" s="26" t="n">
        <f>908580</f>
        <v>908580.0</v>
      </c>
    </row>
    <row r="24">
      <c r="A24" s="30" t="s">
        <v>44</v>
      </c>
      <c r="B24" s="22" t="s">
        <v>27</v>
      </c>
      <c r="C24" s="22" t="s">
        <v>28</v>
      </c>
      <c r="D24" s="24"/>
      <c r="E24" s="25"/>
      <c r="F24" s="23"/>
      <c r="G24" s="25"/>
      <c r="H24" s="23"/>
      <c r="I24" s="26"/>
      <c r="J24" s="24"/>
      <c r="K24" s="25"/>
      <c r="L24" s="23"/>
      <c r="M24" s="25"/>
      <c r="N24" s="23"/>
      <c r="O24" s="26"/>
      <c r="P24" s="27"/>
      <c r="Q24" s="28"/>
      <c r="R24" s="29"/>
      <c r="S24" s="24"/>
      <c r="T24" s="25"/>
      <c r="U24" s="23"/>
      <c r="V24" s="25"/>
      <c r="W24" s="23"/>
      <c r="X24" s="26"/>
      <c r="Y24" s="24"/>
      <c r="Z24" s="25"/>
      <c r="AA24" s="23"/>
      <c r="AB24" s="25"/>
      <c r="AC24" s="23"/>
      <c r="AD24" s="26"/>
    </row>
    <row r="25">
      <c r="A25" s="30" t="s">
        <v>45</v>
      </c>
      <c r="B25" s="22" t="s">
        <v>27</v>
      </c>
      <c r="C25" s="22" t="s">
        <v>28</v>
      </c>
      <c r="D25" s="24"/>
      <c r="E25" s="25"/>
      <c r="F25" s="23"/>
      <c r="G25" s="25"/>
      <c r="H25" s="23"/>
      <c r="I25" s="26"/>
      <c r="J25" s="24"/>
      <c r="K25" s="25"/>
      <c r="L25" s="23"/>
      <c r="M25" s="25"/>
      <c r="N25" s="23"/>
      <c r="O25" s="26"/>
      <c r="P25" s="27"/>
      <c r="Q25" s="28"/>
      <c r="R25" s="29"/>
      <c r="S25" s="24"/>
      <c r="T25" s="25"/>
      <c r="U25" s="23"/>
      <c r="V25" s="25"/>
      <c r="W25" s="23"/>
      <c r="X25" s="26"/>
      <c r="Y25" s="24"/>
      <c r="Z25" s="25"/>
      <c r="AA25" s="23"/>
      <c r="AB25" s="25"/>
      <c r="AC25" s="23"/>
      <c r="AD25" s="26"/>
    </row>
    <row r="26">
      <c r="A26" s="30" t="s">
        <v>46</v>
      </c>
      <c r="B26" s="22" t="s">
        <v>27</v>
      </c>
      <c r="C26" s="22" t="s">
        <v>28</v>
      </c>
      <c r="D26" s="24" t="s">
        <v>42</v>
      </c>
      <c r="E26" s="25" t="n">
        <f>51269</f>
        <v>51269.0</v>
      </c>
      <c r="F26" s="23"/>
      <c r="G26" s="25" t="n">
        <f>39627</f>
        <v>39627.0</v>
      </c>
      <c r="H26" s="23" t="s">
        <v>42</v>
      </c>
      <c r="I26" s="26" t="n">
        <f>90896</f>
        <v>90896.0</v>
      </c>
      <c r="J26" s="24" t="s">
        <v>42</v>
      </c>
      <c r="K26" s="25" t="n">
        <f>13571249030</f>
        <v>1.357124903E10</v>
      </c>
      <c r="L26" s="23"/>
      <c r="M26" s="25" t="n">
        <f>9946501670</f>
        <v>9.94650167E9</v>
      </c>
      <c r="N26" s="23"/>
      <c r="O26" s="26" t="n">
        <f>23517750700</f>
        <v>2.35177507E10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 t="s">
        <v>42</v>
      </c>
      <c r="T26" s="25" t="n">
        <f>15205</f>
        <v>15205.0</v>
      </c>
      <c r="U26" s="23" t="s">
        <v>42</v>
      </c>
      <c r="V26" s="25" t="n">
        <f>14118</f>
        <v>14118.0</v>
      </c>
      <c r="W26" s="23" t="s">
        <v>42</v>
      </c>
      <c r="X26" s="26" t="n">
        <f>29323</f>
        <v>29323.0</v>
      </c>
      <c r="Y26" s="24"/>
      <c r="Z26" s="25" t="n">
        <f>581150</f>
        <v>581150.0</v>
      </c>
      <c r="AA26" s="23"/>
      <c r="AB26" s="25" t="n">
        <f>359645</f>
        <v>359645.0</v>
      </c>
      <c r="AC26" s="23"/>
      <c r="AD26" s="26" t="n">
        <f>940795</f>
        <v>940795.0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24830</f>
        <v>24830.0</v>
      </c>
      <c r="F27" s="23"/>
      <c r="G27" s="25" t="n">
        <f>18809</f>
        <v>18809.0</v>
      </c>
      <c r="H27" s="23"/>
      <c r="I27" s="26" t="n">
        <f>43639</f>
        <v>43639.0</v>
      </c>
      <c r="J27" s="24"/>
      <c r="K27" s="25" t="n">
        <f>8543939050</f>
        <v>8.54393905E9</v>
      </c>
      <c r="L27" s="23" t="s">
        <v>42</v>
      </c>
      <c r="M27" s="25" t="n">
        <f>13490621970</f>
        <v>1.349062197E10</v>
      </c>
      <c r="N27" s="23"/>
      <c r="O27" s="26" t="n">
        <f>22034561020</f>
        <v>2.203456102E10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8497</f>
        <v>8497.0</v>
      </c>
      <c r="U27" s="23"/>
      <c r="V27" s="25" t="n">
        <f>5910</f>
        <v>5910.0</v>
      </c>
      <c r="W27" s="23"/>
      <c r="X27" s="26" t="n">
        <f>14407</f>
        <v>14407.0</v>
      </c>
      <c r="Y27" s="24"/>
      <c r="Z27" s="25" t="n">
        <f>584341</f>
        <v>584341.0</v>
      </c>
      <c r="AA27" s="23"/>
      <c r="AB27" s="25" t="n">
        <f>361353</f>
        <v>361353.0</v>
      </c>
      <c r="AC27" s="23"/>
      <c r="AD27" s="26" t="n">
        <f>945694</f>
        <v>945694.0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35909</f>
        <v>35909.0</v>
      </c>
      <c r="F28" s="23"/>
      <c r="G28" s="25" t="n">
        <f>23918</f>
        <v>23918.0</v>
      </c>
      <c r="H28" s="23"/>
      <c r="I28" s="26" t="n">
        <f>59827</f>
        <v>59827.0</v>
      </c>
      <c r="J28" s="24"/>
      <c r="K28" s="25" t="n">
        <f>9782286660</f>
        <v>9.78228666E9</v>
      </c>
      <c r="L28" s="23"/>
      <c r="M28" s="25" t="n">
        <f>4404184710</f>
        <v>4.40418471E9</v>
      </c>
      <c r="N28" s="23"/>
      <c r="O28" s="26" t="n">
        <f>14186471370</f>
        <v>1.418647137E10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5437</f>
        <v>5437.0</v>
      </c>
      <c r="U28" s="23"/>
      <c r="V28" s="25" t="n">
        <f>2946</f>
        <v>2946.0</v>
      </c>
      <c r="W28" s="23"/>
      <c r="X28" s="26" t="n">
        <f>8383</f>
        <v>8383.0</v>
      </c>
      <c r="Y28" s="24"/>
      <c r="Z28" s="25" t="n">
        <f>594817</f>
        <v>594817.0</v>
      </c>
      <c r="AA28" s="23"/>
      <c r="AB28" s="25" t="n">
        <f>361335</f>
        <v>361335.0</v>
      </c>
      <c r="AC28" s="23"/>
      <c r="AD28" s="26" t="n">
        <f>956152</f>
        <v>956152.0</v>
      </c>
    </row>
    <row r="29">
      <c r="A29" s="30" t="s">
        <v>49</v>
      </c>
      <c r="B29" s="22" t="s">
        <v>27</v>
      </c>
      <c r="C29" s="22" t="s">
        <v>28</v>
      </c>
      <c r="D29" s="24" t="s">
        <v>38</v>
      </c>
      <c r="E29" s="25" t="n">
        <f>24111</f>
        <v>24111.0</v>
      </c>
      <c r="F29" s="23"/>
      <c r="G29" s="25" t="n">
        <f>14622</f>
        <v>14622.0</v>
      </c>
      <c r="H29" s="23" t="s">
        <v>38</v>
      </c>
      <c r="I29" s="26" t="n">
        <f>38733</f>
        <v>38733.0</v>
      </c>
      <c r="J29" s="24"/>
      <c r="K29" s="25" t="n">
        <f>4300968750</f>
        <v>4.30096875E9</v>
      </c>
      <c r="L29" s="23" t="s">
        <v>38</v>
      </c>
      <c r="M29" s="25" t="n">
        <f>2020718907</f>
        <v>2.020718907E9</v>
      </c>
      <c r="N29" s="23" t="s">
        <v>38</v>
      </c>
      <c r="O29" s="26" t="n">
        <f>6321687657</f>
        <v>6.321687657E9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4778</f>
        <v>4778.0</v>
      </c>
      <c r="U29" s="23" t="s">
        <v>38</v>
      </c>
      <c r="V29" s="25" t="n">
        <f>2330</f>
        <v>2330.0</v>
      </c>
      <c r="W29" s="23" t="s">
        <v>38</v>
      </c>
      <c r="X29" s="26" t="n">
        <f>7108</f>
        <v>7108.0</v>
      </c>
      <c r="Y29" s="24"/>
      <c r="Z29" s="25" t="n">
        <f>597415</f>
        <v>597415.0</v>
      </c>
      <c r="AA29" s="23"/>
      <c r="AB29" s="25" t="n">
        <f>362662</f>
        <v>362662.0</v>
      </c>
      <c r="AC29" s="23"/>
      <c r="AD29" s="26" t="n">
        <f>960077</f>
        <v>960077.0</v>
      </c>
    </row>
    <row r="30">
      <c r="A30" s="30" t="s">
        <v>50</v>
      </c>
      <c r="B30" s="22" t="s">
        <v>27</v>
      </c>
      <c r="C30" s="22" t="s">
        <v>28</v>
      </c>
      <c r="D30" s="24"/>
      <c r="E30" s="25" t="n">
        <f>27588</f>
        <v>27588.0</v>
      </c>
      <c r="F30" s="23" t="s">
        <v>38</v>
      </c>
      <c r="G30" s="25" t="n">
        <f>14581</f>
        <v>14581.0</v>
      </c>
      <c r="H30" s="23"/>
      <c r="I30" s="26" t="n">
        <f>42169</f>
        <v>42169.0</v>
      </c>
      <c r="J30" s="24"/>
      <c r="K30" s="25" t="n">
        <f>4570513130</f>
        <v>4.57051313E9</v>
      </c>
      <c r="L30" s="23"/>
      <c r="M30" s="25" t="n">
        <f>3401122120</f>
        <v>3.40112212E9</v>
      </c>
      <c r="N30" s="23"/>
      <c r="O30" s="26" t="n">
        <f>7971635250</f>
        <v>7.97163525E9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6445</f>
        <v>6445.0</v>
      </c>
      <c r="U30" s="23"/>
      <c r="V30" s="25" t="n">
        <f>3403</f>
        <v>3403.0</v>
      </c>
      <c r="W30" s="23"/>
      <c r="X30" s="26" t="n">
        <f>9848</f>
        <v>9848.0</v>
      </c>
      <c r="Y30" s="24"/>
      <c r="Z30" s="25" t="n">
        <f>601969</f>
        <v>601969.0</v>
      </c>
      <c r="AA30" s="23"/>
      <c r="AB30" s="25" t="n">
        <f>363827</f>
        <v>363827.0</v>
      </c>
      <c r="AC30" s="23"/>
      <c r="AD30" s="26" t="n">
        <f>965796</f>
        <v>965796.0</v>
      </c>
    </row>
    <row r="31">
      <c r="A31" s="30" t="s">
        <v>51</v>
      </c>
      <c r="B31" s="22" t="s">
        <v>27</v>
      </c>
      <c r="C31" s="22" t="s">
        <v>28</v>
      </c>
      <c r="D31" s="24"/>
      <c r="E31" s="25"/>
      <c r="F31" s="23"/>
      <c r="G31" s="25"/>
      <c r="H31" s="23"/>
      <c r="I31" s="26"/>
      <c r="J31" s="24"/>
      <c r="K31" s="25"/>
      <c r="L31" s="23"/>
      <c r="M31" s="25"/>
      <c r="N31" s="23"/>
      <c r="O31" s="26"/>
      <c r="P31" s="27"/>
      <c r="Q31" s="28"/>
      <c r="R31" s="29"/>
      <c r="S31" s="24"/>
      <c r="T31" s="25"/>
      <c r="U31" s="23"/>
      <c r="V31" s="25"/>
      <c r="W31" s="23"/>
      <c r="X31" s="26"/>
      <c r="Y31" s="24"/>
      <c r="Z31" s="25"/>
      <c r="AA31" s="23"/>
      <c r="AB31" s="25"/>
      <c r="AC31" s="23"/>
      <c r="AD31" s="26"/>
    </row>
    <row r="32">
      <c r="A32" s="30" t="s">
        <v>52</v>
      </c>
      <c r="B32" s="22" t="s">
        <v>27</v>
      </c>
      <c r="C32" s="22" t="s">
        <v>28</v>
      </c>
      <c r="D32" s="24"/>
      <c r="E32" s="25"/>
      <c r="F32" s="23"/>
      <c r="G32" s="25"/>
      <c r="H32" s="23"/>
      <c r="I32" s="26"/>
      <c r="J32" s="24"/>
      <c r="K32" s="25"/>
      <c r="L32" s="23"/>
      <c r="M32" s="25"/>
      <c r="N32" s="23"/>
      <c r="O32" s="26"/>
      <c r="P32" s="27"/>
      <c r="Q32" s="28"/>
      <c r="R32" s="29"/>
      <c r="S32" s="24"/>
      <c r="T32" s="25"/>
      <c r="U32" s="23"/>
      <c r="V32" s="25"/>
      <c r="W32" s="23"/>
      <c r="X32" s="26"/>
      <c r="Y32" s="24"/>
      <c r="Z32" s="25"/>
      <c r="AA32" s="23"/>
      <c r="AB32" s="25"/>
      <c r="AC32" s="23"/>
      <c r="AD32" s="26"/>
    </row>
    <row r="33">
      <c r="A33" s="30" t="s">
        <v>53</v>
      </c>
      <c r="B33" s="22" t="s">
        <v>27</v>
      </c>
      <c r="C33" s="22" t="s">
        <v>28</v>
      </c>
      <c r="D33" s="24"/>
      <c r="E33" s="25" t="n">
        <f>30926</f>
        <v>30926.0</v>
      </c>
      <c r="F33" s="23"/>
      <c r="G33" s="25" t="n">
        <f>15610</f>
        <v>15610.0</v>
      </c>
      <c r="H33" s="23"/>
      <c r="I33" s="26" t="n">
        <f>46536</f>
        <v>46536.0</v>
      </c>
      <c r="J33" s="24"/>
      <c r="K33" s="25" t="n">
        <f>6669149383</f>
        <v>6.669149383E9</v>
      </c>
      <c r="L33" s="23"/>
      <c r="M33" s="25" t="n">
        <f>2525723940</f>
        <v>2.52572394E9</v>
      </c>
      <c r="N33" s="23"/>
      <c r="O33" s="26" t="n">
        <f>9194873323</f>
        <v>9.194873323E9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 t="s">
        <v>38</v>
      </c>
      <c r="T33" s="25" t="n">
        <f>4757</f>
        <v>4757.0</v>
      </c>
      <c r="U33" s="23"/>
      <c r="V33" s="25" t="n">
        <f>3231</f>
        <v>3231.0</v>
      </c>
      <c r="W33" s="23"/>
      <c r="X33" s="26" t="n">
        <f>7988</f>
        <v>7988.0</v>
      </c>
      <c r="Y33" s="24"/>
      <c r="Z33" s="25" t="n">
        <f>605926</f>
        <v>605926.0</v>
      </c>
      <c r="AA33" s="23"/>
      <c r="AB33" s="25" t="n">
        <f>365440</f>
        <v>365440.0</v>
      </c>
      <c r="AC33" s="23"/>
      <c r="AD33" s="26" t="n">
        <f>971366</f>
        <v>971366.0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29226</f>
        <v>29226.0</v>
      </c>
      <c r="F34" s="23"/>
      <c r="G34" s="25" t="n">
        <f>21197</f>
        <v>21197.0</v>
      </c>
      <c r="H34" s="23"/>
      <c r="I34" s="26" t="n">
        <f>50423</f>
        <v>50423.0</v>
      </c>
      <c r="J34" s="24"/>
      <c r="K34" s="25" t="n">
        <f>5653482641</f>
        <v>5.653482641E9</v>
      </c>
      <c r="L34" s="23"/>
      <c r="M34" s="25" t="n">
        <f>3890978104</f>
        <v>3.890978104E9</v>
      </c>
      <c r="N34" s="23"/>
      <c r="O34" s="26" t="n">
        <f>9544460745</f>
        <v>9.544460745E9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5263</f>
        <v>5263.0</v>
      </c>
      <c r="U34" s="23"/>
      <c r="V34" s="25" t="n">
        <f>4484</f>
        <v>4484.0</v>
      </c>
      <c r="W34" s="23"/>
      <c r="X34" s="26" t="n">
        <f>9747</f>
        <v>9747.0</v>
      </c>
      <c r="Y34" s="24"/>
      <c r="Z34" s="25" t="n">
        <f>611933</f>
        <v>611933.0</v>
      </c>
      <c r="AA34" s="23"/>
      <c r="AB34" s="25" t="n">
        <f>368329</f>
        <v>368329.0</v>
      </c>
      <c r="AC34" s="23"/>
      <c r="AD34" s="26" t="n">
        <f>980262</f>
        <v>980262.0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47869</f>
        <v>47869.0</v>
      </c>
      <c r="F35" s="23"/>
      <c r="G35" s="25" t="n">
        <f>38613</f>
        <v>38613.0</v>
      </c>
      <c r="H35" s="23"/>
      <c r="I35" s="26" t="n">
        <f>86482</f>
        <v>86482.0</v>
      </c>
      <c r="J35" s="24"/>
      <c r="K35" s="25" t="n">
        <f>13127112060</f>
        <v>1.312711206E10</v>
      </c>
      <c r="L35" s="23"/>
      <c r="M35" s="25" t="n">
        <f>12243965940</f>
        <v>1.224396594E10</v>
      </c>
      <c r="N35" s="23" t="s">
        <v>42</v>
      </c>
      <c r="O35" s="26" t="n">
        <f>25371078000</f>
        <v>2.5371078E10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9821</f>
        <v>9821.0</v>
      </c>
      <c r="U35" s="23"/>
      <c r="V35" s="25" t="n">
        <f>11816</f>
        <v>11816.0</v>
      </c>
      <c r="W35" s="23"/>
      <c r="X35" s="26" t="n">
        <f>21637</f>
        <v>21637.0</v>
      </c>
      <c r="Y35" s="24"/>
      <c r="Z35" s="25" t="n">
        <f>621280</f>
        <v>621280.0</v>
      </c>
      <c r="AA35" s="23"/>
      <c r="AB35" s="25" t="n">
        <f>369899</f>
        <v>369899.0</v>
      </c>
      <c r="AC35" s="23"/>
      <c r="AD35" s="26" t="n">
        <f>991179</f>
        <v>991179.0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38415</f>
        <v>38415.0</v>
      </c>
      <c r="F36" s="23"/>
      <c r="G36" s="25" t="n">
        <f>23420</f>
        <v>23420.0</v>
      </c>
      <c r="H36" s="23"/>
      <c r="I36" s="26" t="n">
        <f>61835</f>
        <v>61835.0</v>
      </c>
      <c r="J36" s="24"/>
      <c r="K36" s="25" t="n">
        <f>12576997692</f>
        <v>1.2576997692E10</v>
      </c>
      <c r="L36" s="23"/>
      <c r="M36" s="25" t="n">
        <f>6792323322</f>
        <v>6.792323322E9</v>
      </c>
      <c r="N36" s="23"/>
      <c r="O36" s="26" t="n">
        <f>19369321014</f>
        <v>1.9369321014E10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5436</f>
        <v>5436.0</v>
      </c>
      <c r="U36" s="23"/>
      <c r="V36" s="25" t="n">
        <f>5115</f>
        <v>5115.0</v>
      </c>
      <c r="W36" s="23"/>
      <c r="X36" s="26" t="n">
        <f>10551</f>
        <v>10551.0</v>
      </c>
      <c r="Y36" s="24"/>
      <c r="Z36" s="25" t="n">
        <f>623506</f>
        <v>623506.0</v>
      </c>
      <c r="AA36" s="23"/>
      <c r="AB36" s="25" t="n">
        <f>370641</f>
        <v>370641.0</v>
      </c>
      <c r="AC36" s="23"/>
      <c r="AD36" s="26" t="n">
        <f>994147</f>
        <v>994147.0</v>
      </c>
    </row>
    <row r="37">
      <c r="A37" s="30" t="s">
        <v>57</v>
      </c>
      <c r="B37" s="22" t="s">
        <v>27</v>
      </c>
      <c r="C37" s="22" t="s">
        <v>28</v>
      </c>
      <c r="D37" s="24"/>
      <c r="E37" s="25" t="n">
        <f>33088</f>
        <v>33088.0</v>
      </c>
      <c r="F37" s="23"/>
      <c r="G37" s="25" t="n">
        <f>19198</f>
        <v>19198.0</v>
      </c>
      <c r="H37" s="23"/>
      <c r="I37" s="26" t="n">
        <f>52286</f>
        <v>52286.0</v>
      </c>
      <c r="J37" s="24"/>
      <c r="K37" s="25" t="n">
        <f>12126988444</f>
        <v>1.2126988444E10</v>
      </c>
      <c r="L37" s="23"/>
      <c r="M37" s="25" t="n">
        <f>7203399331</f>
        <v>7.203399331E9</v>
      </c>
      <c r="N37" s="23"/>
      <c r="O37" s="26" t="n">
        <f>19330387775</f>
        <v>1.9330387775E10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5409</f>
        <v>5409.0</v>
      </c>
      <c r="U37" s="23"/>
      <c r="V37" s="25" t="n">
        <f>3194</f>
        <v>3194.0</v>
      </c>
      <c r="W37" s="23"/>
      <c r="X37" s="26" t="n">
        <f>8603</f>
        <v>8603.0</v>
      </c>
      <c r="Y37" s="24"/>
      <c r="Z37" s="25" t="n">
        <f>631887</f>
        <v>631887.0</v>
      </c>
      <c r="AA37" s="23"/>
      <c r="AB37" s="25" t="n">
        <f>373456</f>
        <v>373456.0</v>
      </c>
      <c r="AC37" s="23"/>
      <c r="AD37" s="26" t="n">
        <f>1005343</f>
        <v>1005343.0</v>
      </c>
    </row>
    <row r="38">
      <c r="A38" s="30" t="s">
        <v>58</v>
      </c>
      <c r="B38" s="22" t="s">
        <v>27</v>
      </c>
      <c r="C38" s="22" t="s">
        <v>28</v>
      </c>
      <c r="D38" s="24"/>
      <c r="E38" s="25"/>
      <c r="F38" s="23"/>
      <c r="G38" s="25"/>
      <c r="H38" s="23"/>
      <c r="I38" s="26"/>
      <c r="J38" s="24"/>
      <c r="K38" s="25"/>
      <c r="L38" s="23"/>
      <c r="M38" s="25"/>
      <c r="N38" s="23"/>
      <c r="O38" s="26"/>
      <c r="P38" s="27"/>
      <c r="Q38" s="28"/>
      <c r="R38" s="29"/>
      <c r="S38" s="24"/>
      <c r="T38" s="25"/>
      <c r="U38" s="23"/>
      <c r="V38" s="25"/>
      <c r="W38" s="23"/>
      <c r="X38" s="26"/>
      <c r="Y38" s="24"/>
      <c r="Z38" s="25"/>
      <c r="AA38" s="23"/>
      <c r="AB38" s="25"/>
      <c r="AC38" s="23"/>
      <c r="AD38" s="26"/>
    </row>
    <row r="39">
      <c r="A39" s="30" t="s">
        <v>59</v>
      </c>
      <c r="B39" s="22" t="s">
        <v>27</v>
      </c>
      <c r="C39" s="22" t="s">
        <v>28</v>
      </c>
      <c r="D39" s="24"/>
      <c r="E39" s="25"/>
      <c r="F39" s="23"/>
      <c r="G39" s="25"/>
      <c r="H39" s="23"/>
      <c r="I39" s="26"/>
      <c r="J39" s="24"/>
      <c r="K39" s="25"/>
      <c r="L39" s="23"/>
      <c r="M39" s="25"/>
      <c r="N39" s="23"/>
      <c r="O39" s="26"/>
      <c r="P39" s="27"/>
      <c r="Q39" s="28"/>
      <c r="R39" s="29"/>
      <c r="S39" s="24"/>
      <c r="T39" s="25"/>
      <c r="U39" s="23"/>
      <c r="V39" s="25"/>
      <c r="W39" s="23"/>
      <c r="X39" s="26"/>
      <c r="Y39" s="24"/>
      <c r="Z39" s="25"/>
      <c r="AA39" s="23"/>
      <c r="AB39" s="25"/>
      <c r="AC39" s="23"/>
      <c r="AD39" s="26"/>
    </row>
    <row r="40">
      <c r="A40" s="30" t="s">
        <v>26</v>
      </c>
      <c r="B40" s="22" t="s">
        <v>60</v>
      </c>
      <c r="C40" s="22" t="s">
        <v>61</v>
      </c>
      <c r="D40" s="24"/>
      <c r="E40" s="25"/>
      <c r="F40" s="23"/>
      <c r="G40" s="25"/>
      <c r="H40" s="23"/>
      <c r="I40" s="26"/>
      <c r="J40" s="24"/>
      <c r="K40" s="25"/>
      <c r="L40" s="23"/>
      <c r="M40" s="25"/>
      <c r="N40" s="23"/>
      <c r="O40" s="26"/>
      <c r="P40" s="27"/>
      <c r="Q40" s="28"/>
      <c r="R40" s="29"/>
      <c r="S40" s="24"/>
      <c r="T40" s="25"/>
      <c r="U40" s="23"/>
      <c r="V40" s="25"/>
      <c r="W40" s="23"/>
      <c r="X40" s="26"/>
      <c r="Y40" s="24"/>
      <c r="Z40" s="25"/>
      <c r="AA40" s="23"/>
      <c r="AB40" s="25"/>
      <c r="AC40" s="23"/>
      <c r="AD40" s="26"/>
    </row>
    <row r="41">
      <c r="A41" s="30" t="s">
        <v>29</v>
      </c>
      <c r="B41" s="22" t="s">
        <v>60</v>
      </c>
      <c r="C41" s="22" t="s">
        <v>61</v>
      </c>
      <c r="D41" s="24"/>
      <c r="E41" s="25"/>
      <c r="F41" s="23"/>
      <c r="G41" s="25"/>
      <c r="H41" s="23"/>
      <c r="I41" s="26"/>
      <c r="J41" s="24"/>
      <c r="K41" s="25"/>
      <c r="L41" s="23"/>
      <c r="M41" s="25"/>
      <c r="N41" s="23"/>
      <c r="O41" s="26"/>
      <c r="P41" s="27"/>
      <c r="Q41" s="28"/>
      <c r="R41" s="29"/>
      <c r="S41" s="24"/>
      <c r="T41" s="25"/>
      <c r="U41" s="23"/>
      <c r="V41" s="25"/>
      <c r="W41" s="23"/>
      <c r="X41" s="26"/>
      <c r="Y41" s="24"/>
      <c r="Z41" s="25"/>
      <c r="AA41" s="23"/>
      <c r="AB41" s="25"/>
      <c r="AC41" s="23"/>
      <c r="AD41" s="26"/>
    </row>
    <row r="42">
      <c r="A42" s="30" t="s">
        <v>30</v>
      </c>
      <c r="B42" s="22" t="s">
        <v>60</v>
      </c>
      <c r="C42" s="22" t="s">
        <v>61</v>
      </c>
      <c r="D42" s="24"/>
      <c r="E42" s="25" t="n">
        <f>32158</f>
        <v>32158.0</v>
      </c>
      <c r="F42" s="23"/>
      <c r="G42" s="25" t="n">
        <f>24417</f>
        <v>24417.0</v>
      </c>
      <c r="H42" s="23"/>
      <c r="I42" s="26" t="n">
        <f>56575</f>
        <v>56575.0</v>
      </c>
      <c r="J42" s="24"/>
      <c r="K42" s="25" t="n">
        <f>261951740</f>
        <v>2.6195174E8</v>
      </c>
      <c r="L42" s="23"/>
      <c r="M42" s="25" t="n">
        <f>295902440</f>
        <v>2.9590244E8</v>
      </c>
      <c r="N42" s="23"/>
      <c r="O42" s="26" t="n">
        <f>557854180</f>
        <v>5.5785418E8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4060</f>
        <v>4060.0</v>
      </c>
      <c r="U42" s="23"/>
      <c r="V42" s="25" t="n">
        <f>2560</f>
        <v>2560.0</v>
      </c>
      <c r="W42" s="23"/>
      <c r="X42" s="26" t="n">
        <f>6620</f>
        <v>6620.0</v>
      </c>
      <c r="Y42" s="24"/>
      <c r="Z42" s="25" t="n">
        <f>31164</f>
        <v>31164.0</v>
      </c>
      <c r="AA42" s="23"/>
      <c r="AB42" s="25" t="n">
        <f>23381</f>
        <v>23381.0</v>
      </c>
      <c r="AC42" s="23"/>
      <c r="AD42" s="26" t="n">
        <f>54545</f>
        <v>54545.0</v>
      </c>
    </row>
    <row r="43">
      <c r="A43" s="30" t="s">
        <v>31</v>
      </c>
      <c r="B43" s="22" t="s">
        <v>60</v>
      </c>
      <c r="C43" s="22" t="s">
        <v>61</v>
      </c>
      <c r="D43" s="24"/>
      <c r="E43" s="25" t="n">
        <f>22647</f>
        <v>22647.0</v>
      </c>
      <c r="F43" s="23"/>
      <c r="G43" s="25" t="n">
        <f>17977</f>
        <v>17977.0</v>
      </c>
      <c r="H43" s="23"/>
      <c r="I43" s="26" t="n">
        <f>40624</f>
        <v>40624.0</v>
      </c>
      <c r="J43" s="24"/>
      <c r="K43" s="25" t="n">
        <f>158128740</f>
        <v>1.5812874E8</v>
      </c>
      <c r="L43" s="23"/>
      <c r="M43" s="25" t="n">
        <f>144244470</f>
        <v>1.4424447E8</v>
      </c>
      <c r="N43" s="23"/>
      <c r="O43" s="26" t="n">
        <f>302373210</f>
        <v>3.0237321E8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2570</f>
        <v>2570.0</v>
      </c>
      <c r="U43" s="23"/>
      <c r="V43" s="25" t="n">
        <f>2670</f>
        <v>2670.0</v>
      </c>
      <c r="W43" s="23"/>
      <c r="X43" s="26" t="n">
        <f>5240</f>
        <v>5240.0</v>
      </c>
      <c r="Y43" s="24"/>
      <c r="Z43" s="25" t="n">
        <f>31312</f>
        <v>31312.0</v>
      </c>
      <c r="AA43" s="23"/>
      <c r="AB43" s="25" t="n">
        <f>23638</f>
        <v>23638.0</v>
      </c>
      <c r="AC43" s="23"/>
      <c r="AD43" s="26" t="n">
        <f>54950</f>
        <v>54950.0</v>
      </c>
    </row>
    <row r="44">
      <c r="A44" s="30" t="s">
        <v>32</v>
      </c>
      <c r="B44" s="22" t="s">
        <v>60</v>
      </c>
      <c r="C44" s="22" t="s">
        <v>61</v>
      </c>
      <c r="D44" s="24"/>
      <c r="E44" s="25" t="n">
        <f>29758</f>
        <v>29758.0</v>
      </c>
      <c r="F44" s="23"/>
      <c r="G44" s="25" t="n">
        <f>23433</f>
        <v>23433.0</v>
      </c>
      <c r="H44" s="23"/>
      <c r="I44" s="26" t="n">
        <f>53191</f>
        <v>53191.0</v>
      </c>
      <c r="J44" s="24"/>
      <c r="K44" s="25" t="n">
        <f>270087230</f>
        <v>2.7008723E8</v>
      </c>
      <c r="L44" s="23"/>
      <c r="M44" s="25" t="n">
        <f>159474170</f>
        <v>1.5947417E8</v>
      </c>
      <c r="N44" s="23"/>
      <c r="O44" s="26" t="n">
        <f>429561400</f>
        <v>4.295614E8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5730</f>
        <v>5730.0</v>
      </c>
      <c r="U44" s="23"/>
      <c r="V44" s="25" t="n">
        <f>2960</f>
        <v>2960.0</v>
      </c>
      <c r="W44" s="23"/>
      <c r="X44" s="26" t="n">
        <f>8690</f>
        <v>8690.0</v>
      </c>
      <c r="Y44" s="24"/>
      <c r="Z44" s="25" t="n">
        <f>30005</f>
        <v>30005.0</v>
      </c>
      <c r="AA44" s="23"/>
      <c r="AB44" s="25" t="n">
        <f>24082</f>
        <v>24082.0</v>
      </c>
      <c r="AC44" s="23"/>
      <c r="AD44" s="26" t="n">
        <f>54087</f>
        <v>54087.0</v>
      </c>
    </row>
    <row r="45">
      <c r="A45" s="30" t="s">
        <v>33</v>
      </c>
      <c r="B45" s="22" t="s">
        <v>60</v>
      </c>
      <c r="C45" s="22" t="s">
        <v>61</v>
      </c>
      <c r="D45" s="24"/>
      <c r="E45" s="25" t="n">
        <f>33174</f>
        <v>33174.0</v>
      </c>
      <c r="F45" s="23"/>
      <c r="G45" s="25" t="n">
        <f>28736</f>
        <v>28736.0</v>
      </c>
      <c r="H45" s="23"/>
      <c r="I45" s="26" t="n">
        <f>61910</f>
        <v>61910.0</v>
      </c>
      <c r="J45" s="24"/>
      <c r="K45" s="25" t="n">
        <f>162527200</f>
        <v>1.625272E8</v>
      </c>
      <c r="L45" s="23"/>
      <c r="M45" s="25" t="n">
        <f>221988980</f>
        <v>2.2198898E8</v>
      </c>
      <c r="N45" s="23"/>
      <c r="O45" s="26" t="n">
        <f>384516180</f>
        <v>3.8451618E8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5860</f>
        <v>5860.0</v>
      </c>
      <c r="U45" s="23"/>
      <c r="V45" s="25" t="n">
        <f>3840</f>
        <v>3840.0</v>
      </c>
      <c r="W45" s="23"/>
      <c r="X45" s="26" t="n">
        <f>9700</f>
        <v>9700.0</v>
      </c>
      <c r="Y45" s="24"/>
      <c r="Z45" s="25" t="n">
        <f>35594</f>
        <v>35594.0</v>
      </c>
      <c r="AA45" s="23"/>
      <c r="AB45" s="25" t="n">
        <f>25177</f>
        <v>25177.0</v>
      </c>
      <c r="AC45" s="23"/>
      <c r="AD45" s="26" t="n">
        <f>60771</f>
        <v>60771.0</v>
      </c>
    </row>
    <row r="46">
      <c r="A46" s="30" t="s">
        <v>34</v>
      </c>
      <c r="B46" s="22" t="s">
        <v>60</v>
      </c>
      <c r="C46" s="22" t="s">
        <v>61</v>
      </c>
      <c r="D46" s="24" t="s">
        <v>38</v>
      </c>
      <c r="E46" s="25" t="n">
        <f>9240</f>
        <v>9240.0</v>
      </c>
      <c r="F46" s="23" t="s">
        <v>38</v>
      </c>
      <c r="G46" s="25" t="n">
        <f>11120</f>
        <v>11120.0</v>
      </c>
      <c r="H46" s="23" t="s">
        <v>38</v>
      </c>
      <c r="I46" s="26" t="n">
        <f>20360</f>
        <v>20360.0</v>
      </c>
      <c r="J46" s="24" t="s">
        <v>38</v>
      </c>
      <c r="K46" s="25" t="n">
        <f>96142220</f>
        <v>9.614222E7</v>
      </c>
      <c r="L46" s="23" t="s">
        <v>38</v>
      </c>
      <c r="M46" s="25" t="n">
        <f>142162500</f>
        <v>1.421625E8</v>
      </c>
      <c r="N46" s="23" t="s">
        <v>38</v>
      </c>
      <c r="O46" s="26" t="n">
        <f>238304720</f>
        <v>2.3830472E8</v>
      </c>
      <c r="P46" s="27" t="n">
        <f>882</f>
        <v>882.0</v>
      </c>
      <c r="Q46" s="28" t="n">
        <f>293</f>
        <v>293.0</v>
      </c>
      <c r="R46" s="29" t="n">
        <f>1175</f>
        <v>1175.0</v>
      </c>
      <c r="S46" s="24" t="s">
        <v>38</v>
      </c>
      <c r="T46" s="25" t="n">
        <f>270</f>
        <v>270.0</v>
      </c>
      <c r="U46" s="23" t="s">
        <v>38</v>
      </c>
      <c r="V46" s="25" t="n">
        <f>300</f>
        <v>300.0</v>
      </c>
      <c r="W46" s="23" t="s">
        <v>38</v>
      </c>
      <c r="X46" s="26" t="n">
        <f>570</f>
        <v>570.0</v>
      </c>
      <c r="Y46" s="24" t="s">
        <v>38</v>
      </c>
      <c r="Z46" s="25" t="n">
        <f>15597</f>
        <v>15597.0</v>
      </c>
      <c r="AA46" s="23" t="s">
        <v>38</v>
      </c>
      <c r="AB46" s="25" t="n">
        <f>18090</f>
        <v>18090.0</v>
      </c>
      <c r="AC46" s="23" t="s">
        <v>38</v>
      </c>
      <c r="AD46" s="26" t="n">
        <f>33687</f>
        <v>33687.0</v>
      </c>
    </row>
    <row r="47">
      <c r="A47" s="30" t="s">
        <v>35</v>
      </c>
      <c r="B47" s="22" t="s">
        <v>60</v>
      </c>
      <c r="C47" s="22" t="s">
        <v>61</v>
      </c>
      <c r="D47" s="24"/>
      <c r="E47" s="25"/>
      <c r="F47" s="23"/>
      <c r="G47" s="25"/>
      <c r="H47" s="23"/>
      <c r="I47" s="26"/>
      <c r="J47" s="24"/>
      <c r="K47" s="25"/>
      <c r="L47" s="23"/>
      <c r="M47" s="25"/>
      <c r="N47" s="23"/>
      <c r="O47" s="26"/>
      <c r="P47" s="27"/>
      <c r="Q47" s="28"/>
      <c r="R47" s="29"/>
      <c r="S47" s="24"/>
      <c r="T47" s="25"/>
      <c r="U47" s="23"/>
      <c r="V47" s="25"/>
      <c r="W47" s="23"/>
      <c r="X47" s="26"/>
      <c r="Y47" s="24"/>
      <c r="Z47" s="25"/>
      <c r="AA47" s="23"/>
      <c r="AB47" s="25"/>
      <c r="AC47" s="23"/>
      <c r="AD47" s="26"/>
    </row>
    <row r="48">
      <c r="A48" s="30" t="s">
        <v>36</v>
      </c>
      <c r="B48" s="22" t="s">
        <v>60</v>
      </c>
      <c r="C48" s="22" t="s">
        <v>61</v>
      </c>
      <c r="D48" s="24"/>
      <c r="E48" s="25"/>
      <c r="F48" s="23"/>
      <c r="G48" s="25"/>
      <c r="H48" s="23"/>
      <c r="I48" s="26"/>
      <c r="J48" s="24"/>
      <c r="K48" s="25"/>
      <c r="L48" s="23"/>
      <c r="M48" s="25"/>
      <c r="N48" s="23"/>
      <c r="O48" s="26"/>
      <c r="P48" s="27"/>
      <c r="Q48" s="28"/>
      <c r="R48" s="29"/>
      <c r="S48" s="24"/>
      <c r="T48" s="25"/>
      <c r="U48" s="23"/>
      <c r="V48" s="25"/>
      <c r="W48" s="23"/>
      <c r="X48" s="26"/>
      <c r="Y48" s="24"/>
      <c r="Z48" s="25"/>
      <c r="AA48" s="23"/>
      <c r="AB48" s="25"/>
      <c r="AC48" s="23"/>
      <c r="AD48" s="26"/>
    </row>
    <row r="49">
      <c r="A49" s="30" t="s">
        <v>37</v>
      </c>
      <c r="B49" s="22" t="s">
        <v>60</v>
      </c>
      <c r="C49" s="22" t="s">
        <v>61</v>
      </c>
      <c r="D49" s="24"/>
      <c r="E49" s="25" t="n">
        <f>15058</f>
        <v>15058.0</v>
      </c>
      <c r="F49" s="23"/>
      <c r="G49" s="25" t="n">
        <f>15090</f>
        <v>15090.0</v>
      </c>
      <c r="H49" s="23"/>
      <c r="I49" s="26" t="n">
        <f>30148</f>
        <v>30148.0</v>
      </c>
      <c r="J49" s="24"/>
      <c r="K49" s="25" t="n">
        <f>131404810</f>
        <v>1.3140481E8</v>
      </c>
      <c r="L49" s="23"/>
      <c r="M49" s="25" t="n">
        <f>161633320</f>
        <v>1.6163332E8</v>
      </c>
      <c r="N49" s="23"/>
      <c r="O49" s="26" t="n">
        <f>293038130</f>
        <v>2.9303813E8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1340</f>
        <v>1340.0</v>
      </c>
      <c r="U49" s="23"/>
      <c r="V49" s="25" t="n">
        <f>2490</f>
        <v>2490.0</v>
      </c>
      <c r="W49" s="23"/>
      <c r="X49" s="26" t="n">
        <f>3830</f>
        <v>3830.0</v>
      </c>
      <c r="Y49" s="24"/>
      <c r="Z49" s="25" t="n">
        <f>19756</f>
        <v>19756.0</v>
      </c>
      <c r="AA49" s="23"/>
      <c r="AB49" s="25" t="n">
        <f>22802</f>
        <v>22802.0</v>
      </c>
      <c r="AC49" s="23"/>
      <c r="AD49" s="26" t="n">
        <f>42558</f>
        <v>42558.0</v>
      </c>
    </row>
    <row r="50">
      <c r="A50" s="30" t="s">
        <v>39</v>
      </c>
      <c r="B50" s="22" t="s">
        <v>60</v>
      </c>
      <c r="C50" s="22" t="s">
        <v>61</v>
      </c>
      <c r="D50" s="24"/>
      <c r="E50" s="25" t="n">
        <f>17427</f>
        <v>17427.0</v>
      </c>
      <c r="F50" s="23"/>
      <c r="G50" s="25" t="n">
        <f>12861</f>
        <v>12861.0</v>
      </c>
      <c r="H50" s="23"/>
      <c r="I50" s="26" t="n">
        <f>30288</f>
        <v>30288.0</v>
      </c>
      <c r="J50" s="24"/>
      <c r="K50" s="25" t="n">
        <f>147089710</f>
        <v>1.4708971E8</v>
      </c>
      <c r="L50" s="23"/>
      <c r="M50" s="25" t="n">
        <f>154668030</f>
        <v>1.5466803E8</v>
      </c>
      <c r="N50" s="23"/>
      <c r="O50" s="26" t="n">
        <f>301757740</f>
        <v>3.0175774E8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1840</f>
        <v>1840.0</v>
      </c>
      <c r="U50" s="23"/>
      <c r="V50" s="25" t="n">
        <f>360</f>
        <v>360.0</v>
      </c>
      <c r="W50" s="23"/>
      <c r="X50" s="26" t="n">
        <f>2200</f>
        <v>2200.0</v>
      </c>
      <c r="Y50" s="24"/>
      <c r="Z50" s="25" t="n">
        <f>24357</f>
        <v>24357.0</v>
      </c>
      <c r="AA50" s="23"/>
      <c r="AB50" s="25" t="n">
        <f>24291</f>
        <v>24291.0</v>
      </c>
      <c r="AC50" s="23"/>
      <c r="AD50" s="26" t="n">
        <f>48648</f>
        <v>48648.0</v>
      </c>
    </row>
    <row r="51">
      <c r="A51" s="30" t="s">
        <v>40</v>
      </c>
      <c r="B51" s="22" t="s">
        <v>60</v>
      </c>
      <c r="C51" s="22" t="s">
        <v>61</v>
      </c>
      <c r="D51" s="24"/>
      <c r="E51" s="25" t="n">
        <f>11646</f>
        <v>11646.0</v>
      </c>
      <c r="F51" s="23"/>
      <c r="G51" s="25" t="n">
        <f>16781</f>
        <v>16781.0</v>
      </c>
      <c r="H51" s="23"/>
      <c r="I51" s="26" t="n">
        <f>28427</f>
        <v>28427.0</v>
      </c>
      <c r="J51" s="24"/>
      <c r="K51" s="25" t="n">
        <f>102730290</f>
        <v>1.0273029E8</v>
      </c>
      <c r="L51" s="23"/>
      <c r="M51" s="25" t="n">
        <f>161194380</f>
        <v>1.6119438E8</v>
      </c>
      <c r="N51" s="23"/>
      <c r="O51" s="26" t="n">
        <f>263924670</f>
        <v>2.6392467E8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1010</f>
        <v>1010.0</v>
      </c>
      <c r="U51" s="23"/>
      <c r="V51" s="25" t="n">
        <f>2960</f>
        <v>2960.0</v>
      </c>
      <c r="W51" s="23"/>
      <c r="X51" s="26" t="n">
        <f>3970</f>
        <v>3970.0</v>
      </c>
      <c r="Y51" s="24"/>
      <c r="Z51" s="25" t="n">
        <f>24346</f>
        <v>24346.0</v>
      </c>
      <c r="AA51" s="23"/>
      <c r="AB51" s="25" t="n">
        <f>26652</f>
        <v>26652.0</v>
      </c>
      <c r="AC51" s="23"/>
      <c r="AD51" s="26" t="n">
        <f>50998</f>
        <v>50998.0</v>
      </c>
    </row>
    <row r="52">
      <c r="A52" s="30" t="s">
        <v>41</v>
      </c>
      <c r="B52" s="22" t="s">
        <v>60</v>
      </c>
      <c r="C52" s="22" t="s">
        <v>61</v>
      </c>
      <c r="D52" s="24"/>
      <c r="E52" s="25" t="n">
        <f>25947</f>
        <v>25947.0</v>
      </c>
      <c r="F52" s="23"/>
      <c r="G52" s="25" t="n">
        <f>30202</f>
        <v>30202.0</v>
      </c>
      <c r="H52" s="23"/>
      <c r="I52" s="26" t="n">
        <f>56149</f>
        <v>56149.0</v>
      </c>
      <c r="J52" s="24"/>
      <c r="K52" s="25" t="n">
        <f>260706660</f>
        <v>2.6070666E8</v>
      </c>
      <c r="L52" s="23"/>
      <c r="M52" s="25" t="n">
        <f>293052410</f>
        <v>2.9305241E8</v>
      </c>
      <c r="N52" s="23"/>
      <c r="O52" s="26" t="n">
        <f>553759070</f>
        <v>5.5375907E8</v>
      </c>
      <c r="P52" s="27" t="str">
        <f>"－"</f>
        <v>－</v>
      </c>
      <c r="Q52" s="28" t="str">
        <f>"－"</f>
        <v>－</v>
      </c>
      <c r="R52" s="29" t="str">
        <f>"－"</f>
        <v>－</v>
      </c>
      <c r="S52" s="24"/>
      <c r="T52" s="25" t="n">
        <f>1460</f>
        <v>1460.0</v>
      </c>
      <c r="U52" s="23"/>
      <c r="V52" s="25" t="n">
        <f>3330</f>
        <v>3330.0</v>
      </c>
      <c r="W52" s="23"/>
      <c r="X52" s="26" t="n">
        <f>4790</f>
        <v>4790.0</v>
      </c>
      <c r="Y52" s="24"/>
      <c r="Z52" s="25" t="n">
        <f>28655</f>
        <v>28655.0</v>
      </c>
      <c r="AA52" s="23"/>
      <c r="AB52" s="25" t="n">
        <f>33113</f>
        <v>33113.0</v>
      </c>
      <c r="AC52" s="23"/>
      <c r="AD52" s="26" t="n">
        <f>61768</f>
        <v>61768.0</v>
      </c>
    </row>
    <row r="53">
      <c r="A53" s="30" t="s">
        <v>43</v>
      </c>
      <c r="B53" s="22" t="s">
        <v>60</v>
      </c>
      <c r="C53" s="22" t="s">
        <v>61</v>
      </c>
      <c r="D53" s="24"/>
      <c r="E53" s="25" t="n">
        <f>16698</f>
        <v>16698.0</v>
      </c>
      <c r="F53" s="23"/>
      <c r="G53" s="25" t="n">
        <f>22335</f>
        <v>22335.0</v>
      </c>
      <c r="H53" s="23"/>
      <c r="I53" s="26" t="n">
        <f>39033</f>
        <v>39033.0</v>
      </c>
      <c r="J53" s="24"/>
      <c r="K53" s="25" t="n">
        <f>158350580</f>
        <v>1.5835058E8</v>
      </c>
      <c r="L53" s="23"/>
      <c r="M53" s="25" t="n">
        <f>243034530</f>
        <v>2.4303453E8</v>
      </c>
      <c r="N53" s="23"/>
      <c r="O53" s="26" t="n">
        <f>401385110</f>
        <v>4.0138511E8</v>
      </c>
      <c r="P53" s="27" t="n">
        <f>1498</f>
        <v>1498.0</v>
      </c>
      <c r="Q53" s="28" t="n">
        <f>733</f>
        <v>733.0</v>
      </c>
      <c r="R53" s="29" t="n">
        <f>2231</f>
        <v>2231.0</v>
      </c>
      <c r="S53" s="24"/>
      <c r="T53" s="25" t="n">
        <f>2160</f>
        <v>2160.0</v>
      </c>
      <c r="U53" s="23"/>
      <c r="V53" s="25" t="n">
        <f>2970</f>
        <v>2970.0</v>
      </c>
      <c r="W53" s="23"/>
      <c r="X53" s="26" t="n">
        <f>5130</f>
        <v>5130.0</v>
      </c>
      <c r="Y53" s="24"/>
      <c r="Z53" s="25" t="n">
        <f>20329</f>
        <v>20329.0</v>
      </c>
      <c r="AA53" s="23"/>
      <c r="AB53" s="25" t="n">
        <f>26129</f>
        <v>26129.0</v>
      </c>
      <c r="AC53" s="23"/>
      <c r="AD53" s="26" t="n">
        <f>46458</f>
        <v>46458.0</v>
      </c>
    </row>
    <row r="54">
      <c r="A54" s="30" t="s">
        <v>44</v>
      </c>
      <c r="B54" s="22" t="s">
        <v>60</v>
      </c>
      <c r="C54" s="22" t="s">
        <v>61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45</v>
      </c>
      <c r="B55" s="22" t="s">
        <v>60</v>
      </c>
      <c r="C55" s="22" t="s">
        <v>61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46</v>
      </c>
      <c r="B56" s="22" t="s">
        <v>60</v>
      </c>
      <c r="C56" s="22" t="s">
        <v>61</v>
      </c>
      <c r="D56" s="24"/>
      <c r="E56" s="25" t="n">
        <f>38007</f>
        <v>38007.0</v>
      </c>
      <c r="F56" s="23" t="s">
        <v>42</v>
      </c>
      <c r="G56" s="25" t="n">
        <f>40347</f>
        <v>40347.0</v>
      </c>
      <c r="H56" s="23"/>
      <c r="I56" s="26" t="n">
        <f>78354</f>
        <v>78354.0</v>
      </c>
      <c r="J56" s="24" t="s">
        <v>42</v>
      </c>
      <c r="K56" s="25" t="n">
        <f>471795470</f>
        <v>4.7179547E8</v>
      </c>
      <c r="L56" s="23"/>
      <c r="M56" s="25" t="n">
        <f>306149590</f>
        <v>3.0614959E8</v>
      </c>
      <c r="N56" s="23"/>
      <c r="O56" s="26" t="n">
        <f>777945060</f>
        <v>7.7794506E8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5730</f>
        <v>5730.0</v>
      </c>
      <c r="U56" s="23" t="s">
        <v>42</v>
      </c>
      <c r="V56" s="25" t="n">
        <f>6550</f>
        <v>6550.0</v>
      </c>
      <c r="W56" s="23"/>
      <c r="X56" s="26" t="n">
        <f>12280</f>
        <v>12280.0</v>
      </c>
      <c r="Y56" s="24"/>
      <c r="Z56" s="25" t="n">
        <f>32383</f>
        <v>32383.0</v>
      </c>
      <c r="AA56" s="23"/>
      <c r="AB56" s="25" t="n">
        <f>35030</f>
        <v>35030.0</v>
      </c>
      <c r="AC56" s="23"/>
      <c r="AD56" s="26" t="n">
        <f>67413</f>
        <v>67413.0</v>
      </c>
    </row>
    <row r="57">
      <c r="A57" s="30" t="s">
        <v>47</v>
      </c>
      <c r="B57" s="22" t="s">
        <v>60</v>
      </c>
      <c r="C57" s="22" t="s">
        <v>61</v>
      </c>
      <c r="D57" s="24"/>
      <c r="E57" s="25" t="n">
        <f>26502</f>
        <v>26502.0</v>
      </c>
      <c r="F57" s="23"/>
      <c r="G57" s="25" t="n">
        <f>21693</f>
        <v>21693.0</v>
      </c>
      <c r="H57" s="23"/>
      <c r="I57" s="26" t="n">
        <f>48195</f>
        <v>48195.0</v>
      </c>
      <c r="J57" s="24"/>
      <c r="K57" s="25" t="n">
        <f>251767850</f>
        <v>2.5176785E8</v>
      </c>
      <c r="L57" s="23"/>
      <c r="M57" s="25" t="n">
        <f>190208830</f>
        <v>1.9020883E8</v>
      </c>
      <c r="N57" s="23"/>
      <c r="O57" s="26" t="n">
        <f>441976680</f>
        <v>4.4197668E8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4260</f>
        <v>4260.0</v>
      </c>
      <c r="U57" s="23"/>
      <c r="V57" s="25" t="n">
        <f>1830</f>
        <v>1830.0</v>
      </c>
      <c r="W57" s="23"/>
      <c r="X57" s="26" t="n">
        <f>6090</f>
        <v>6090.0</v>
      </c>
      <c r="Y57" s="24"/>
      <c r="Z57" s="25" t="n">
        <f>36960</f>
        <v>36960.0</v>
      </c>
      <c r="AA57" s="23"/>
      <c r="AB57" s="25" t="n">
        <f>38325</f>
        <v>38325.0</v>
      </c>
      <c r="AC57" s="23"/>
      <c r="AD57" s="26" t="n">
        <f>75285</f>
        <v>75285.0</v>
      </c>
    </row>
    <row r="58">
      <c r="A58" s="30" t="s">
        <v>48</v>
      </c>
      <c r="B58" s="22" t="s">
        <v>60</v>
      </c>
      <c r="C58" s="22" t="s">
        <v>61</v>
      </c>
      <c r="D58" s="24"/>
      <c r="E58" s="25" t="n">
        <f>30369</f>
        <v>30369.0</v>
      </c>
      <c r="F58" s="23"/>
      <c r="G58" s="25" t="n">
        <f>29729</f>
        <v>29729.0</v>
      </c>
      <c r="H58" s="23"/>
      <c r="I58" s="26" t="n">
        <f>60098</f>
        <v>60098.0</v>
      </c>
      <c r="J58" s="24"/>
      <c r="K58" s="25" t="n">
        <f>231566250</f>
        <v>2.3156625E8</v>
      </c>
      <c r="L58" s="23"/>
      <c r="M58" s="25" t="n">
        <f>211033100</f>
        <v>2.110331E8</v>
      </c>
      <c r="N58" s="23"/>
      <c r="O58" s="26" t="n">
        <f>442599350</f>
        <v>4.4259935E8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5690</f>
        <v>5690.0</v>
      </c>
      <c r="U58" s="23"/>
      <c r="V58" s="25" t="n">
        <f>4990</f>
        <v>4990.0</v>
      </c>
      <c r="W58" s="23"/>
      <c r="X58" s="26" t="n">
        <f>10680</f>
        <v>10680.0</v>
      </c>
      <c r="Y58" s="24"/>
      <c r="Z58" s="25" t="n">
        <f>39817</f>
        <v>39817.0</v>
      </c>
      <c r="AA58" s="23"/>
      <c r="AB58" s="25" t="n">
        <f>41468</f>
        <v>41468.0</v>
      </c>
      <c r="AC58" s="23"/>
      <c r="AD58" s="26" t="n">
        <f>81285</f>
        <v>81285.0</v>
      </c>
    </row>
    <row r="59">
      <c r="A59" s="30" t="s">
        <v>49</v>
      </c>
      <c r="B59" s="22" t="s">
        <v>60</v>
      </c>
      <c r="C59" s="22" t="s">
        <v>61</v>
      </c>
      <c r="D59" s="24"/>
      <c r="E59" s="25" t="n">
        <f>27504</f>
        <v>27504.0</v>
      </c>
      <c r="F59" s="23"/>
      <c r="G59" s="25" t="n">
        <f>27238</f>
        <v>27238.0</v>
      </c>
      <c r="H59" s="23"/>
      <c r="I59" s="26" t="n">
        <f>54742</f>
        <v>54742.0</v>
      </c>
      <c r="J59" s="24"/>
      <c r="K59" s="25" t="n">
        <f>195692880</f>
        <v>1.9569288E8</v>
      </c>
      <c r="L59" s="23"/>
      <c r="M59" s="25" t="n">
        <f>183286130</f>
        <v>1.8328613E8</v>
      </c>
      <c r="N59" s="23"/>
      <c r="O59" s="26" t="n">
        <f>378979010</f>
        <v>3.7897901E8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/>
      <c r="T59" s="25" t="n">
        <f>4760</f>
        <v>4760.0</v>
      </c>
      <c r="U59" s="23"/>
      <c r="V59" s="25" t="n">
        <f>3600</f>
        <v>3600.0</v>
      </c>
      <c r="W59" s="23"/>
      <c r="X59" s="26" t="n">
        <f>8360</f>
        <v>8360.0</v>
      </c>
      <c r="Y59" s="24"/>
      <c r="Z59" s="25" t="n">
        <f>44565</f>
        <v>44565.0</v>
      </c>
      <c r="AA59" s="23" t="s">
        <v>42</v>
      </c>
      <c r="AB59" s="25" t="n">
        <f>42541</f>
        <v>42541.0</v>
      </c>
      <c r="AC59" s="23" t="s">
        <v>42</v>
      </c>
      <c r="AD59" s="26" t="n">
        <f>87106</f>
        <v>87106.0</v>
      </c>
    </row>
    <row r="60">
      <c r="A60" s="30" t="s">
        <v>50</v>
      </c>
      <c r="B60" s="22" t="s">
        <v>60</v>
      </c>
      <c r="C60" s="22" t="s">
        <v>61</v>
      </c>
      <c r="D60" s="24"/>
      <c r="E60" s="25" t="n">
        <f>18087</f>
        <v>18087.0</v>
      </c>
      <c r="F60" s="23"/>
      <c r="G60" s="25" t="n">
        <f>13785</f>
        <v>13785.0</v>
      </c>
      <c r="H60" s="23"/>
      <c r="I60" s="26" t="n">
        <f>31872</f>
        <v>31872.0</v>
      </c>
      <c r="J60" s="24"/>
      <c r="K60" s="25" t="n">
        <f>168608940</f>
        <v>1.6860894E8</v>
      </c>
      <c r="L60" s="23"/>
      <c r="M60" s="25" t="n">
        <f>165804980</f>
        <v>1.6580498E8</v>
      </c>
      <c r="N60" s="23"/>
      <c r="O60" s="26" t="n">
        <f>334413920</f>
        <v>3.3441392E8</v>
      </c>
      <c r="P60" s="27" t="n">
        <f>1063</f>
        <v>1063.0</v>
      </c>
      <c r="Q60" s="28" t="n">
        <f>1120</f>
        <v>1120.0</v>
      </c>
      <c r="R60" s="29" t="n">
        <f>2183</f>
        <v>2183.0</v>
      </c>
      <c r="S60" s="24"/>
      <c r="T60" s="25" t="n">
        <f>1310</f>
        <v>1310.0</v>
      </c>
      <c r="U60" s="23"/>
      <c r="V60" s="25" t="n">
        <f>1290</f>
        <v>1290.0</v>
      </c>
      <c r="W60" s="23"/>
      <c r="X60" s="26" t="n">
        <f>2600</f>
        <v>2600.0</v>
      </c>
      <c r="Y60" s="24"/>
      <c r="Z60" s="25" t="n">
        <f>24356</f>
        <v>24356.0</v>
      </c>
      <c r="AA60" s="23"/>
      <c r="AB60" s="25" t="n">
        <f>24667</f>
        <v>24667.0</v>
      </c>
      <c r="AC60" s="23"/>
      <c r="AD60" s="26" t="n">
        <f>49023</f>
        <v>49023.0</v>
      </c>
    </row>
    <row r="61">
      <c r="A61" s="30" t="s">
        <v>51</v>
      </c>
      <c r="B61" s="22" t="s">
        <v>60</v>
      </c>
      <c r="C61" s="22" t="s">
        <v>61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52</v>
      </c>
      <c r="B62" s="22" t="s">
        <v>60</v>
      </c>
      <c r="C62" s="22" t="s">
        <v>61</v>
      </c>
      <c r="D62" s="24"/>
      <c r="E62" s="25"/>
      <c r="F62" s="23"/>
      <c r="G62" s="25"/>
      <c r="H62" s="23"/>
      <c r="I62" s="26"/>
      <c r="J62" s="24"/>
      <c r="K62" s="25"/>
      <c r="L62" s="23"/>
      <c r="M62" s="25"/>
      <c r="N62" s="23"/>
      <c r="O62" s="26"/>
      <c r="P62" s="27"/>
      <c r="Q62" s="28"/>
      <c r="R62" s="29"/>
      <c r="S62" s="24"/>
      <c r="T62" s="25"/>
      <c r="U62" s="23"/>
      <c r="V62" s="25"/>
      <c r="W62" s="23"/>
      <c r="X62" s="26"/>
      <c r="Y62" s="24"/>
      <c r="Z62" s="25"/>
      <c r="AA62" s="23"/>
      <c r="AB62" s="25"/>
      <c r="AC62" s="23"/>
      <c r="AD62" s="26"/>
    </row>
    <row r="63">
      <c r="A63" s="30" t="s">
        <v>53</v>
      </c>
      <c r="B63" s="22" t="s">
        <v>60</v>
      </c>
      <c r="C63" s="22" t="s">
        <v>61</v>
      </c>
      <c r="D63" s="24"/>
      <c r="E63" s="25" t="n">
        <f>31141</f>
        <v>31141.0</v>
      </c>
      <c r="F63" s="23"/>
      <c r="G63" s="25" t="n">
        <f>18267</f>
        <v>18267.0</v>
      </c>
      <c r="H63" s="23"/>
      <c r="I63" s="26" t="n">
        <f>49408</f>
        <v>49408.0</v>
      </c>
      <c r="J63" s="24"/>
      <c r="K63" s="25" t="n">
        <f>270207590</f>
        <v>2.7020759E8</v>
      </c>
      <c r="L63" s="23"/>
      <c r="M63" s="25" t="n">
        <f>180556140</f>
        <v>1.8055614E8</v>
      </c>
      <c r="N63" s="23"/>
      <c r="O63" s="26" t="n">
        <f>450763730</f>
        <v>4.5076373E8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4440</f>
        <v>4440.0</v>
      </c>
      <c r="U63" s="23"/>
      <c r="V63" s="25" t="n">
        <f>1510</f>
        <v>1510.0</v>
      </c>
      <c r="W63" s="23"/>
      <c r="X63" s="26" t="n">
        <f>5950</f>
        <v>5950.0</v>
      </c>
      <c r="Y63" s="24"/>
      <c r="Z63" s="25" t="n">
        <f>32480</f>
        <v>32480.0</v>
      </c>
      <c r="AA63" s="23"/>
      <c r="AB63" s="25" t="n">
        <f>27182</f>
        <v>27182.0</v>
      </c>
      <c r="AC63" s="23"/>
      <c r="AD63" s="26" t="n">
        <f>59662</f>
        <v>59662.0</v>
      </c>
    </row>
    <row r="64">
      <c r="A64" s="30" t="s">
        <v>54</v>
      </c>
      <c r="B64" s="22" t="s">
        <v>60</v>
      </c>
      <c r="C64" s="22" t="s">
        <v>61</v>
      </c>
      <c r="D64" s="24"/>
      <c r="E64" s="25" t="n">
        <f>32677</f>
        <v>32677.0</v>
      </c>
      <c r="F64" s="23"/>
      <c r="G64" s="25" t="n">
        <f>19936</f>
        <v>19936.0</v>
      </c>
      <c r="H64" s="23"/>
      <c r="I64" s="26" t="n">
        <f>52613</f>
        <v>52613.0</v>
      </c>
      <c r="J64" s="24"/>
      <c r="K64" s="25" t="n">
        <f>208039830</f>
        <v>2.0803983E8</v>
      </c>
      <c r="L64" s="23"/>
      <c r="M64" s="25" t="n">
        <f>231626570</f>
        <v>2.3162657E8</v>
      </c>
      <c r="N64" s="23"/>
      <c r="O64" s="26" t="n">
        <f>439666400</f>
        <v>4.396664E8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7500</f>
        <v>7500.0</v>
      </c>
      <c r="U64" s="23"/>
      <c r="V64" s="25" t="n">
        <f>1510</f>
        <v>1510.0</v>
      </c>
      <c r="W64" s="23"/>
      <c r="X64" s="26" t="n">
        <f>9010</f>
        <v>9010.0</v>
      </c>
      <c r="Y64" s="24"/>
      <c r="Z64" s="25" t="n">
        <f>38502</f>
        <v>38502.0</v>
      </c>
      <c r="AA64" s="23"/>
      <c r="AB64" s="25" t="n">
        <f>28860</f>
        <v>28860.0</v>
      </c>
      <c r="AC64" s="23"/>
      <c r="AD64" s="26" t="n">
        <f>67362</f>
        <v>67362.0</v>
      </c>
    </row>
    <row r="65">
      <c r="A65" s="30" t="s">
        <v>55</v>
      </c>
      <c r="B65" s="22" t="s">
        <v>60</v>
      </c>
      <c r="C65" s="22" t="s">
        <v>61</v>
      </c>
      <c r="D65" s="24" t="s">
        <v>42</v>
      </c>
      <c r="E65" s="25" t="n">
        <f>47853</f>
        <v>47853.0</v>
      </c>
      <c r="F65" s="23"/>
      <c r="G65" s="25" t="n">
        <f>34621</f>
        <v>34621.0</v>
      </c>
      <c r="H65" s="23" t="s">
        <v>42</v>
      </c>
      <c r="I65" s="26" t="n">
        <f>82474</f>
        <v>82474.0</v>
      </c>
      <c r="J65" s="24"/>
      <c r="K65" s="25" t="n">
        <f>307735810</f>
        <v>3.0773581E8</v>
      </c>
      <c r="L65" s="23" t="s">
        <v>42</v>
      </c>
      <c r="M65" s="25" t="n">
        <f>495908230</f>
        <v>4.9590823E8</v>
      </c>
      <c r="N65" s="23" t="s">
        <v>42</v>
      </c>
      <c r="O65" s="26" t="n">
        <f>803644040</f>
        <v>8.0364404E8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 t="s">
        <v>42</v>
      </c>
      <c r="T65" s="25" t="n">
        <f>10660</f>
        <v>10660.0</v>
      </c>
      <c r="U65" s="23"/>
      <c r="V65" s="25" t="n">
        <f>3530</f>
        <v>3530.0</v>
      </c>
      <c r="W65" s="23" t="s">
        <v>42</v>
      </c>
      <c r="X65" s="26" t="n">
        <f>14190</f>
        <v>14190.0</v>
      </c>
      <c r="Y65" s="24"/>
      <c r="Z65" s="25" t="n">
        <f>46990</f>
        <v>46990.0</v>
      </c>
      <c r="AA65" s="23"/>
      <c r="AB65" s="25" t="n">
        <f>30054</f>
        <v>30054.0</v>
      </c>
      <c r="AC65" s="23"/>
      <c r="AD65" s="26" t="n">
        <f>77044</f>
        <v>77044.0</v>
      </c>
    </row>
    <row r="66">
      <c r="A66" s="30" t="s">
        <v>56</v>
      </c>
      <c r="B66" s="22" t="s">
        <v>60</v>
      </c>
      <c r="C66" s="22" t="s">
        <v>61</v>
      </c>
      <c r="D66" s="24"/>
      <c r="E66" s="25" t="n">
        <f>33908</f>
        <v>33908.0</v>
      </c>
      <c r="F66" s="23"/>
      <c r="G66" s="25" t="n">
        <f>32990</f>
        <v>32990.0</v>
      </c>
      <c r="H66" s="23"/>
      <c r="I66" s="26" t="n">
        <f>66898</f>
        <v>66898.0</v>
      </c>
      <c r="J66" s="24"/>
      <c r="K66" s="25" t="n">
        <f>215235830</f>
        <v>2.1523583E8</v>
      </c>
      <c r="L66" s="23"/>
      <c r="M66" s="25" t="n">
        <f>335678700</f>
        <v>3.356787E8</v>
      </c>
      <c r="N66" s="23"/>
      <c r="O66" s="26" t="n">
        <f>550914530</f>
        <v>5.5091453E8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/>
      <c r="T66" s="25" t="n">
        <f>4860</f>
        <v>4860.0</v>
      </c>
      <c r="U66" s="23"/>
      <c r="V66" s="25" t="n">
        <f>5240</f>
        <v>5240.0</v>
      </c>
      <c r="W66" s="23"/>
      <c r="X66" s="26" t="n">
        <f>10100</f>
        <v>10100.0</v>
      </c>
      <c r="Y66" s="24" t="s">
        <v>42</v>
      </c>
      <c r="Z66" s="25" t="n">
        <f>52138</f>
        <v>52138.0</v>
      </c>
      <c r="AA66" s="23"/>
      <c r="AB66" s="25" t="n">
        <f>31179</f>
        <v>31179.0</v>
      </c>
      <c r="AC66" s="23"/>
      <c r="AD66" s="26" t="n">
        <f>83317</f>
        <v>83317.0</v>
      </c>
    </row>
    <row r="67">
      <c r="A67" s="30" t="s">
        <v>57</v>
      </c>
      <c r="B67" s="22" t="s">
        <v>60</v>
      </c>
      <c r="C67" s="22" t="s">
        <v>61</v>
      </c>
      <c r="D67" s="24"/>
      <c r="E67" s="25" t="n">
        <f>21150</f>
        <v>21150.0</v>
      </c>
      <c r="F67" s="23"/>
      <c r="G67" s="25" t="n">
        <f>17125</f>
        <v>17125.0</v>
      </c>
      <c r="H67" s="23"/>
      <c r="I67" s="26" t="n">
        <f>38275</f>
        <v>38275.0</v>
      </c>
      <c r="J67" s="24"/>
      <c r="K67" s="25" t="n">
        <f>183575090</f>
        <v>1.8357509E8</v>
      </c>
      <c r="L67" s="23"/>
      <c r="M67" s="25" t="n">
        <f>270481630</f>
        <v>2.7048163E8</v>
      </c>
      <c r="N67" s="23"/>
      <c r="O67" s="26" t="n">
        <f>454056720</f>
        <v>4.5405672E8</v>
      </c>
      <c r="P67" s="27" t="n">
        <f>333</f>
        <v>333.0</v>
      </c>
      <c r="Q67" s="28" t="n">
        <f>5508</f>
        <v>5508.0</v>
      </c>
      <c r="R67" s="29" t="n">
        <f>5841</f>
        <v>5841.0</v>
      </c>
      <c r="S67" s="24"/>
      <c r="T67" s="25" t="n">
        <f>2810</f>
        <v>2810.0</v>
      </c>
      <c r="U67" s="23"/>
      <c r="V67" s="25" t="n">
        <f>1148</f>
        <v>1148.0</v>
      </c>
      <c r="W67" s="23"/>
      <c r="X67" s="26" t="n">
        <f>3958</f>
        <v>3958.0</v>
      </c>
      <c r="Y67" s="24"/>
      <c r="Z67" s="25" t="n">
        <f>24211</f>
        <v>24211.0</v>
      </c>
      <c r="AA67" s="23"/>
      <c r="AB67" s="25" t="n">
        <f>21180</f>
        <v>21180.0</v>
      </c>
      <c r="AC67" s="23"/>
      <c r="AD67" s="26" t="n">
        <f>45391</f>
        <v>45391.0</v>
      </c>
    </row>
    <row r="68">
      <c r="A68" s="30" t="s">
        <v>58</v>
      </c>
      <c r="B68" s="22" t="s">
        <v>60</v>
      </c>
      <c r="C68" s="22" t="s">
        <v>61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59</v>
      </c>
      <c r="B69" s="22" t="s">
        <v>60</v>
      </c>
      <c r="C69" s="22" t="s">
        <v>61</v>
      </c>
      <c r="D69" s="24"/>
      <c r="E69" s="25"/>
      <c r="F69" s="23"/>
      <c r="G69" s="25"/>
      <c r="H69" s="23"/>
      <c r="I69" s="26"/>
      <c r="J69" s="24"/>
      <c r="K69" s="25"/>
      <c r="L69" s="23"/>
      <c r="M69" s="25"/>
      <c r="N69" s="23"/>
      <c r="O69" s="26"/>
      <c r="P69" s="27"/>
      <c r="Q69" s="28"/>
      <c r="R69" s="29"/>
      <c r="S69" s="24"/>
      <c r="T69" s="25"/>
      <c r="U69" s="23"/>
      <c r="V69" s="25"/>
      <c r="W69" s="23"/>
      <c r="X69" s="26"/>
      <c r="Y69" s="24"/>
      <c r="Z69" s="25"/>
      <c r="AA69" s="23"/>
      <c r="AB69" s="25"/>
      <c r="AC69" s="23"/>
      <c r="AD69" s="26"/>
    </row>
    <row r="70">
      <c r="A70" s="30" t="s">
        <v>26</v>
      </c>
      <c r="B70" s="22" t="s">
        <v>62</v>
      </c>
      <c r="C70" s="22" t="s">
        <v>63</v>
      </c>
      <c r="D70" s="24"/>
      <c r="E70" s="25"/>
      <c r="F70" s="23"/>
      <c r="G70" s="25"/>
      <c r="H70" s="23"/>
      <c r="I70" s="26"/>
      <c r="J70" s="24"/>
      <c r="K70" s="25"/>
      <c r="L70" s="23"/>
      <c r="M70" s="25"/>
      <c r="N70" s="23"/>
      <c r="O70" s="26"/>
      <c r="P70" s="27"/>
      <c r="Q70" s="28"/>
      <c r="R70" s="29"/>
      <c r="S70" s="24"/>
      <c r="T70" s="25"/>
      <c r="U70" s="23"/>
      <c r="V70" s="25"/>
      <c r="W70" s="23"/>
      <c r="X70" s="26"/>
      <c r="Y70" s="24"/>
      <c r="Z70" s="25"/>
      <c r="AA70" s="23"/>
      <c r="AB70" s="25"/>
      <c r="AC70" s="23"/>
      <c r="AD70" s="26"/>
    </row>
    <row r="71">
      <c r="A71" s="30" t="s">
        <v>29</v>
      </c>
      <c r="B71" s="22" t="s">
        <v>62</v>
      </c>
      <c r="C71" s="22" t="s">
        <v>63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30</v>
      </c>
      <c r="B72" s="22" t="s">
        <v>62</v>
      </c>
      <c r="C72" s="22" t="s">
        <v>63</v>
      </c>
      <c r="D72" s="24"/>
      <c r="E72" s="25" t="n">
        <f>150</f>
        <v>150.0</v>
      </c>
      <c r="F72" s="23"/>
      <c r="G72" s="25" t="n">
        <f>1898</f>
        <v>1898.0</v>
      </c>
      <c r="H72" s="23"/>
      <c r="I72" s="26" t="n">
        <f>2048</f>
        <v>2048.0</v>
      </c>
      <c r="J72" s="24"/>
      <c r="K72" s="25" t="n">
        <f>236050000</f>
        <v>2.3605E8</v>
      </c>
      <c r="L72" s="23"/>
      <c r="M72" s="25" t="n">
        <f>477628000</f>
        <v>4.77628E8</v>
      </c>
      <c r="N72" s="23"/>
      <c r="O72" s="26" t="n">
        <f>713678000</f>
        <v>7.13678E8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/>
      <c r="T72" s="25" t="n">
        <f>50</f>
        <v>50.0</v>
      </c>
      <c r="U72" s="23"/>
      <c r="V72" s="25" t="n">
        <f>1398</f>
        <v>1398.0</v>
      </c>
      <c r="W72" s="23"/>
      <c r="X72" s="26" t="n">
        <f>1448</f>
        <v>1448.0</v>
      </c>
      <c r="Y72" s="24"/>
      <c r="Z72" s="25" t="n">
        <f>115855</f>
        <v>115855.0</v>
      </c>
      <c r="AA72" s="23"/>
      <c r="AB72" s="25" t="n">
        <f>71691</f>
        <v>71691.0</v>
      </c>
      <c r="AC72" s="23"/>
      <c r="AD72" s="26" t="n">
        <f>187546</f>
        <v>187546.0</v>
      </c>
    </row>
    <row r="73">
      <c r="A73" s="30" t="s">
        <v>31</v>
      </c>
      <c r="B73" s="22" t="s">
        <v>62</v>
      </c>
      <c r="C73" s="22" t="s">
        <v>63</v>
      </c>
      <c r="D73" s="24"/>
      <c r="E73" s="25" t="n">
        <f>1030</f>
        <v>1030.0</v>
      </c>
      <c r="F73" s="23"/>
      <c r="G73" s="25" t="n">
        <f>720</f>
        <v>720.0</v>
      </c>
      <c r="H73" s="23"/>
      <c r="I73" s="26" t="n">
        <f>1750</f>
        <v>1750.0</v>
      </c>
      <c r="J73" s="24"/>
      <c r="K73" s="25" t="n">
        <f>228360000</f>
        <v>2.2836E8</v>
      </c>
      <c r="L73" s="23"/>
      <c r="M73" s="25" t="n">
        <f>214250000</f>
        <v>2.1425E8</v>
      </c>
      <c r="N73" s="23"/>
      <c r="O73" s="26" t="n">
        <f>442610000</f>
        <v>4.4261E8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 t="s">
        <v>38</v>
      </c>
      <c r="T73" s="25" t="str">
        <f>"－"</f>
        <v>－</v>
      </c>
      <c r="U73" s="23" t="s">
        <v>38</v>
      </c>
      <c r="V73" s="25" t="str">
        <f>"－"</f>
        <v>－</v>
      </c>
      <c r="W73" s="23" t="s">
        <v>38</v>
      </c>
      <c r="X73" s="26" t="str">
        <f>"－"</f>
        <v>－</v>
      </c>
      <c r="Y73" s="24"/>
      <c r="Z73" s="25" t="n">
        <f>116675</f>
        <v>116675.0</v>
      </c>
      <c r="AA73" s="23"/>
      <c r="AB73" s="25" t="n">
        <f>71791</f>
        <v>71791.0</v>
      </c>
      <c r="AC73" s="23"/>
      <c r="AD73" s="26" t="n">
        <f>188466</f>
        <v>188466.0</v>
      </c>
    </row>
    <row r="74">
      <c r="A74" s="30" t="s">
        <v>32</v>
      </c>
      <c r="B74" s="22" t="s">
        <v>62</v>
      </c>
      <c r="C74" s="22" t="s">
        <v>63</v>
      </c>
      <c r="D74" s="24"/>
      <c r="E74" s="25" t="n">
        <f>275</f>
        <v>275.0</v>
      </c>
      <c r="F74" s="23"/>
      <c r="G74" s="25" t="n">
        <f>555</f>
        <v>555.0</v>
      </c>
      <c r="H74" s="23"/>
      <c r="I74" s="26" t="n">
        <f>830</f>
        <v>830.0</v>
      </c>
      <c r="J74" s="24"/>
      <c r="K74" s="25" t="n">
        <f>125250000</f>
        <v>1.2525E8</v>
      </c>
      <c r="L74" s="23"/>
      <c r="M74" s="25" t="n">
        <f>399605050</f>
        <v>3.9960505E8</v>
      </c>
      <c r="N74" s="23"/>
      <c r="O74" s="26" t="n">
        <f>524855050</f>
        <v>5.2485505E8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n">
        <f>275</f>
        <v>275.0</v>
      </c>
      <c r="U74" s="23"/>
      <c r="V74" s="25" t="n">
        <f>555</f>
        <v>555.0</v>
      </c>
      <c r="W74" s="23"/>
      <c r="X74" s="26" t="n">
        <f>830</f>
        <v>830.0</v>
      </c>
      <c r="Y74" s="24"/>
      <c r="Z74" s="25" t="n">
        <f>116800</f>
        <v>116800.0</v>
      </c>
      <c r="AA74" s="23"/>
      <c r="AB74" s="25" t="n">
        <f>71836</f>
        <v>71836.0</v>
      </c>
      <c r="AC74" s="23"/>
      <c r="AD74" s="26" t="n">
        <f>188636</f>
        <v>188636.0</v>
      </c>
    </row>
    <row r="75">
      <c r="A75" s="30" t="s">
        <v>33</v>
      </c>
      <c r="B75" s="22" t="s">
        <v>62</v>
      </c>
      <c r="C75" s="22" t="s">
        <v>63</v>
      </c>
      <c r="D75" s="24"/>
      <c r="E75" s="25" t="n">
        <f>2070</f>
        <v>2070.0</v>
      </c>
      <c r="F75" s="23"/>
      <c r="G75" s="25" t="n">
        <f>1690</f>
        <v>1690.0</v>
      </c>
      <c r="H75" s="23"/>
      <c r="I75" s="26" t="n">
        <f>3760</f>
        <v>3760.0</v>
      </c>
      <c r="J75" s="24" t="s">
        <v>42</v>
      </c>
      <c r="K75" s="25" t="n">
        <f>3157190000</f>
        <v>3.15719E9</v>
      </c>
      <c r="L75" s="23"/>
      <c r="M75" s="25" t="n">
        <f>2361675200</f>
        <v>2.3616752E9</v>
      </c>
      <c r="N75" s="23" t="s">
        <v>42</v>
      </c>
      <c r="O75" s="26" t="n">
        <f>5518865200</f>
        <v>5.5188652E9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str">
        <f>"－"</f>
        <v>－</v>
      </c>
      <c r="U75" s="23"/>
      <c r="V75" s="25" t="str">
        <f>"－"</f>
        <v>－</v>
      </c>
      <c r="W75" s="23"/>
      <c r="X75" s="26" t="str">
        <f>"－"</f>
        <v>－</v>
      </c>
      <c r="Y75" s="24"/>
      <c r="Z75" s="25" t="n">
        <f>118820</f>
        <v>118820.0</v>
      </c>
      <c r="AA75" s="23"/>
      <c r="AB75" s="25" t="n">
        <f>72879</f>
        <v>72879.0</v>
      </c>
      <c r="AC75" s="23"/>
      <c r="AD75" s="26" t="n">
        <f>191699</f>
        <v>191699.0</v>
      </c>
    </row>
    <row r="76">
      <c r="A76" s="30" t="s">
        <v>34</v>
      </c>
      <c r="B76" s="22" t="s">
        <v>62</v>
      </c>
      <c r="C76" s="22" t="s">
        <v>63</v>
      </c>
      <c r="D76" s="24"/>
      <c r="E76" s="25" t="n">
        <f>450</f>
        <v>450.0</v>
      </c>
      <c r="F76" s="23"/>
      <c r="G76" s="25" t="n">
        <f>475</f>
        <v>475.0</v>
      </c>
      <c r="H76" s="23"/>
      <c r="I76" s="26" t="n">
        <f>925</f>
        <v>925.0</v>
      </c>
      <c r="J76" s="24"/>
      <c r="K76" s="25" t="n">
        <f>353850000</f>
        <v>3.5385E8</v>
      </c>
      <c r="L76" s="23"/>
      <c r="M76" s="25" t="n">
        <f>373875000</f>
        <v>3.73875E8</v>
      </c>
      <c r="N76" s="23"/>
      <c r="O76" s="26" t="n">
        <f>727725000</f>
        <v>7.27725E8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str">
        <f>"－"</f>
        <v>－</v>
      </c>
      <c r="U76" s="23"/>
      <c r="V76" s="25" t="str">
        <f>"－"</f>
        <v>－</v>
      </c>
      <c r="W76" s="23"/>
      <c r="X76" s="26" t="str">
        <f>"－"</f>
        <v>－</v>
      </c>
      <c r="Y76" s="24"/>
      <c r="Z76" s="25" t="n">
        <f>119120</f>
        <v>119120.0</v>
      </c>
      <c r="AA76" s="23"/>
      <c r="AB76" s="25" t="n">
        <f>73304</f>
        <v>73304.0</v>
      </c>
      <c r="AC76" s="23"/>
      <c r="AD76" s="26" t="n">
        <f>192424</f>
        <v>192424.0</v>
      </c>
    </row>
    <row r="77">
      <c r="A77" s="30" t="s">
        <v>35</v>
      </c>
      <c r="B77" s="22" t="s">
        <v>62</v>
      </c>
      <c r="C77" s="22" t="s">
        <v>63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36</v>
      </c>
      <c r="B78" s="22" t="s">
        <v>62</v>
      </c>
      <c r="C78" s="22" t="s">
        <v>63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37</v>
      </c>
      <c r="B79" s="22" t="s">
        <v>62</v>
      </c>
      <c r="C79" s="22" t="s">
        <v>63</v>
      </c>
      <c r="D79" s="24" t="s">
        <v>38</v>
      </c>
      <c r="E79" s="25" t="n">
        <f>120</f>
        <v>120.0</v>
      </c>
      <c r="F79" s="23"/>
      <c r="G79" s="25" t="n">
        <f>780</f>
        <v>780.0</v>
      </c>
      <c r="H79" s="23"/>
      <c r="I79" s="26" t="n">
        <f>900</f>
        <v>900.0</v>
      </c>
      <c r="J79" s="24" t="s">
        <v>38</v>
      </c>
      <c r="K79" s="25" t="n">
        <f>1250000</f>
        <v>1250000.0</v>
      </c>
      <c r="L79" s="23"/>
      <c r="M79" s="25" t="n">
        <f>10280000</f>
        <v>1.028E7</v>
      </c>
      <c r="N79" s="23" t="s">
        <v>38</v>
      </c>
      <c r="O79" s="26" t="n">
        <f>11530000</f>
        <v>1.153E7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str">
        <f>"－"</f>
        <v>－</v>
      </c>
      <c r="U79" s="23"/>
      <c r="V79" s="25" t="n">
        <f>760</f>
        <v>760.0</v>
      </c>
      <c r="W79" s="23"/>
      <c r="X79" s="26" t="n">
        <f>760</f>
        <v>760.0</v>
      </c>
      <c r="Y79" s="24"/>
      <c r="Z79" s="25" t="n">
        <f>119140</f>
        <v>119140.0</v>
      </c>
      <c r="AA79" s="23"/>
      <c r="AB79" s="25" t="n">
        <f>73104</f>
        <v>73104.0</v>
      </c>
      <c r="AC79" s="23"/>
      <c r="AD79" s="26" t="n">
        <f>192244</f>
        <v>192244.0</v>
      </c>
    </row>
    <row r="80">
      <c r="A80" s="30" t="s">
        <v>39</v>
      </c>
      <c r="B80" s="22" t="s">
        <v>62</v>
      </c>
      <c r="C80" s="22" t="s">
        <v>63</v>
      </c>
      <c r="D80" s="24"/>
      <c r="E80" s="25" t="n">
        <f>560</f>
        <v>560.0</v>
      </c>
      <c r="F80" s="23"/>
      <c r="G80" s="25" t="n">
        <f>760</f>
        <v>760.0</v>
      </c>
      <c r="H80" s="23"/>
      <c r="I80" s="26" t="n">
        <f>1320</f>
        <v>1320.0</v>
      </c>
      <c r="J80" s="24"/>
      <c r="K80" s="25" t="n">
        <f>3080000</f>
        <v>3080000.0</v>
      </c>
      <c r="L80" s="23" t="s">
        <v>42</v>
      </c>
      <c r="M80" s="25" t="n">
        <f>4940820000</f>
        <v>4.94082E9</v>
      </c>
      <c r="N80" s="23"/>
      <c r="O80" s="26" t="n">
        <f>4943900000</f>
        <v>4.9439E9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str">
        <f>"－"</f>
        <v>－</v>
      </c>
      <c r="W80" s="23"/>
      <c r="X80" s="26" t="str">
        <f>"－"</f>
        <v>－</v>
      </c>
      <c r="Y80" s="24"/>
      <c r="Z80" s="25" t="n">
        <f>119420</f>
        <v>119420.0</v>
      </c>
      <c r="AA80" s="23"/>
      <c r="AB80" s="25" t="n">
        <f>73284</f>
        <v>73284.0</v>
      </c>
      <c r="AC80" s="23"/>
      <c r="AD80" s="26" t="n">
        <f>192704</f>
        <v>192704.0</v>
      </c>
    </row>
    <row r="81">
      <c r="A81" s="30" t="s">
        <v>40</v>
      </c>
      <c r="B81" s="22" t="s">
        <v>62</v>
      </c>
      <c r="C81" s="22" t="s">
        <v>63</v>
      </c>
      <c r="D81" s="24"/>
      <c r="E81" s="25" t="n">
        <f>2458</f>
        <v>2458.0</v>
      </c>
      <c r="F81" s="23"/>
      <c r="G81" s="25" t="n">
        <f>2486</f>
        <v>2486.0</v>
      </c>
      <c r="H81" s="23"/>
      <c r="I81" s="26" t="n">
        <f>4944</f>
        <v>4944.0</v>
      </c>
      <c r="J81" s="24"/>
      <c r="K81" s="25" t="n">
        <f>763786948</f>
        <v>7.63786948E8</v>
      </c>
      <c r="L81" s="23"/>
      <c r="M81" s="25" t="n">
        <f>282829020</f>
        <v>2.8282902E8</v>
      </c>
      <c r="N81" s="23"/>
      <c r="O81" s="26" t="n">
        <f>1046615968</f>
        <v>1.046615968E9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1058</f>
        <v>1058.0</v>
      </c>
      <c r="U81" s="23" t="s">
        <v>42</v>
      </c>
      <c r="V81" s="25" t="n">
        <f>2086</f>
        <v>2086.0</v>
      </c>
      <c r="W81" s="23"/>
      <c r="X81" s="26" t="n">
        <f>3144</f>
        <v>3144.0</v>
      </c>
      <c r="Y81" s="24"/>
      <c r="Z81" s="25" t="n">
        <f>121157</f>
        <v>121157.0</v>
      </c>
      <c r="AA81" s="23"/>
      <c r="AB81" s="25" t="n">
        <f>75005</f>
        <v>75005.0</v>
      </c>
      <c r="AC81" s="23"/>
      <c r="AD81" s="26" t="n">
        <f>196162</f>
        <v>196162.0</v>
      </c>
    </row>
    <row r="82">
      <c r="A82" s="30" t="s">
        <v>41</v>
      </c>
      <c r="B82" s="22" t="s">
        <v>62</v>
      </c>
      <c r="C82" s="22" t="s">
        <v>63</v>
      </c>
      <c r="D82" s="24"/>
      <c r="E82" s="25" t="n">
        <f>3135</f>
        <v>3135.0</v>
      </c>
      <c r="F82" s="23"/>
      <c r="G82" s="25" t="n">
        <f>2275</f>
        <v>2275.0</v>
      </c>
      <c r="H82" s="23"/>
      <c r="I82" s="26" t="n">
        <f>5410</f>
        <v>5410.0</v>
      </c>
      <c r="J82" s="24"/>
      <c r="K82" s="25" t="n">
        <f>2317220000</f>
        <v>2.31722E9</v>
      </c>
      <c r="L82" s="23"/>
      <c r="M82" s="25" t="n">
        <f>1566975000</f>
        <v>1.566975E9</v>
      </c>
      <c r="N82" s="23"/>
      <c r="O82" s="26" t="n">
        <f>3884195000</f>
        <v>3.884195E9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str">
        <f>"－"</f>
        <v>－</v>
      </c>
      <c r="U82" s="23"/>
      <c r="V82" s="25" t="str">
        <f>"－"</f>
        <v>－</v>
      </c>
      <c r="W82" s="23"/>
      <c r="X82" s="26" t="str">
        <f>"－"</f>
        <v>－</v>
      </c>
      <c r="Y82" s="24" t="s">
        <v>42</v>
      </c>
      <c r="Z82" s="25" t="n">
        <f>122289</f>
        <v>122289.0</v>
      </c>
      <c r="AA82" s="23" t="s">
        <v>42</v>
      </c>
      <c r="AB82" s="25" t="n">
        <f>76930</f>
        <v>76930.0</v>
      </c>
      <c r="AC82" s="23" t="s">
        <v>42</v>
      </c>
      <c r="AD82" s="26" t="n">
        <f>199219</f>
        <v>199219.0</v>
      </c>
    </row>
    <row r="83">
      <c r="A83" s="30" t="s">
        <v>43</v>
      </c>
      <c r="B83" s="22" t="s">
        <v>62</v>
      </c>
      <c r="C83" s="22" t="s">
        <v>63</v>
      </c>
      <c r="D83" s="24"/>
      <c r="E83" s="25" t="n">
        <f>1038</f>
        <v>1038.0</v>
      </c>
      <c r="F83" s="23"/>
      <c r="G83" s="25" t="n">
        <f>117</f>
        <v>117.0</v>
      </c>
      <c r="H83" s="23"/>
      <c r="I83" s="26" t="n">
        <f>1155</f>
        <v>1155.0</v>
      </c>
      <c r="J83" s="24"/>
      <c r="K83" s="25" t="n">
        <f>650243400</f>
        <v>6.502434E8</v>
      </c>
      <c r="L83" s="23"/>
      <c r="M83" s="25" t="n">
        <f>31239000</f>
        <v>3.1239E7</v>
      </c>
      <c r="N83" s="23"/>
      <c r="O83" s="26" t="n">
        <f>681482400</f>
        <v>6.814824E8</v>
      </c>
      <c r="P83" s="27" t="n">
        <f>750</f>
        <v>750.0</v>
      </c>
      <c r="Q83" s="28" t="n">
        <f>7191</f>
        <v>7191.0</v>
      </c>
      <c r="R83" s="29" t="n">
        <f>7941</f>
        <v>7941.0</v>
      </c>
      <c r="S83" s="24"/>
      <c r="T83" s="25" t="n">
        <f>888</f>
        <v>888.0</v>
      </c>
      <c r="U83" s="23"/>
      <c r="V83" s="25" t="n">
        <f>117</f>
        <v>117.0</v>
      </c>
      <c r="W83" s="23"/>
      <c r="X83" s="26" t="n">
        <f>1005</f>
        <v>1005.0</v>
      </c>
      <c r="Y83" s="24" t="s">
        <v>38</v>
      </c>
      <c r="Z83" s="25" t="n">
        <f>95236</f>
        <v>95236.0</v>
      </c>
      <c r="AA83" s="23"/>
      <c r="AB83" s="25" t="n">
        <f>63699</f>
        <v>63699.0</v>
      </c>
      <c r="AC83" s="23" t="s">
        <v>38</v>
      </c>
      <c r="AD83" s="26" t="n">
        <f>158935</f>
        <v>158935.0</v>
      </c>
    </row>
    <row r="84">
      <c r="A84" s="30" t="s">
        <v>44</v>
      </c>
      <c r="B84" s="22" t="s">
        <v>62</v>
      </c>
      <c r="C84" s="22" t="s">
        <v>63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45</v>
      </c>
      <c r="B85" s="22" t="s">
        <v>62</v>
      </c>
      <c r="C85" s="22" t="s">
        <v>63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46</v>
      </c>
      <c r="B86" s="22" t="s">
        <v>62</v>
      </c>
      <c r="C86" s="22" t="s">
        <v>63</v>
      </c>
      <c r="D86" s="24"/>
      <c r="E86" s="25" t="n">
        <f>1656</f>
        <v>1656.0</v>
      </c>
      <c r="F86" s="23"/>
      <c r="G86" s="25" t="n">
        <f>1976</f>
        <v>1976.0</v>
      </c>
      <c r="H86" s="23"/>
      <c r="I86" s="26" t="n">
        <f>3632</f>
        <v>3632.0</v>
      </c>
      <c r="J86" s="24"/>
      <c r="K86" s="25" t="n">
        <f>421740000</f>
        <v>4.2174E8</v>
      </c>
      <c r="L86" s="23"/>
      <c r="M86" s="25" t="n">
        <f>165377800</f>
        <v>1.653778E8</v>
      </c>
      <c r="N86" s="23"/>
      <c r="O86" s="26" t="n">
        <f>587117800</f>
        <v>5.871178E8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856</f>
        <v>856.0</v>
      </c>
      <c r="U86" s="23"/>
      <c r="V86" s="25" t="n">
        <f>1976</f>
        <v>1976.0</v>
      </c>
      <c r="W86" s="23"/>
      <c r="X86" s="26" t="n">
        <f>2832</f>
        <v>2832.0</v>
      </c>
      <c r="Y86" s="24"/>
      <c r="Z86" s="25" t="n">
        <f>96592</f>
        <v>96592.0</v>
      </c>
      <c r="AA86" s="23"/>
      <c r="AB86" s="25" t="n">
        <f>63321</f>
        <v>63321.0</v>
      </c>
      <c r="AC86" s="23"/>
      <c r="AD86" s="26" t="n">
        <f>159913</f>
        <v>159913.0</v>
      </c>
    </row>
    <row r="87">
      <c r="A87" s="30" t="s">
        <v>47</v>
      </c>
      <c r="B87" s="22" t="s">
        <v>62</v>
      </c>
      <c r="C87" s="22" t="s">
        <v>63</v>
      </c>
      <c r="D87" s="24"/>
      <c r="E87" s="25" t="n">
        <f>1380</f>
        <v>1380.0</v>
      </c>
      <c r="F87" s="23"/>
      <c r="G87" s="25" t="n">
        <f>100</f>
        <v>100.0</v>
      </c>
      <c r="H87" s="23"/>
      <c r="I87" s="26" t="n">
        <f>1480</f>
        <v>1480.0</v>
      </c>
      <c r="J87" s="24"/>
      <c r="K87" s="25" t="n">
        <f>167400000</f>
        <v>1.674E8</v>
      </c>
      <c r="L87" s="23"/>
      <c r="M87" s="25" t="n">
        <f>7800000</f>
        <v>7800000.0</v>
      </c>
      <c r="N87" s="23"/>
      <c r="O87" s="26" t="n">
        <f>175200000</f>
        <v>1.752E8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str">
        <f>"－"</f>
        <v>－</v>
      </c>
      <c r="U87" s="23"/>
      <c r="V87" s="25" t="n">
        <f>100</f>
        <v>100.0</v>
      </c>
      <c r="W87" s="23"/>
      <c r="X87" s="26" t="n">
        <f>100</f>
        <v>100.0</v>
      </c>
      <c r="Y87" s="24"/>
      <c r="Z87" s="25" t="n">
        <f>97758</f>
        <v>97758.0</v>
      </c>
      <c r="AA87" s="23" t="s">
        <v>38</v>
      </c>
      <c r="AB87" s="25" t="n">
        <f>63221</f>
        <v>63221.0</v>
      </c>
      <c r="AC87" s="23"/>
      <c r="AD87" s="26" t="n">
        <f>160979</f>
        <v>160979.0</v>
      </c>
    </row>
    <row r="88">
      <c r="A88" s="30" t="s">
        <v>48</v>
      </c>
      <c r="B88" s="22" t="s">
        <v>62</v>
      </c>
      <c r="C88" s="22" t="s">
        <v>63</v>
      </c>
      <c r="D88" s="24"/>
      <c r="E88" s="25" t="n">
        <f>2774</f>
        <v>2774.0</v>
      </c>
      <c r="F88" s="23"/>
      <c r="G88" s="25" t="n">
        <f>74</f>
        <v>74.0</v>
      </c>
      <c r="H88" s="23"/>
      <c r="I88" s="26" t="n">
        <f>2848</f>
        <v>2848.0</v>
      </c>
      <c r="J88" s="24"/>
      <c r="K88" s="25" t="n">
        <f>394079800</f>
        <v>3.940798E8</v>
      </c>
      <c r="L88" s="23"/>
      <c r="M88" s="25" t="n">
        <f>61990200</f>
        <v>6.19902E7</v>
      </c>
      <c r="N88" s="23"/>
      <c r="O88" s="26" t="n">
        <f>456070000</f>
        <v>4.5607E8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50</f>
        <v>50.0</v>
      </c>
      <c r="U88" s="23"/>
      <c r="V88" s="25" t="n">
        <f>50</f>
        <v>50.0</v>
      </c>
      <c r="W88" s="23"/>
      <c r="X88" s="26" t="n">
        <f>100</f>
        <v>100.0</v>
      </c>
      <c r="Y88" s="24"/>
      <c r="Z88" s="25" t="n">
        <f>100256</f>
        <v>100256.0</v>
      </c>
      <c r="AA88" s="23"/>
      <c r="AB88" s="25" t="n">
        <f>63221</f>
        <v>63221.0</v>
      </c>
      <c r="AC88" s="23"/>
      <c r="AD88" s="26" t="n">
        <f>163477</f>
        <v>163477.0</v>
      </c>
    </row>
    <row r="89">
      <c r="A89" s="30" t="s">
        <v>49</v>
      </c>
      <c r="B89" s="22" t="s">
        <v>62</v>
      </c>
      <c r="C89" s="22" t="s">
        <v>63</v>
      </c>
      <c r="D89" s="24"/>
      <c r="E89" s="25" t="n">
        <f>400</f>
        <v>400.0</v>
      </c>
      <c r="F89" s="23" t="s">
        <v>38</v>
      </c>
      <c r="G89" s="25" t="str">
        <f>"－"</f>
        <v>－</v>
      </c>
      <c r="H89" s="23" t="s">
        <v>38</v>
      </c>
      <c r="I89" s="26" t="n">
        <f>400</f>
        <v>400.0</v>
      </c>
      <c r="J89" s="24"/>
      <c r="K89" s="25" t="n">
        <f>32400000</f>
        <v>3.24E7</v>
      </c>
      <c r="L89" s="23" t="s">
        <v>38</v>
      </c>
      <c r="M89" s="25" t="str">
        <f>"－"</f>
        <v>－</v>
      </c>
      <c r="N89" s="23"/>
      <c r="O89" s="26" t="n">
        <f>32400000</f>
        <v>3.24E7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str">
        <f>"－"</f>
        <v>－</v>
      </c>
      <c r="U89" s="23"/>
      <c r="V89" s="25" t="str">
        <f>"－"</f>
        <v>－</v>
      </c>
      <c r="W89" s="23"/>
      <c r="X89" s="26" t="str">
        <f>"－"</f>
        <v>－</v>
      </c>
      <c r="Y89" s="24"/>
      <c r="Z89" s="25" t="n">
        <f>100456</f>
        <v>100456.0</v>
      </c>
      <c r="AA89" s="23"/>
      <c r="AB89" s="25" t="n">
        <f>63221</f>
        <v>63221.0</v>
      </c>
      <c r="AC89" s="23"/>
      <c r="AD89" s="26" t="n">
        <f>163677</f>
        <v>163677.0</v>
      </c>
    </row>
    <row r="90">
      <c r="A90" s="30" t="s">
        <v>50</v>
      </c>
      <c r="B90" s="22" t="s">
        <v>62</v>
      </c>
      <c r="C90" s="22" t="s">
        <v>63</v>
      </c>
      <c r="D90" s="24" t="s">
        <v>42</v>
      </c>
      <c r="E90" s="25" t="n">
        <f>9475</f>
        <v>9475.0</v>
      </c>
      <c r="F90" s="23"/>
      <c r="G90" s="25" t="n">
        <f>650</f>
        <v>650.0</v>
      </c>
      <c r="H90" s="23" t="s">
        <v>42</v>
      </c>
      <c r="I90" s="26" t="n">
        <f>10125</f>
        <v>10125.0</v>
      </c>
      <c r="J90" s="24"/>
      <c r="K90" s="25" t="n">
        <f>2125250000</f>
        <v>2.12525E9</v>
      </c>
      <c r="L90" s="23"/>
      <c r="M90" s="25" t="n">
        <f>1472000000</f>
        <v>1.472E9</v>
      </c>
      <c r="N90" s="23"/>
      <c r="O90" s="26" t="n">
        <f>3597250000</f>
        <v>3.59725E9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 t="s">
        <v>42</v>
      </c>
      <c r="T90" s="25" t="n">
        <f>7625</f>
        <v>7625.0</v>
      </c>
      <c r="U90" s="23"/>
      <c r="V90" s="25" t="str">
        <f>"－"</f>
        <v>－</v>
      </c>
      <c r="W90" s="23" t="s">
        <v>42</v>
      </c>
      <c r="X90" s="26" t="n">
        <f>7625</f>
        <v>7625.0</v>
      </c>
      <c r="Y90" s="24"/>
      <c r="Z90" s="25" t="n">
        <f>106651</f>
        <v>106651.0</v>
      </c>
      <c r="AA90" s="23"/>
      <c r="AB90" s="25" t="n">
        <f>63871</f>
        <v>63871.0</v>
      </c>
      <c r="AC90" s="23"/>
      <c r="AD90" s="26" t="n">
        <f>170522</f>
        <v>170522.0</v>
      </c>
    </row>
    <row r="91">
      <c r="A91" s="30" t="s">
        <v>51</v>
      </c>
      <c r="B91" s="22" t="s">
        <v>62</v>
      </c>
      <c r="C91" s="22" t="s">
        <v>63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52</v>
      </c>
      <c r="B92" s="22" t="s">
        <v>62</v>
      </c>
      <c r="C92" s="22" t="s">
        <v>63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53</v>
      </c>
      <c r="B93" s="22" t="s">
        <v>62</v>
      </c>
      <c r="C93" s="22" t="s">
        <v>63</v>
      </c>
      <c r="D93" s="24"/>
      <c r="E93" s="25" t="n">
        <f>611</f>
        <v>611.0</v>
      </c>
      <c r="F93" s="23"/>
      <c r="G93" s="25" t="str">
        <f>"－"</f>
        <v>－</v>
      </c>
      <c r="H93" s="23"/>
      <c r="I93" s="26" t="n">
        <f>611</f>
        <v>611.0</v>
      </c>
      <c r="J93" s="24"/>
      <c r="K93" s="25" t="n">
        <f>369142031</f>
        <v>3.69142031E8</v>
      </c>
      <c r="L93" s="23"/>
      <c r="M93" s="25" t="str">
        <f>"－"</f>
        <v>－</v>
      </c>
      <c r="N93" s="23"/>
      <c r="O93" s="26" t="n">
        <f>369142031</f>
        <v>3.69142031E8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17</f>
        <v>17.0</v>
      </c>
      <c r="U93" s="23"/>
      <c r="V93" s="25" t="str">
        <f>"－"</f>
        <v>－</v>
      </c>
      <c r="W93" s="23"/>
      <c r="X93" s="26" t="n">
        <f>17</f>
        <v>17.0</v>
      </c>
      <c r="Y93" s="24"/>
      <c r="Z93" s="25" t="n">
        <f>106944</f>
        <v>106944.0</v>
      </c>
      <c r="AA93" s="23"/>
      <c r="AB93" s="25" t="n">
        <f>63871</f>
        <v>63871.0</v>
      </c>
      <c r="AC93" s="23"/>
      <c r="AD93" s="26" t="n">
        <f>170815</f>
        <v>170815.0</v>
      </c>
    </row>
    <row r="94">
      <c r="A94" s="30" t="s">
        <v>54</v>
      </c>
      <c r="B94" s="22" t="s">
        <v>62</v>
      </c>
      <c r="C94" s="22" t="s">
        <v>63</v>
      </c>
      <c r="D94" s="24"/>
      <c r="E94" s="25" t="n">
        <f>972</f>
        <v>972.0</v>
      </c>
      <c r="F94" s="23" t="s">
        <v>42</v>
      </c>
      <c r="G94" s="25" t="n">
        <f>3204</f>
        <v>3204.0</v>
      </c>
      <c r="H94" s="23"/>
      <c r="I94" s="26" t="n">
        <f>4176</f>
        <v>4176.0</v>
      </c>
      <c r="J94" s="24"/>
      <c r="K94" s="25" t="n">
        <f>510425000</f>
        <v>5.10425E8</v>
      </c>
      <c r="L94" s="23"/>
      <c r="M94" s="25" t="n">
        <f>3059947860</f>
        <v>3.05994786E9</v>
      </c>
      <c r="N94" s="23"/>
      <c r="O94" s="26" t="n">
        <f>3570372860</f>
        <v>3.57037286E9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n">
        <f>2044</f>
        <v>2044.0</v>
      </c>
      <c r="W94" s="23"/>
      <c r="X94" s="26" t="n">
        <f>2044</f>
        <v>2044.0</v>
      </c>
      <c r="Y94" s="24"/>
      <c r="Z94" s="25" t="n">
        <f>107484</f>
        <v>107484.0</v>
      </c>
      <c r="AA94" s="23"/>
      <c r="AB94" s="25" t="n">
        <f>67005</f>
        <v>67005.0</v>
      </c>
      <c r="AC94" s="23"/>
      <c r="AD94" s="26" t="n">
        <f>174489</f>
        <v>174489.0</v>
      </c>
    </row>
    <row r="95">
      <c r="A95" s="30" t="s">
        <v>55</v>
      </c>
      <c r="B95" s="22" t="s">
        <v>62</v>
      </c>
      <c r="C95" s="22" t="s">
        <v>63</v>
      </c>
      <c r="D95" s="24"/>
      <c r="E95" s="25" t="n">
        <f>1700</f>
        <v>1700.0</v>
      </c>
      <c r="F95" s="23"/>
      <c r="G95" s="25" t="n">
        <f>1553</f>
        <v>1553.0</v>
      </c>
      <c r="H95" s="23"/>
      <c r="I95" s="26" t="n">
        <f>3253</f>
        <v>3253.0</v>
      </c>
      <c r="J95" s="24"/>
      <c r="K95" s="25" t="n">
        <f>602360000</f>
        <v>6.0236E8</v>
      </c>
      <c r="L95" s="23"/>
      <c r="M95" s="25" t="n">
        <f>260698040</f>
        <v>2.6069804E8</v>
      </c>
      <c r="N95" s="23"/>
      <c r="O95" s="26" t="n">
        <f>863058040</f>
        <v>8.6305804E8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300</f>
        <v>300.0</v>
      </c>
      <c r="U95" s="23"/>
      <c r="V95" s="25" t="n">
        <f>1108</f>
        <v>1108.0</v>
      </c>
      <c r="W95" s="23"/>
      <c r="X95" s="26" t="n">
        <f>1408</f>
        <v>1408.0</v>
      </c>
      <c r="Y95" s="24"/>
      <c r="Z95" s="25" t="n">
        <f>109084</f>
        <v>109084.0</v>
      </c>
      <c r="AA95" s="23"/>
      <c r="AB95" s="25" t="n">
        <f>68458</f>
        <v>68458.0</v>
      </c>
      <c r="AC95" s="23"/>
      <c r="AD95" s="26" t="n">
        <f>177542</f>
        <v>177542.0</v>
      </c>
    </row>
    <row r="96">
      <c r="A96" s="30" t="s">
        <v>56</v>
      </c>
      <c r="B96" s="22" t="s">
        <v>62</v>
      </c>
      <c r="C96" s="22" t="s">
        <v>63</v>
      </c>
      <c r="D96" s="24"/>
      <c r="E96" s="25" t="n">
        <f>2063</f>
        <v>2063.0</v>
      </c>
      <c r="F96" s="23"/>
      <c r="G96" s="25" t="n">
        <f>1337</f>
        <v>1337.0</v>
      </c>
      <c r="H96" s="23"/>
      <c r="I96" s="26" t="n">
        <f>3400</f>
        <v>3400.0</v>
      </c>
      <c r="J96" s="24"/>
      <c r="K96" s="25" t="n">
        <f>1343796520</f>
        <v>1.34379652E9</v>
      </c>
      <c r="L96" s="23"/>
      <c r="M96" s="25" t="n">
        <f>1089051080</f>
        <v>1.08905108E9</v>
      </c>
      <c r="N96" s="23"/>
      <c r="O96" s="26" t="n">
        <f>2432847600</f>
        <v>2.4328476E9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n">
        <f>263</f>
        <v>263.0</v>
      </c>
      <c r="U96" s="23"/>
      <c r="V96" s="25" t="n">
        <f>737</f>
        <v>737.0</v>
      </c>
      <c r="W96" s="23"/>
      <c r="X96" s="26" t="n">
        <f>1000</f>
        <v>1000.0</v>
      </c>
      <c r="Y96" s="24"/>
      <c r="Z96" s="25" t="n">
        <f>110047</f>
        <v>110047.0</v>
      </c>
      <c r="AA96" s="23"/>
      <c r="AB96" s="25" t="n">
        <f>69579</f>
        <v>69579.0</v>
      </c>
      <c r="AC96" s="23"/>
      <c r="AD96" s="26" t="n">
        <f>179626</f>
        <v>179626.0</v>
      </c>
    </row>
    <row r="97">
      <c r="A97" s="30" t="s">
        <v>57</v>
      </c>
      <c r="B97" s="22" t="s">
        <v>62</v>
      </c>
      <c r="C97" s="22" t="s">
        <v>63</v>
      </c>
      <c r="D97" s="24"/>
      <c r="E97" s="25" t="n">
        <f>772</f>
        <v>772.0</v>
      </c>
      <c r="F97" s="23"/>
      <c r="G97" s="25" t="n">
        <f>1482</f>
        <v>1482.0</v>
      </c>
      <c r="H97" s="23"/>
      <c r="I97" s="26" t="n">
        <f>2254</f>
        <v>2254.0</v>
      </c>
      <c r="J97" s="24"/>
      <c r="K97" s="25" t="n">
        <f>223251176</f>
        <v>2.23251176E8</v>
      </c>
      <c r="L97" s="23"/>
      <c r="M97" s="25" t="n">
        <f>453672840</f>
        <v>4.5367284E8</v>
      </c>
      <c r="N97" s="23"/>
      <c r="O97" s="26" t="n">
        <f>676924016</f>
        <v>6.76924016E8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n">
        <f>157</f>
        <v>157.0</v>
      </c>
      <c r="U97" s="23"/>
      <c r="V97" s="25" t="n">
        <f>862</f>
        <v>862.0</v>
      </c>
      <c r="W97" s="23"/>
      <c r="X97" s="26" t="n">
        <f>1019</f>
        <v>1019.0</v>
      </c>
      <c r="Y97" s="24"/>
      <c r="Z97" s="25" t="n">
        <f>110579</f>
        <v>110579.0</v>
      </c>
      <c r="AA97" s="23"/>
      <c r="AB97" s="25" t="n">
        <f>70961</f>
        <v>70961.0</v>
      </c>
      <c r="AC97" s="23"/>
      <c r="AD97" s="26" t="n">
        <f>181540</f>
        <v>181540.0</v>
      </c>
    </row>
    <row r="98">
      <c r="A98" s="30" t="s">
        <v>58</v>
      </c>
      <c r="B98" s="22" t="s">
        <v>62</v>
      </c>
      <c r="C98" s="22" t="s">
        <v>63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59</v>
      </c>
      <c r="B99" s="22" t="s">
        <v>62</v>
      </c>
      <c r="C99" s="22" t="s">
        <v>63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26</v>
      </c>
      <c r="B100" s="22" t="s">
        <v>64</v>
      </c>
      <c r="C100" s="22" t="s">
        <v>65</v>
      </c>
      <c r="D100" s="24"/>
      <c r="E100" s="25"/>
      <c r="F100" s="23"/>
      <c r="G100" s="25"/>
      <c r="H100" s="23"/>
      <c r="I100" s="26"/>
      <c r="J100" s="24"/>
      <c r="K100" s="25"/>
      <c r="L100" s="23"/>
      <c r="M100" s="25"/>
      <c r="N100" s="23"/>
      <c r="O100" s="26"/>
      <c r="P100" s="27"/>
      <c r="Q100" s="28"/>
      <c r="R100" s="29"/>
      <c r="S100" s="24"/>
      <c r="T100" s="25"/>
      <c r="U100" s="23"/>
      <c r="V100" s="25"/>
      <c r="W100" s="23"/>
      <c r="X100" s="26"/>
      <c r="Y100" s="24"/>
      <c r="Z100" s="25"/>
      <c r="AA100" s="23"/>
      <c r="AB100" s="25"/>
      <c r="AC100" s="23"/>
      <c r="AD100" s="26"/>
    </row>
    <row r="101">
      <c r="A101" s="30" t="s">
        <v>29</v>
      </c>
      <c r="B101" s="22" t="s">
        <v>64</v>
      </c>
      <c r="C101" s="22" t="s">
        <v>65</v>
      </c>
      <c r="D101" s="24"/>
      <c r="E101" s="25"/>
      <c r="F101" s="23"/>
      <c r="G101" s="25"/>
      <c r="H101" s="23"/>
      <c r="I101" s="26"/>
      <c r="J101" s="24"/>
      <c r="K101" s="25"/>
      <c r="L101" s="23"/>
      <c r="M101" s="25"/>
      <c r="N101" s="23"/>
      <c r="O101" s="26"/>
      <c r="P101" s="27"/>
      <c r="Q101" s="28"/>
      <c r="R101" s="29"/>
      <c r="S101" s="24"/>
      <c r="T101" s="25"/>
      <c r="U101" s="23"/>
      <c r="V101" s="25"/>
      <c r="W101" s="23"/>
      <c r="X101" s="26"/>
      <c r="Y101" s="24"/>
      <c r="Z101" s="25"/>
      <c r="AA101" s="23"/>
      <c r="AB101" s="25"/>
      <c r="AC101" s="23"/>
      <c r="AD101" s="26"/>
    </row>
    <row r="102">
      <c r="A102" s="30" t="s">
        <v>30</v>
      </c>
      <c r="B102" s="22" t="s">
        <v>64</v>
      </c>
      <c r="C102" s="22" t="s">
        <v>65</v>
      </c>
      <c r="D102" s="24" t="s">
        <v>66</v>
      </c>
      <c r="E102" s="25" t="str">
        <f>"－"</f>
        <v>－</v>
      </c>
      <c r="F102" s="23" t="s">
        <v>66</v>
      </c>
      <c r="G102" s="25" t="str">
        <f>"－"</f>
        <v>－</v>
      </c>
      <c r="H102" s="23" t="s">
        <v>66</v>
      </c>
      <c r="I102" s="26" t="str">
        <f>"－"</f>
        <v>－</v>
      </c>
      <c r="J102" s="24" t="s">
        <v>66</v>
      </c>
      <c r="K102" s="25" t="str">
        <f>"－"</f>
        <v>－</v>
      </c>
      <c r="L102" s="23" t="s">
        <v>66</v>
      </c>
      <c r="M102" s="25" t="str">
        <f>"－"</f>
        <v>－</v>
      </c>
      <c r="N102" s="23" t="s">
        <v>66</v>
      </c>
      <c r="O102" s="26" t="str">
        <f>"－"</f>
        <v>－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 t="s">
        <v>66</v>
      </c>
      <c r="T102" s="25" t="str">
        <f>"－"</f>
        <v>－</v>
      </c>
      <c r="U102" s="23" t="s">
        <v>66</v>
      </c>
      <c r="V102" s="25" t="str">
        <f>"－"</f>
        <v>－</v>
      </c>
      <c r="W102" s="23" t="s">
        <v>66</v>
      </c>
      <c r="X102" s="26" t="str">
        <f>"－"</f>
        <v>－</v>
      </c>
      <c r="Y102" s="24" t="s">
        <v>66</v>
      </c>
      <c r="Z102" s="25" t="str">
        <f>"－"</f>
        <v>－</v>
      </c>
      <c r="AA102" s="23" t="s">
        <v>66</v>
      </c>
      <c r="AB102" s="25" t="str">
        <f>"－"</f>
        <v>－</v>
      </c>
      <c r="AC102" s="23" t="s">
        <v>66</v>
      </c>
      <c r="AD102" s="26" t="str">
        <f>"－"</f>
        <v>－</v>
      </c>
    </row>
    <row r="103">
      <c r="A103" s="30" t="s">
        <v>31</v>
      </c>
      <c r="B103" s="22" t="s">
        <v>64</v>
      </c>
      <c r="C103" s="22" t="s">
        <v>65</v>
      </c>
      <c r="D103" s="24"/>
      <c r="E103" s="25" t="str">
        <f>"－"</f>
        <v>－</v>
      </c>
      <c r="F103" s="23"/>
      <c r="G103" s="25" t="str">
        <f>"－"</f>
        <v>－</v>
      </c>
      <c r="H103" s="23"/>
      <c r="I103" s="26" t="str">
        <f>"－"</f>
        <v>－</v>
      </c>
      <c r="J103" s="24"/>
      <c r="K103" s="25" t="str">
        <f>"－"</f>
        <v>－</v>
      </c>
      <c r="L103" s="23"/>
      <c r="M103" s="25" t="str">
        <f>"－"</f>
        <v>－</v>
      </c>
      <c r="N103" s="23"/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/>
      <c r="T103" s="25" t="str">
        <f>"－"</f>
        <v>－</v>
      </c>
      <c r="U103" s="23"/>
      <c r="V103" s="25" t="str">
        <f>"－"</f>
        <v>－</v>
      </c>
      <c r="W103" s="23"/>
      <c r="X103" s="26" t="str">
        <f>"－"</f>
        <v>－</v>
      </c>
      <c r="Y103" s="24"/>
      <c r="Z103" s="25" t="str">
        <f>"－"</f>
        <v>－</v>
      </c>
      <c r="AA103" s="23"/>
      <c r="AB103" s="25" t="str">
        <f>"－"</f>
        <v>－</v>
      </c>
      <c r="AC103" s="23"/>
      <c r="AD103" s="26" t="str">
        <f>"－"</f>
        <v>－</v>
      </c>
    </row>
    <row r="104">
      <c r="A104" s="30" t="s">
        <v>32</v>
      </c>
      <c r="B104" s="22" t="s">
        <v>64</v>
      </c>
      <c r="C104" s="22" t="s">
        <v>65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33</v>
      </c>
      <c r="B105" s="22" t="s">
        <v>64</v>
      </c>
      <c r="C105" s="22" t="s">
        <v>65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34</v>
      </c>
      <c r="B106" s="22" t="s">
        <v>64</v>
      </c>
      <c r="C106" s="22" t="s">
        <v>65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35</v>
      </c>
      <c r="B107" s="22" t="s">
        <v>64</v>
      </c>
      <c r="C107" s="22" t="s">
        <v>65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36</v>
      </c>
      <c r="B108" s="22" t="s">
        <v>64</v>
      </c>
      <c r="C108" s="22" t="s">
        <v>65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37</v>
      </c>
      <c r="B109" s="22" t="s">
        <v>64</v>
      </c>
      <c r="C109" s="22" t="s">
        <v>65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39</v>
      </c>
      <c r="B110" s="22" t="s">
        <v>64</v>
      </c>
      <c r="C110" s="22" t="s">
        <v>65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40</v>
      </c>
      <c r="B111" s="22" t="s">
        <v>64</v>
      </c>
      <c r="C111" s="22" t="s">
        <v>65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41</v>
      </c>
      <c r="B112" s="22" t="s">
        <v>64</v>
      </c>
      <c r="C112" s="22" t="s">
        <v>65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43</v>
      </c>
      <c r="B113" s="22" t="s">
        <v>64</v>
      </c>
      <c r="C113" s="22" t="s">
        <v>65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44</v>
      </c>
      <c r="B114" s="22" t="s">
        <v>64</v>
      </c>
      <c r="C114" s="22" t="s">
        <v>65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45</v>
      </c>
      <c r="B115" s="22" t="s">
        <v>64</v>
      </c>
      <c r="C115" s="22" t="s">
        <v>65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46</v>
      </c>
      <c r="B116" s="22" t="s">
        <v>64</v>
      </c>
      <c r="C116" s="22" t="s">
        <v>65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47</v>
      </c>
      <c r="B117" s="22" t="s">
        <v>64</v>
      </c>
      <c r="C117" s="22" t="s">
        <v>65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48</v>
      </c>
      <c r="B118" s="22" t="s">
        <v>64</v>
      </c>
      <c r="C118" s="22" t="s">
        <v>65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49</v>
      </c>
      <c r="B119" s="22" t="s">
        <v>64</v>
      </c>
      <c r="C119" s="22" t="s">
        <v>65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50</v>
      </c>
      <c r="B120" s="22" t="s">
        <v>64</v>
      </c>
      <c r="C120" s="22" t="s">
        <v>65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51</v>
      </c>
      <c r="B121" s="22" t="s">
        <v>64</v>
      </c>
      <c r="C121" s="22" t="s">
        <v>65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52</v>
      </c>
      <c r="B122" s="22" t="s">
        <v>64</v>
      </c>
      <c r="C122" s="22" t="s">
        <v>65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53</v>
      </c>
      <c r="B123" s="22" t="s">
        <v>64</v>
      </c>
      <c r="C123" s="22" t="s">
        <v>65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54</v>
      </c>
      <c r="B124" s="22" t="s">
        <v>64</v>
      </c>
      <c r="C124" s="22" t="s">
        <v>65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55</v>
      </c>
      <c r="B125" s="22" t="s">
        <v>64</v>
      </c>
      <c r="C125" s="22" t="s">
        <v>65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56</v>
      </c>
      <c r="B126" s="22" t="s">
        <v>64</v>
      </c>
      <c r="C126" s="22" t="s">
        <v>65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57</v>
      </c>
      <c r="B127" s="22" t="s">
        <v>64</v>
      </c>
      <c r="C127" s="22" t="s">
        <v>65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58</v>
      </c>
      <c r="B128" s="22" t="s">
        <v>64</v>
      </c>
      <c r="C128" s="22" t="s">
        <v>65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59</v>
      </c>
      <c r="B129" s="22" t="s">
        <v>64</v>
      </c>
      <c r="C129" s="22" t="s">
        <v>65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26</v>
      </c>
      <c r="B130" s="22" t="s">
        <v>67</v>
      </c>
      <c r="C130" s="22" t="s">
        <v>68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29</v>
      </c>
      <c r="B131" s="22" t="s">
        <v>67</v>
      </c>
      <c r="C131" s="22" t="s">
        <v>68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30</v>
      </c>
      <c r="B132" s="22" t="s">
        <v>67</v>
      </c>
      <c r="C132" s="22" t="s">
        <v>68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31</v>
      </c>
      <c r="B133" s="22" t="s">
        <v>67</v>
      </c>
      <c r="C133" s="22" t="s">
        <v>68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32</v>
      </c>
      <c r="B134" s="22" t="s">
        <v>67</v>
      </c>
      <c r="C134" s="22" t="s">
        <v>68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33</v>
      </c>
      <c r="B135" s="22" t="s">
        <v>67</v>
      </c>
      <c r="C135" s="22" t="s">
        <v>68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34</v>
      </c>
      <c r="B136" s="22" t="s">
        <v>67</v>
      </c>
      <c r="C136" s="22" t="s">
        <v>68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35</v>
      </c>
      <c r="B137" s="22" t="s">
        <v>67</v>
      </c>
      <c r="C137" s="22" t="s">
        <v>68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36</v>
      </c>
      <c r="B138" s="22" t="s">
        <v>67</v>
      </c>
      <c r="C138" s="22" t="s">
        <v>68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37</v>
      </c>
      <c r="B139" s="22" t="s">
        <v>67</v>
      </c>
      <c r="C139" s="22" t="s">
        <v>68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39</v>
      </c>
      <c r="B140" s="22" t="s">
        <v>67</v>
      </c>
      <c r="C140" s="22" t="s">
        <v>68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40</v>
      </c>
      <c r="B141" s="22" t="s">
        <v>67</v>
      </c>
      <c r="C141" s="22" t="s">
        <v>68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41</v>
      </c>
      <c r="B142" s="22" t="s">
        <v>67</v>
      </c>
      <c r="C142" s="22" t="s">
        <v>68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43</v>
      </c>
      <c r="B143" s="22" t="s">
        <v>67</v>
      </c>
      <c r="C143" s="22" t="s">
        <v>68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44</v>
      </c>
      <c r="B144" s="22" t="s">
        <v>67</v>
      </c>
      <c r="C144" s="22" t="s">
        <v>68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45</v>
      </c>
      <c r="B145" s="22" t="s">
        <v>67</v>
      </c>
      <c r="C145" s="22" t="s">
        <v>68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46</v>
      </c>
      <c r="B146" s="22" t="s">
        <v>67</v>
      </c>
      <c r="C146" s="22" t="s">
        <v>68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47</v>
      </c>
      <c r="B147" s="22" t="s">
        <v>67</v>
      </c>
      <c r="C147" s="22" t="s">
        <v>68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48</v>
      </c>
      <c r="B148" s="22" t="s">
        <v>67</v>
      </c>
      <c r="C148" s="22" t="s">
        <v>68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49</v>
      </c>
      <c r="B149" s="22" t="s">
        <v>67</v>
      </c>
      <c r="C149" s="22" t="s">
        <v>68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50</v>
      </c>
      <c r="B150" s="22" t="s">
        <v>67</v>
      </c>
      <c r="C150" s="22" t="s">
        <v>68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51</v>
      </c>
      <c r="B151" s="22" t="s">
        <v>67</v>
      </c>
      <c r="C151" s="22" t="s">
        <v>68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52</v>
      </c>
      <c r="B152" s="22" t="s">
        <v>67</v>
      </c>
      <c r="C152" s="22" t="s">
        <v>68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53</v>
      </c>
      <c r="B153" s="22" t="s">
        <v>67</v>
      </c>
      <c r="C153" s="22" t="s">
        <v>68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54</v>
      </c>
      <c r="B154" s="22" t="s">
        <v>67</v>
      </c>
      <c r="C154" s="22" t="s">
        <v>68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55</v>
      </c>
      <c r="B155" s="22" t="s">
        <v>67</v>
      </c>
      <c r="C155" s="22" t="s">
        <v>68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56</v>
      </c>
      <c r="B156" s="22" t="s">
        <v>67</v>
      </c>
      <c r="C156" s="22" t="s">
        <v>68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57</v>
      </c>
      <c r="B157" s="22" t="s">
        <v>67</v>
      </c>
      <c r="C157" s="22" t="s">
        <v>68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58</v>
      </c>
      <c r="B158" s="22" t="s">
        <v>67</v>
      </c>
      <c r="C158" s="22" t="s">
        <v>68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59</v>
      </c>
      <c r="B159" s="22" t="s">
        <v>67</v>
      </c>
      <c r="C159" s="22" t="s">
        <v>68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26</v>
      </c>
      <c r="B160" s="22" t="s">
        <v>69</v>
      </c>
      <c r="C160" s="22" t="s">
        <v>70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29</v>
      </c>
      <c r="B161" s="22" t="s">
        <v>69</v>
      </c>
      <c r="C161" s="22" t="s">
        <v>70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30</v>
      </c>
      <c r="B162" s="22" t="s">
        <v>69</v>
      </c>
      <c r="C162" s="22" t="s">
        <v>70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31</v>
      </c>
      <c r="B163" s="22" t="s">
        <v>69</v>
      </c>
      <c r="C163" s="22" t="s">
        <v>70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32</v>
      </c>
      <c r="B164" s="22" t="s">
        <v>69</v>
      </c>
      <c r="C164" s="22" t="s">
        <v>70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33</v>
      </c>
      <c r="B165" s="22" t="s">
        <v>69</v>
      </c>
      <c r="C165" s="22" t="s">
        <v>70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34</v>
      </c>
      <c r="B166" s="22" t="s">
        <v>69</v>
      </c>
      <c r="C166" s="22" t="s">
        <v>70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35</v>
      </c>
      <c r="B167" s="22" t="s">
        <v>69</v>
      </c>
      <c r="C167" s="22" t="s">
        <v>70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36</v>
      </c>
      <c r="B168" s="22" t="s">
        <v>69</v>
      </c>
      <c r="C168" s="22" t="s">
        <v>70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37</v>
      </c>
      <c r="B169" s="22" t="s">
        <v>69</v>
      </c>
      <c r="C169" s="22" t="s">
        <v>70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39</v>
      </c>
      <c r="B170" s="22" t="s">
        <v>69</v>
      </c>
      <c r="C170" s="22" t="s">
        <v>70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40</v>
      </c>
      <c r="B171" s="22" t="s">
        <v>69</v>
      </c>
      <c r="C171" s="22" t="s">
        <v>70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41</v>
      </c>
      <c r="B172" s="22" t="s">
        <v>69</v>
      </c>
      <c r="C172" s="22" t="s">
        <v>70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43</v>
      </c>
      <c r="B173" s="22" t="s">
        <v>69</v>
      </c>
      <c r="C173" s="22" t="s">
        <v>70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44</v>
      </c>
      <c r="B174" s="22" t="s">
        <v>69</v>
      </c>
      <c r="C174" s="22" t="s">
        <v>70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45</v>
      </c>
      <c r="B175" s="22" t="s">
        <v>69</v>
      </c>
      <c r="C175" s="22" t="s">
        <v>70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46</v>
      </c>
      <c r="B176" s="22" t="s">
        <v>69</v>
      </c>
      <c r="C176" s="22" t="s">
        <v>70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47</v>
      </c>
      <c r="B177" s="22" t="s">
        <v>69</v>
      </c>
      <c r="C177" s="22" t="s">
        <v>70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48</v>
      </c>
      <c r="B178" s="22" t="s">
        <v>69</v>
      </c>
      <c r="C178" s="22" t="s">
        <v>70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49</v>
      </c>
      <c r="B179" s="22" t="s">
        <v>69</v>
      </c>
      <c r="C179" s="22" t="s">
        <v>70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50</v>
      </c>
      <c r="B180" s="22" t="s">
        <v>69</v>
      </c>
      <c r="C180" s="22" t="s">
        <v>70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51</v>
      </c>
      <c r="B181" s="22" t="s">
        <v>69</v>
      </c>
      <c r="C181" s="22" t="s">
        <v>70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52</v>
      </c>
      <c r="B182" s="22" t="s">
        <v>69</v>
      </c>
      <c r="C182" s="22" t="s">
        <v>70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53</v>
      </c>
      <c r="B183" s="22" t="s">
        <v>69</v>
      </c>
      <c r="C183" s="22" t="s">
        <v>70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54</v>
      </c>
      <c r="B184" s="22" t="s">
        <v>69</v>
      </c>
      <c r="C184" s="22" t="s">
        <v>70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55</v>
      </c>
      <c r="B185" s="22" t="s">
        <v>69</v>
      </c>
      <c r="C185" s="22" t="s">
        <v>70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56</v>
      </c>
      <c r="B186" s="22" t="s">
        <v>69</v>
      </c>
      <c r="C186" s="22" t="s">
        <v>70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57</v>
      </c>
      <c r="B187" s="22" t="s">
        <v>69</v>
      </c>
      <c r="C187" s="22" t="s">
        <v>70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58</v>
      </c>
      <c r="B188" s="22" t="s">
        <v>69</v>
      </c>
      <c r="C188" s="22" t="s">
        <v>70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59</v>
      </c>
      <c r="B189" s="22" t="s">
        <v>69</v>
      </c>
      <c r="C189" s="22" t="s">
        <v>70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