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<sst xmlns="http://schemas.openxmlformats.org/spreadsheetml/2006/main" count="698" uniqueCount="72">
  <si>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</si>
  <si>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</si>
  <si>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</si>
  <si>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</si>
  <si>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</si>
  <si>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</si>
  <si>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</si>
  <si>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</si>
  <si>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</si>
  <si>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</si>
  <si>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</si>
  <si>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</si>
  <si>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</si>
  <si>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</si>
  <si>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</si>
  <si>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</si>
  <si>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</si>
  <si>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</si>
  <si>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</si>
  <si>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</si>
  <si>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</si>
  <si>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</si>
  <si>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</si>
  <si>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</si>
  <si>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</si>
  <si>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</si>
  <si>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7.1</t>
  </si>
  <si>
    <t>日経225オプション</t>
  </si>
  <si>
    <t>Nikkei 225 Options</t>
  </si>
  <si>
    <t>2</t>
  </si>
  <si>
    <t>3</t>
  </si>
  <si>
    <t>4</t>
  </si>
  <si>
    <t>5</t>
  </si>
  <si>
    <t>6</t>
  </si>
  <si>
    <t>7</t>
  </si>
  <si>
    <t>8</t>
  </si>
  <si>
    <t>●</t>
  </si>
  <si>
    <t>9</t>
  </si>
  <si>
    <t>10</t>
  </si>
  <si>
    <t>11</t>
  </si>
  <si>
    <t>◎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</si>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</sst>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95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30672</f>
        <v>30672.0</v>
      </c>
      <c r="F10" s="23"/>
      <c r="G10" s="25" t="n">
        <f>26673</f>
        <v>26673.0</v>
      </c>
      <c r="H10" s="23"/>
      <c r="I10" s="26" t="n">
        <f>57345</f>
        <v>57345.0</v>
      </c>
      <c r="J10" s="24"/>
      <c r="K10" s="25" t="n">
        <f>5297109547</f>
        <v>5.297109547E9</v>
      </c>
      <c r="L10" s="23"/>
      <c r="M10" s="25" t="n">
        <f>7938516638</f>
        <v>7.938516638E9</v>
      </c>
      <c r="N10" s="23"/>
      <c r="O10" s="26" t="n">
        <f>13235626185</f>
        <v>1.3235626185E10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5295</f>
        <v>5295.0</v>
      </c>
      <c r="U10" s="23"/>
      <c r="V10" s="25" t="n">
        <f>7339</f>
        <v>7339.0</v>
      </c>
      <c r="W10" s="23"/>
      <c r="X10" s="26" t="n">
        <f>12634</f>
        <v>12634.0</v>
      </c>
      <c r="Y10" s="24"/>
      <c r="Z10" s="25" t="n">
        <f>635845</f>
        <v>635845.0</v>
      </c>
      <c r="AA10" s="23"/>
      <c r="AB10" s="25" t="n">
        <f>378730</f>
        <v>378730.0</v>
      </c>
      <c r="AC10" s="23"/>
      <c r="AD10" s="26" t="n">
        <f>1014575</f>
        <v>1014575.0</v>
      </c>
    </row>
    <row r="11">
      <c r="A11" s="30" t="s">
        <v>29</v>
      </c>
      <c r="B11" s="22" t="s">
        <v>27</v>
      </c>
      <c r="C11" s="22" t="s">
        <v>28</v>
      </c>
      <c r="D11" s="24"/>
      <c r="E11" s="25" t="n">
        <f>40695</f>
        <v>40695.0</v>
      </c>
      <c r="F11" s="23"/>
      <c r="G11" s="25" t="n">
        <f>39069</f>
        <v>39069.0</v>
      </c>
      <c r="H11" s="23"/>
      <c r="I11" s="26" t="n">
        <f>79764</f>
        <v>79764.0</v>
      </c>
      <c r="J11" s="24"/>
      <c r="K11" s="25" t="n">
        <f>7646861662</f>
        <v>7.646861662E9</v>
      </c>
      <c r="L11" s="23"/>
      <c r="M11" s="25" t="n">
        <f>11748707816</f>
        <v>1.1748707816E10</v>
      </c>
      <c r="N11" s="23"/>
      <c r="O11" s="26" t="n">
        <f>19395569478</f>
        <v>1.9395569478E10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10952</f>
        <v>10952.0</v>
      </c>
      <c r="U11" s="23"/>
      <c r="V11" s="25" t="n">
        <f>8394</f>
        <v>8394.0</v>
      </c>
      <c r="W11" s="23"/>
      <c r="X11" s="26" t="n">
        <f>19346</f>
        <v>19346.0</v>
      </c>
      <c r="Y11" s="24"/>
      <c r="Z11" s="25" t="n">
        <f>641286</f>
        <v>641286.0</v>
      </c>
      <c r="AA11" s="23"/>
      <c r="AB11" s="25" t="n">
        <f>385082</f>
        <v>385082.0</v>
      </c>
      <c r="AC11" s="23"/>
      <c r="AD11" s="26" t="n">
        <f>1026368</f>
        <v>1026368.0</v>
      </c>
    </row>
    <row r="12">
      <c r="A12" s="30" t="s">
        <v>30</v>
      </c>
      <c r="B12" s="22" t="s">
        <v>27</v>
      </c>
      <c r="C12" s="22" t="s">
        <v>28</v>
      </c>
      <c r="D12" s="24"/>
      <c r="E12" s="25" t="n">
        <f>50279</f>
        <v>50279.0</v>
      </c>
      <c r="F12" s="23"/>
      <c r="G12" s="25" t="n">
        <f>55865</f>
        <v>55865.0</v>
      </c>
      <c r="H12" s="23"/>
      <c r="I12" s="26" t="n">
        <f>106144</f>
        <v>106144.0</v>
      </c>
      <c r="J12" s="24"/>
      <c r="K12" s="25" t="n">
        <f>7398849550</f>
        <v>7.39884955E9</v>
      </c>
      <c r="L12" s="23"/>
      <c r="M12" s="25" t="n">
        <f>16932485640</f>
        <v>1.693248564E10</v>
      </c>
      <c r="N12" s="23"/>
      <c r="O12" s="26" t="n">
        <f>24331335190</f>
        <v>2.433133519E10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4"/>
      <c r="T12" s="25" t="n">
        <f>9711</f>
        <v>9711.0</v>
      </c>
      <c r="U12" s="23"/>
      <c r="V12" s="25" t="n">
        <f>14517</f>
        <v>14517.0</v>
      </c>
      <c r="W12" s="23"/>
      <c r="X12" s="26" t="n">
        <f>24228</f>
        <v>24228.0</v>
      </c>
      <c r="Y12" s="24"/>
      <c r="Z12" s="25" t="n">
        <f>647115</f>
        <v>647115.0</v>
      </c>
      <c r="AA12" s="23"/>
      <c r="AB12" s="25" t="n">
        <f>390548</f>
        <v>390548.0</v>
      </c>
      <c r="AC12" s="23"/>
      <c r="AD12" s="26" t="n">
        <f>1037663</f>
        <v>1037663.0</v>
      </c>
    </row>
    <row r="13">
      <c r="A13" s="30" t="s">
        <v>31</v>
      </c>
      <c r="B13" s="22" t="s">
        <v>27</v>
      </c>
      <c r="C13" s="22" t="s">
        <v>28</v>
      </c>
      <c r="D13" s="24"/>
      <c r="E13" s="25" t="n">
        <f>44077</f>
        <v>44077.0</v>
      </c>
      <c r="F13" s="23"/>
      <c r="G13" s="25" t="n">
        <f>46120</f>
        <v>46120.0</v>
      </c>
      <c r="H13" s="23"/>
      <c r="I13" s="26" t="n">
        <f>90197</f>
        <v>90197.0</v>
      </c>
      <c r="J13" s="24"/>
      <c r="K13" s="25" t="n">
        <f>8897377835</f>
        <v>8.897377835E9</v>
      </c>
      <c r="L13" s="23"/>
      <c r="M13" s="25" t="n">
        <f>15399407235</f>
        <v>1.5399407235E10</v>
      </c>
      <c r="N13" s="23"/>
      <c r="O13" s="26" t="n">
        <f>24296785070</f>
        <v>2.429678507E10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10620</f>
        <v>10620.0</v>
      </c>
      <c r="U13" s="23"/>
      <c r="V13" s="25" t="n">
        <f>13243</f>
        <v>13243.0</v>
      </c>
      <c r="W13" s="23"/>
      <c r="X13" s="26" t="n">
        <f>23863</f>
        <v>23863.0</v>
      </c>
      <c r="Y13" s="24"/>
      <c r="Z13" s="25" t="n">
        <f>656358</f>
        <v>656358.0</v>
      </c>
      <c r="AA13" s="23"/>
      <c r="AB13" s="25" t="n">
        <f>396806</f>
        <v>396806.0</v>
      </c>
      <c r="AC13" s="23"/>
      <c r="AD13" s="26" t="n">
        <f>1053164</f>
        <v>1053164.0</v>
      </c>
    </row>
    <row r="14">
      <c r="A14" s="30" t="s">
        <v>32</v>
      </c>
      <c r="B14" s="22" t="s">
        <v>27</v>
      </c>
      <c r="C14" s="22" t="s">
        <v>28</v>
      </c>
      <c r="D14" s="24"/>
      <c r="E14" s="25" t="n">
        <f>36611</f>
        <v>36611.0</v>
      </c>
      <c r="F14" s="23"/>
      <c r="G14" s="25" t="n">
        <f>35601</f>
        <v>35601.0</v>
      </c>
      <c r="H14" s="23"/>
      <c r="I14" s="26" t="n">
        <f>72212</f>
        <v>72212.0</v>
      </c>
      <c r="J14" s="24"/>
      <c r="K14" s="25" t="n">
        <f>10557006342</f>
        <v>1.0557006342E10</v>
      </c>
      <c r="L14" s="23"/>
      <c r="M14" s="25" t="n">
        <f>13703253370</f>
        <v>1.370325337E10</v>
      </c>
      <c r="N14" s="23"/>
      <c r="O14" s="26" t="n">
        <f>24260259712</f>
        <v>2.4260259712E10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7762</f>
        <v>7762.0</v>
      </c>
      <c r="U14" s="23"/>
      <c r="V14" s="25" t="n">
        <f>8338</f>
        <v>8338.0</v>
      </c>
      <c r="W14" s="23"/>
      <c r="X14" s="26" t="n">
        <f>16100</f>
        <v>16100.0</v>
      </c>
      <c r="Y14" s="24"/>
      <c r="Z14" s="25" t="n">
        <f>664402</f>
        <v>664402.0</v>
      </c>
      <c r="AA14" s="23"/>
      <c r="AB14" s="25" t="n">
        <f>403964</f>
        <v>403964.0</v>
      </c>
      <c r="AC14" s="23"/>
      <c r="AD14" s="26" t="n">
        <f>1068366</f>
        <v>1068366.0</v>
      </c>
    </row>
    <row r="15">
      <c r="A15" s="30" t="s">
        <v>33</v>
      </c>
      <c r="B15" s="22" t="s">
        <v>27</v>
      </c>
      <c r="C15" s="22" t="s">
        <v>28</v>
      </c>
      <c r="D15" s="24"/>
      <c r="E15" s="25"/>
      <c r="F15" s="23"/>
      <c r="G15" s="25"/>
      <c r="H15" s="23"/>
      <c r="I15" s="26"/>
      <c r="J15" s="24"/>
      <c r="K15" s="25"/>
      <c r="L15" s="23"/>
      <c r="M15" s="25"/>
      <c r="N15" s="23"/>
      <c r="O15" s="26"/>
      <c r="P15" s="27"/>
      <c r="Q15" s="28"/>
      <c r="R15" s="29"/>
      <c r="S15" s="24"/>
      <c r="T15" s="25"/>
      <c r="U15" s="23"/>
      <c r="V15" s="25"/>
      <c r="W15" s="23"/>
      <c r="X15" s="26"/>
      <c r="Y15" s="24"/>
      <c r="Z15" s="25"/>
      <c r="AA15" s="23"/>
      <c r="AB15" s="25"/>
      <c r="AC15" s="23"/>
      <c r="AD15" s="26"/>
    </row>
    <row r="16">
      <c r="A16" s="30" t="s">
        <v>34</v>
      </c>
      <c r="B16" s="22" t="s">
        <v>27</v>
      </c>
      <c r="C16" s="22" t="s">
        <v>28</v>
      </c>
      <c r="D16" s="24"/>
      <c r="E16" s="25"/>
      <c r="F16" s="23"/>
      <c r="G16" s="25"/>
      <c r="H16" s="23"/>
      <c r="I16" s="26"/>
      <c r="J16" s="24"/>
      <c r="K16" s="25"/>
      <c r="L16" s="23"/>
      <c r="M16" s="25"/>
      <c r="N16" s="23"/>
      <c r="O16" s="26"/>
      <c r="P16" s="27"/>
      <c r="Q16" s="28"/>
      <c r="R16" s="29"/>
      <c r="S16" s="24"/>
      <c r="T16" s="25"/>
      <c r="U16" s="23"/>
      <c r="V16" s="25"/>
      <c r="W16" s="23"/>
      <c r="X16" s="26"/>
      <c r="Y16" s="24"/>
      <c r="Z16" s="25"/>
      <c r="AA16" s="23"/>
      <c r="AB16" s="25"/>
      <c r="AC16" s="23"/>
      <c r="AD16" s="26"/>
    </row>
    <row r="17">
      <c r="A17" s="30" t="s">
        <v>35</v>
      </c>
      <c r="B17" s="22" t="s">
        <v>27</v>
      </c>
      <c r="C17" s="22" t="s">
        <v>28</v>
      </c>
      <c r="D17" s="24"/>
      <c r="E17" s="25" t="n">
        <f>32162</f>
        <v>32162.0</v>
      </c>
      <c r="F17" s="23"/>
      <c r="G17" s="25" t="n">
        <f>21545</f>
        <v>21545.0</v>
      </c>
      <c r="H17" s="23"/>
      <c r="I17" s="26" t="n">
        <f>53707</f>
        <v>53707.0</v>
      </c>
      <c r="J17" s="24" t="s">
        <v>36</v>
      </c>
      <c r="K17" s="25" t="n">
        <f>3091509130</f>
        <v>3.09150913E9</v>
      </c>
      <c r="L17" s="23" t="s">
        <v>36</v>
      </c>
      <c r="M17" s="25" t="n">
        <f>3490792857</f>
        <v>3.490792857E9</v>
      </c>
      <c r="N17" s="23" t="s">
        <v>36</v>
      </c>
      <c r="O17" s="26" t="n">
        <f>6582301987</f>
        <v>6.582301987E9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4"/>
      <c r="T17" s="25" t="n">
        <f>5485</f>
        <v>5485.0</v>
      </c>
      <c r="U17" s="23"/>
      <c r="V17" s="25" t="n">
        <f>5005</f>
        <v>5005.0</v>
      </c>
      <c r="W17" s="23"/>
      <c r="X17" s="26" t="n">
        <f>10490</f>
        <v>10490.0</v>
      </c>
      <c r="Y17" s="24"/>
      <c r="Z17" s="25" t="n">
        <f>669439</f>
        <v>669439.0</v>
      </c>
      <c r="AA17" s="23"/>
      <c r="AB17" s="25" t="n">
        <f>403884</f>
        <v>403884.0</v>
      </c>
      <c r="AC17" s="23"/>
      <c r="AD17" s="26" t="n">
        <f>1073323</f>
        <v>1073323.0</v>
      </c>
    </row>
    <row r="18">
      <c r="A18" s="30" t="s">
        <v>37</v>
      </c>
      <c r="B18" s="22" t="s">
        <v>27</v>
      </c>
      <c r="C18" s="22" t="s">
        <v>28</v>
      </c>
      <c r="D18" s="24"/>
      <c r="E18" s="25" t="n">
        <f>56882</f>
        <v>56882.0</v>
      </c>
      <c r="F18" s="23"/>
      <c r="G18" s="25" t="n">
        <f>53991</f>
        <v>53991.0</v>
      </c>
      <c r="H18" s="23"/>
      <c r="I18" s="26" t="n">
        <f>110873</f>
        <v>110873.0</v>
      </c>
      <c r="J18" s="24"/>
      <c r="K18" s="25" t="n">
        <f>13424703900</f>
        <v>1.34247039E10</v>
      </c>
      <c r="L18" s="23"/>
      <c r="M18" s="25" t="n">
        <f>25630823047</f>
        <v>2.5630823047E10</v>
      </c>
      <c r="N18" s="23"/>
      <c r="O18" s="26" t="n">
        <f>39055526947</f>
        <v>3.9055526947E10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11703</f>
        <v>11703.0</v>
      </c>
      <c r="U18" s="23"/>
      <c r="V18" s="25" t="n">
        <f>15510</f>
        <v>15510.0</v>
      </c>
      <c r="W18" s="23"/>
      <c r="X18" s="26" t="n">
        <f>27213</f>
        <v>27213.0</v>
      </c>
      <c r="Y18" s="24"/>
      <c r="Z18" s="25" t="n">
        <f>678167</f>
        <v>678167.0</v>
      </c>
      <c r="AA18" s="23"/>
      <c r="AB18" s="25" t="n">
        <f>403529</f>
        <v>403529.0</v>
      </c>
      <c r="AC18" s="23"/>
      <c r="AD18" s="26" t="n">
        <f>1081696</f>
        <v>1081696.0</v>
      </c>
    </row>
    <row r="19">
      <c r="A19" s="30" t="s">
        <v>38</v>
      </c>
      <c r="B19" s="22" t="s">
        <v>27</v>
      </c>
      <c r="C19" s="22" t="s">
        <v>28</v>
      </c>
      <c r="D19" s="24"/>
      <c r="E19" s="25" t="n">
        <f>51228</f>
        <v>51228.0</v>
      </c>
      <c r="F19" s="23"/>
      <c r="G19" s="25" t="n">
        <f>46762</f>
        <v>46762.0</v>
      </c>
      <c r="H19" s="23"/>
      <c r="I19" s="26" t="n">
        <f>97990</f>
        <v>97990.0</v>
      </c>
      <c r="J19" s="24"/>
      <c r="K19" s="25" t="n">
        <f>13667997620</f>
        <v>1.366799762E10</v>
      </c>
      <c r="L19" s="23"/>
      <c r="M19" s="25" t="n">
        <f>22519730142</f>
        <v>2.2519730142E10</v>
      </c>
      <c r="N19" s="23"/>
      <c r="O19" s="26" t="n">
        <f>36187727762</f>
        <v>3.6187727762E10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11306</f>
        <v>11306.0</v>
      </c>
      <c r="U19" s="23"/>
      <c r="V19" s="25" t="n">
        <f>12679</f>
        <v>12679.0</v>
      </c>
      <c r="W19" s="23"/>
      <c r="X19" s="26" t="n">
        <f>23985</f>
        <v>23985.0</v>
      </c>
      <c r="Y19" s="24"/>
      <c r="Z19" s="25" t="n">
        <f>689758</f>
        <v>689758.0</v>
      </c>
      <c r="AA19" s="23"/>
      <c r="AB19" s="25" t="n">
        <f>404909</f>
        <v>404909.0</v>
      </c>
      <c r="AC19" s="23"/>
      <c r="AD19" s="26" t="n">
        <f>1094667</f>
        <v>1094667.0</v>
      </c>
    </row>
    <row r="20">
      <c r="A20" s="30" t="s">
        <v>39</v>
      </c>
      <c r="B20" s="22" t="s">
        <v>27</v>
      </c>
      <c r="C20" s="22" t="s">
        <v>28</v>
      </c>
      <c r="D20" s="24"/>
      <c r="E20" s="25" t="n">
        <f>56056</f>
        <v>56056.0</v>
      </c>
      <c r="F20" s="23" t="s">
        <v>40</v>
      </c>
      <c r="G20" s="25" t="n">
        <f>76015</f>
        <v>76015.0</v>
      </c>
      <c r="H20" s="23" t="s">
        <v>40</v>
      </c>
      <c r="I20" s="26" t="n">
        <f>132071</f>
        <v>132071.0</v>
      </c>
      <c r="J20" s="24"/>
      <c r="K20" s="25" t="n">
        <f>15291179000</f>
        <v>1.5291179E10</v>
      </c>
      <c r="L20" s="23" t="s">
        <v>40</v>
      </c>
      <c r="M20" s="25" t="n">
        <f>29964319610</f>
        <v>2.996431961E10</v>
      </c>
      <c r="N20" s="23"/>
      <c r="O20" s="26" t="n">
        <f>45255498610</f>
        <v>4.525549861E10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15151</f>
        <v>15151.0</v>
      </c>
      <c r="U20" s="23" t="s">
        <v>40</v>
      </c>
      <c r="V20" s="25" t="n">
        <f>23718</f>
        <v>23718.0</v>
      </c>
      <c r="W20" s="23" t="s">
        <v>40</v>
      </c>
      <c r="X20" s="26" t="n">
        <f>38869</f>
        <v>38869.0</v>
      </c>
      <c r="Y20" s="24" t="s">
        <v>40</v>
      </c>
      <c r="Z20" s="25" t="n">
        <f>702189</f>
        <v>702189.0</v>
      </c>
      <c r="AA20" s="23"/>
      <c r="AB20" s="25" t="n">
        <f>418022</f>
        <v>418022.0</v>
      </c>
      <c r="AC20" s="23" t="s">
        <v>40</v>
      </c>
      <c r="AD20" s="26" t="n">
        <f>1120211</f>
        <v>1120211.0</v>
      </c>
    </row>
    <row r="21">
      <c r="A21" s="30" t="s">
        <v>41</v>
      </c>
      <c r="B21" s="22" t="s">
        <v>27</v>
      </c>
      <c r="C21" s="22" t="s">
        <v>28</v>
      </c>
      <c r="D21" s="24"/>
      <c r="E21" s="25" t="n">
        <f>40412</f>
        <v>40412.0</v>
      </c>
      <c r="F21" s="23"/>
      <c r="G21" s="25" t="n">
        <f>37253</f>
        <v>37253.0</v>
      </c>
      <c r="H21" s="23"/>
      <c r="I21" s="26" t="n">
        <f>77665</f>
        <v>77665.0</v>
      </c>
      <c r="J21" s="24"/>
      <c r="K21" s="25" t="n">
        <f>12437170626</f>
        <v>1.2437170626E10</v>
      </c>
      <c r="L21" s="23"/>
      <c r="M21" s="25" t="n">
        <f>15844894293</f>
        <v>1.5844894293E10</v>
      </c>
      <c r="N21" s="23"/>
      <c r="O21" s="26" t="n">
        <f>28282064919</f>
        <v>2.8282064919E10</v>
      </c>
      <c r="P21" s="27" t="n">
        <f>3350</f>
        <v>3350.0</v>
      </c>
      <c r="Q21" s="28" t="n">
        <f>38940</f>
        <v>38940.0</v>
      </c>
      <c r="R21" s="29" t="n">
        <f>42290</f>
        <v>42290.0</v>
      </c>
      <c r="S21" s="24"/>
      <c r="T21" s="25" t="n">
        <f>5305</f>
        <v>5305.0</v>
      </c>
      <c r="U21" s="23"/>
      <c r="V21" s="25" t="n">
        <f>12676</f>
        <v>12676.0</v>
      </c>
      <c r="W21" s="23"/>
      <c r="X21" s="26" t="n">
        <f>17981</f>
        <v>17981.0</v>
      </c>
      <c r="Y21" s="24" t="s">
        <v>36</v>
      </c>
      <c r="Z21" s="25" t="n">
        <f>598409</f>
        <v>598409.0</v>
      </c>
      <c r="AA21" s="23" t="s">
        <v>36</v>
      </c>
      <c r="AB21" s="25" t="n">
        <f>365995</f>
        <v>365995.0</v>
      </c>
      <c r="AC21" s="23" t="s">
        <v>36</v>
      </c>
      <c r="AD21" s="26" t="n">
        <f>964404</f>
        <v>964404.0</v>
      </c>
    </row>
    <row r="22">
      <c r="A22" s="30" t="s">
        <v>42</v>
      </c>
      <c r="B22" s="22" t="s">
        <v>27</v>
      </c>
      <c r="C22" s="22" t="s">
        <v>28</v>
      </c>
      <c r="D22" s="24"/>
      <c r="E22" s="25"/>
      <c r="F22" s="23"/>
      <c r="G22" s="25"/>
      <c r="H22" s="23"/>
      <c r="I22" s="26"/>
      <c r="J22" s="24"/>
      <c r="K22" s="25"/>
      <c r="L22" s="23"/>
      <c r="M22" s="25"/>
      <c r="N22" s="23"/>
      <c r="O22" s="26"/>
      <c r="P22" s="27"/>
      <c r="Q22" s="28"/>
      <c r="R22" s="29"/>
      <c r="S22" s="24"/>
      <c r="T22" s="25"/>
      <c r="U22" s="23"/>
      <c r="V22" s="25"/>
      <c r="W22" s="23"/>
      <c r="X22" s="26"/>
      <c r="Y22" s="24"/>
      <c r="Z22" s="25"/>
      <c r="AA22" s="23"/>
      <c r="AB22" s="25"/>
      <c r="AC22" s="23"/>
      <c r="AD22" s="26"/>
    </row>
    <row r="23">
      <c r="A23" s="30" t="s">
        <v>43</v>
      </c>
      <c r="B23" s="22" t="s">
        <v>27</v>
      </c>
      <c r="C23" s="22" t="s">
        <v>28</v>
      </c>
      <c r="D23" s="24"/>
      <c r="E23" s="25"/>
      <c r="F23" s="23"/>
      <c r="G23" s="25"/>
      <c r="H23" s="23"/>
      <c r="I23" s="26"/>
      <c r="J23" s="24"/>
      <c r="K23" s="25"/>
      <c r="L23" s="23"/>
      <c r="M23" s="25"/>
      <c r="N23" s="23"/>
      <c r="O23" s="26"/>
      <c r="P23" s="27"/>
      <c r="Q23" s="28"/>
      <c r="R23" s="29"/>
      <c r="S23" s="24"/>
      <c r="T23" s="25"/>
      <c r="U23" s="23"/>
      <c r="V23" s="25"/>
      <c r="W23" s="23"/>
      <c r="X23" s="26"/>
      <c r="Y23" s="24"/>
      <c r="Z23" s="25"/>
      <c r="AA23" s="23"/>
      <c r="AB23" s="25"/>
      <c r="AC23" s="23"/>
      <c r="AD23" s="26"/>
    </row>
    <row r="24">
      <c r="A24" s="30" t="s">
        <v>44</v>
      </c>
      <c r="B24" s="22" t="s">
        <v>27</v>
      </c>
      <c r="C24" s="22" t="s">
        <v>28</v>
      </c>
      <c r="D24" s="24"/>
      <c r="E24" s="25"/>
      <c r="F24" s="23"/>
      <c r="G24" s="25"/>
      <c r="H24" s="23"/>
      <c r="I24" s="26"/>
      <c r="J24" s="24"/>
      <c r="K24" s="25"/>
      <c r="L24" s="23"/>
      <c r="M24" s="25"/>
      <c r="N24" s="23"/>
      <c r="O24" s="26"/>
      <c r="P24" s="27"/>
      <c r="Q24" s="28"/>
      <c r="R24" s="29"/>
      <c r="S24" s="24"/>
      <c r="T24" s="25"/>
      <c r="U24" s="23"/>
      <c r="V24" s="25"/>
      <c r="W24" s="23"/>
      <c r="X24" s="26"/>
      <c r="Y24" s="24"/>
      <c r="Z24" s="25"/>
      <c r="AA24" s="23"/>
      <c r="AB24" s="25"/>
      <c r="AC24" s="23"/>
      <c r="AD24" s="26"/>
    </row>
    <row r="25">
      <c r="A25" s="30" t="s">
        <v>45</v>
      </c>
      <c r="B25" s="22" t="s">
        <v>27</v>
      </c>
      <c r="C25" s="22" t="s">
        <v>28</v>
      </c>
      <c r="D25" s="24"/>
      <c r="E25" s="25" t="n">
        <f>37427</f>
        <v>37427.0</v>
      </c>
      <c r="F25" s="23"/>
      <c r="G25" s="25" t="n">
        <f>22099</f>
        <v>22099.0</v>
      </c>
      <c r="H25" s="23"/>
      <c r="I25" s="26" t="n">
        <f>59526</f>
        <v>59526.0</v>
      </c>
      <c r="J25" s="24"/>
      <c r="K25" s="25" t="n">
        <f>9215068030</f>
        <v>9.21506803E9</v>
      </c>
      <c r="L25" s="23"/>
      <c r="M25" s="25" t="n">
        <f>5309083710</f>
        <v>5.30908371E9</v>
      </c>
      <c r="N25" s="23"/>
      <c r="O25" s="26" t="n">
        <f>14524151740</f>
        <v>1.452415174E10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6917</f>
        <v>6917.0</v>
      </c>
      <c r="U25" s="23"/>
      <c r="V25" s="25" t="n">
        <f>4524</f>
        <v>4524.0</v>
      </c>
      <c r="W25" s="23"/>
      <c r="X25" s="26" t="n">
        <f>11441</f>
        <v>11441.0</v>
      </c>
      <c r="Y25" s="24"/>
      <c r="Z25" s="25" t="n">
        <f>608594</f>
        <v>608594.0</v>
      </c>
      <c r="AA25" s="23"/>
      <c r="AB25" s="25" t="n">
        <f>369303</f>
        <v>369303.0</v>
      </c>
      <c r="AC25" s="23"/>
      <c r="AD25" s="26" t="n">
        <f>977897</f>
        <v>977897.0</v>
      </c>
    </row>
    <row r="26">
      <c r="A26" s="30" t="s">
        <v>46</v>
      </c>
      <c r="B26" s="22" t="s">
        <v>27</v>
      </c>
      <c r="C26" s="22" t="s">
        <v>28</v>
      </c>
      <c r="D26" s="24"/>
      <c r="E26" s="25" t="n">
        <f>29314</f>
        <v>29314.0</v>
      </c>
      <c r="F26" s="23" t="s">
        <v>36</v>
      </c>
      <c r="G26" s="25" t="n">
        <f>20485</f>
        <v>20485.0</v>
      </c>
      <c r="H26" s="23" t="s">
        <v>36</v>
      </c>
      <c r="I26" s="26" t="n">
        <f>49799</f>
        <v>49799.0</v>
      </c>
      <c r="J26" s="24"/>
      <c r="K26" s="25" t="n">
        <f>9522268930</f>
        <v>9.52226893E9</v>
      </c>
      <c r="L26" s="23"/>
      <c r="M26" s="25" t="n">
        <f>6112035510</f>
        <v>6.11203551E9</v>
      </c>
      <c r="N26" s="23"/>
      <c r="O26" s="26" t="n">
        <f>15634304440</f>
        <v>1.563430444E10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 t="s">
        <v>36</v>
      </c>
      <c r="T26" s="25" t="n">
        <f>3579</f>
        <v>3579.0</v>
      </c>
      <c r="U26" s="23"/>
      <c r="V26" s="25" t="n">
        <f>4042</f>
        <v>4042.0</v>
      </c>
      <c r="W26" s="23" t="s">
        <v>36</v>
      </c>
      <c r="X26" s="26" t="n">
        <f>7621</f>
        <v>7621.0</v>
      </c>
      <c r="Y26" s="24"/>
      <c r="Z26" s="25" t="n">
        <f>616084</f>
        <v>616084.0</v>
      </c>
      <c r="AA26" s="23"/>
      <c r="AB26" s="25" t="n">
        <f>374414</f>
        <v>374414.0</v>
      </c>
      <c r="AC26" s="23"/>
      <c r="AD26" s="26" t="n">
        <f>990498</f>
        <v>990498.0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44162</f>
        <v>44162.0</v>
      </c>
      <c r="F27" s="23"/>
      <c r="G27" s="25" t="n">
        <f>35057</f>
        <v>35057.0</v>
      </c>
      <c r="H27" s="23"/>
      <c r="I27" s="26" t="n">
        <f>79219</f>
        <v>79219.0</v>
      </c>
      <c r="J27" s="24"/>
      <c r="K27" s="25" t="n">
        <f>11642973470</f>
        <v>1.164297347E10</v>
      </c>
      <c r="L27" s="23"/>
      <c r="M27" s="25" t="n">
        <f>6847752730</f>
        <v>6.84775273E9</v>
      </c>
      <c r="N27" s="23"/>
      <c r="O27" s="26" t="n">
        <f>18490726200</f>
        <v>1.84907262E10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6333</f>
        <v>6333.0</v>
      </c>
      <c r="U27" s="23"/>
      <c r="V27" s="25" t="n">
        <f>6440</f>
        <v>6440.0</v>
      </c>
      <c r="W27" s="23"/>
      <c r="X27" s="26" t="n">
        <f>12773</f>
        <v>12773.0</v>
      </c>
      <c r="Y27" s="24"/>
      <c r="Z27" s="25" t="n">
        <f>620720</f>
        <v>620720.0</v>
      </c>
      <c r="AA27" s="23"/>
      <c r="AB27" s="25" t="n">
        <f>378458</f>
        <v>378458.0</v>
      </c>
      <c r="AC27" s="23"/>
      <c r="AD27" s="26" t="n">
        <f>999178</f>
        <v>999178.0</v>
      </c>
    </row>
    <row r="28">
      <c r="A28" s="30" t="s">
        <v>48</v>
      </c>
      <c r="B28" s="22" t="s">
        <v>27</v>
      </c>
      <c r="C28" s="22" t="s">
        <v>28</v>
      </c>
      <c r="D28" s="24"/>
      <c r="E28" s="25" t="n">
        <f>32669</f>
        <v>32669.0</v>
      </c>
      <c r="F28" s="23"/>
      <c r="G28" s="25" t="n">
        <f>20746</f>
        <v>20746.0</v>
      </c>
      <c r="H28" s="23"/>
      <c r="I28" s="26" t="n">
        <f>53415</f>
        <v>53415.0</v>
      </c>
      <c r="J28" s="24"/>
      <c r="K28" s="25" t="n">
        <f>9905810904</f>
        <v>9.905810904E9</v>
      </c>
      <c r="L28" s="23"/>
      <c r="M28" s="25" t="n">
        <f>3878284310</f>
        <v>3.87828431E9</v>
      </c>
      <c r="N28" s="23"/>
      <c r="O28" s="26" t="n">
        <f>13784095214</f>
        <v>1.3784095214E10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7287</f>
        <v>7287.0</v>
      </c>
      <c r="U28" s="23" t="s">
        <v>36</v>
      </c>
      <c r="V28" s="25" t="n">
        <f>3769</f>
        <v>3769.0</v>
      </c>
      <c r="W28" s="23"/>
      <c r="X28" s="26" t="n">
        <f>11056</f>
        <v>11056.0</v>
      </c>
      <c r="Y28" s="24"/>
      <c r="Z28" s="25" t="n">
        <f>628817</f>
        <v>628817.0</v>
      </c>
      <c r="AA28" s="23"/>
      <c r="AB28" s="25" t="n">
        <f>383085</f>
        <v>383085.0</v>
      </c>
      <c r="AC28" s="23"/>
      <c r="AD28" s="26" t="n">
        <f>1011902</f>
        <v>1011902.0</v>
      </c>
    </row>
    <row r="29">
      <c r="A29" s="30" t="s">
        <v>49</v>
      </c>
      <c r="B29" s="22" t="s">
        <v>27</v>
      </c>
      <c r="C29" s="22" t="s">
        <v>28</v>
      </c>
      <c r="D29" s="24"/>
      <c r="E29" s="25"/>
      <c r="F29" s="23"/>
      <c r="G29" s="25"/>
      <c r="H29" s="23"/>
      <c r="I29" s="26"/>
      <c r="J29" s="24"/>
      <c r="K29" s="25"/>
      <c r="L29" s="23"/>
      <c r="M29" s="25"/>
      <c r="N29" s="23"/>
      <c r="O29" s="26"/>
      <c r="P29" s="27"/>
      <c r="Q29" s="28"/>
      <c r="R29" s="29"/>
      <c r="S29" s="24"/>
      <c r="T29" s="25"/>
      <c r="U29" s="23"/>
      <c r="V29" s="25"/>
      <c r="W29" s="23"/>
      <c r="X29" s="26"/>
      <c r="Y29" s="24"/>
      <c r="Z29" s="25"/>
      <c r="AA29" s="23"/>
      <c r="AB29" s="25"/>
      <c r="AC29" s="23"/>
      <c r="AD29" s="26"/>
    </row>
    <row r="30">
      <c r="A30" s="30" t="s">
        <v>50</v>
      </c>
      <c r="B30" s="22" t="s">
        <v>27</v>
      </c>
      <c r="C30" s="22" t="s">
        <v>28</v>
      </c>
      <c r="D30" s="24"/>
      <c r="E30" s="25"/>
      <c r="F30" s="23"/>
      <c r="G30" s="25"/>
      <c r="H30" s="23"/>
      <c r="I30" s="26"/>
      <c r="J30" s="24"/>
      <c r="K30" s="25"/>
      <c r="L30" s="23"/>
      <c r="M30" s="25"/>
      <c r="N30" s="23"/>
      <c r="O30" s="26"/>
      <c r="P30" s="27"/>
      <c r="Q30" s="28"/>
      <c r="R30" s="29"/>
      <c r="S30" s="24"/>
      <c r="T30" s="25"/>
      <c r="U30" s="23"/>
      <c r="V30" s="25"/>
      <c r="W30" s="23"/>
      <c r="X30" s="26"/>
      <c r="Y30" s="24"/>
      <c r="Z30" s="25"/>
      <c r="AA30" s="23"/>
      <c r="AB30" s="25"/>
      <c r="AC30" s="23"/>
      <c r="AD30" s="26"/>
    </row>
    <row r="31">
      <c r="A31" s="30" t="s">
        <v>51</v>
      </c>
      <c r="B31" s="22" t="s">
        <v>27</v>
      </c>
      <c r="C31" s="22" t="s">
        <v>28</v>
      </c>
      <c r="D31" s="24"/>
      <c r="E31" s="25" t="n">
        <f>38888</f>
        <v>38888.0</v>
      </c>
      <c r="F31" s="23"/>
      <c r="G31" s="25" t="n">
        <f>22565</f>
        <v>22565.0</v>
      </c>
      <c r="H31" s="23"/>
      <c r="I31" s="26" t="n">
        <f>61453</f>
        <v>61453.0</v>
      </c>
      <c r="J31" s="24"/>
      <c r="K31" s="25" t="n">
        <f>14062892010</f>
        <v>1.406289201E10</v>
      </c>
      <c r="L31" s="23"/>
      <c r="M31" s="25" t="n">
        <f>4406668060</f>
        <v>4.40666806E9</v>
      </c>
      <c r="N31" s="23"/>
      <c r="O31" s="26" t="n">
        <f>18469560070</f>
        <v>1.846956007E10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6294</f>
        <v>6294.0</v>
      </c>
      <c r="U31" s="23"/>
      <c r="V31" s="25" t="n">
        <f>3969</f>
        <v>3969.0</v>
      </c>
      <c r="W31" s="23"/>
      <c r="X31" s="26" t="n">
        <f>10263</f>
        <v>10263.0</v>
      </c>
      <c r="Y31" s="24"/>
      <c r="Z31" s="25" t="n">
        <f>632983</f>
        <v>632983.0</v>
      </c>
      <c r="AA31" s="23"/>
      <c r="AB31" s="25" t="n">
        <f>383614</f>
        <v>383614.0</v>
      </c>
      <c r="AC31" s="23"/>
      <c r="AD31" s="26" t="n">
        <f>1016597</f>
        <v>1016597.0</v>
      </c>
    </row>
    <row r="32">
      <c r="A32" s="30" t="s">
        <v>52</v>
      </c>
      <c r="B32" s="22" t="s">
        <v>27</v>
      </c>
      <c r="C32" s="22" t="s">
        <v>28</v>
      </c>
      <c r="D32" s="24"/>
      <c r="E32" s="25" t="n">
        <f>32130</f>
        <v>32130.0</v>
      </c>
      <c r="F32" s="23"/>
      <c r="G32" s="25" t="n">
        <f>21371</f>
        <v>21371.0</v>
      </c>
      <c r="H32" s="23"/>
      <c r="I32" s="26" t="n">
        <f>53501</f>
        <v>53501.0</v>
      </c>
      <c r="J32" s="24"/>
      <c r="K32" s="25" t="n">
        <f>11004661350</f>
        <v>1.100466135E10</v>
      </c>
      <c r="L32" s="23"/>
      <c r="M32" s="25" t="n">
        <f>6002134090</f>
        <v>6.00213409E9</v>
      </c>
      <c r="N32" s="23"/>
      <c r="O32" s="26" t="n">
        <f>17006795440</f>
        <v>1.700679544E10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/>
      <c r="T32" s="25" t="n">
        <f>4448</f>
        <v>4448.0</v>
      </c>
      <c r="U32" s="23"/>
      <c r="V32" s="25" t="n">
        <f>4662</f>
        <v>4662.0</v>
      </c>
      <c r="W32" s="23"/>
      <c r="X32" s="26" t="n">
        <f>9110</f>
        <v>9110.0</v>
      </c>
      <c r="Y32" s="24"/>
      <c r="Z32" s="25" t="n">
        <f>639598</f>
        <v>639598.0</v>
      </c>
      <c r="AA32" s="23"/>
      <c r="AB32" s="25" t="n">
        <f>386270</f>
        <v>386270.0</v>
      </c>
      <c r="AC32" s="23"/>
      <c r="AD32" s="26" t="n">
        <f>1025868</f>
        <v>1025868.0</v>
      </c>
    </row>
    <row r="33">
      <c r="A33" s="30" t="s">
        <v>53</v>
      </c>
      <c r="B33" s="22" t="s">
        <v>27</v>
      </c>
      <c r="C33" s="22" t="s">
        <v>28</v>
      </c>
      <c r="D33" s="24"/>
      <c r="E33" s="25" t="n">
        <f>30899</f>
        <v>30899.0</v>
      </c>
      <c r="F33" s="23"/>
      <c r="G33" s="25" t="n">
        <f>29058</f>
        <v>29058.0</v>
      </c>
      <c r="H33" s="23"/>
      <c r="I33" s="26" t="n">
        <f>59957</f>
        <v>59957.0</v>
      </c>
      <c r="J33" s="24"/>
      <c r="K33" s="25" t="n">
        <f>15646718480</f>
        <v>1.564671848E10</v>
      </c>
      <c r="L33" s="23"/>
      <c r="M33" s="25" t="n">
        <f>7159066400</f>
        <v>7.1590664E9</v>
      </c>
      <c r="N33" s="23"/>
      <c r="O33" s="26" t="n">
        <f>22805784880</f>
        <v>2.280578488E10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4789</f>
        <v>4789.0</v>
      </c>
      <c r="U33" s="23"/>
      <c r="V33" s="25" t="n">
        <f>4598</f>
        <v>4598.0</v>
      </c>
      <c r="W33" s="23"/>
      <c r="X33" s="26" t="n">
        <f>9387</f>
        <v>9387.0</v>
      </c>
      <c r="Y33" s="24"/>
      <c r="Z33" s="25" t="n">
        <f>646046</f>
        <v>646046.0</v>
      </c>
      <c r="AA33" s="23"/>
      <c r="AB33" s="25" t="n">
        <f>389684</f>
        <v>389684.0</v>
      </c>
      <c r="AC33" s="23"/>
      <c r="AD33" s="26" t="n">
        <f>1035730</f>
        <v>1035730.0</v>
      </c>
    </row>
    <row r="34">
      <c r="A34" s="30" t="s">
        <v>54</v>
      </c>
      <c r="B34" s="22" t="s">
        <v>27</v>
      </c>
      <c r="C34" s="22" t="s">
        <v>28</v>
      </c>
      <c r="D34" s="24" t="s">
        <v>40</v>
      </c>
      <c r="E34" s="25" t="n">
        <f>78543</f>
        <v>78543.0</v>
      </c>
      <c r="F34" s="23"/>
      <c r="G34" s="25" t="n">
        <f>51449</f>
        <v>51449.0</v>
      </c>
      <c r="H34" s="23"/>
      <c r="I34" s="26" t="n">
        <f>129992</f>
        <v>129992.0</v>
      </c>
      <c r="J34" s="24" t="s">
        <v>40</v>
      </c>
      <c r="K34" s="25" t="n">
        <f>34056565829</f>
        <v>3.4056565829E10</v>
      </c>
      <c r="L34" s="23"/>
      <c r="M34" s="25" t="n">
        <f>13873750360</f>
        <v>1.387375036E10</v>
      </c>
      <c r="N34" s="23" t="s">
        <v>40</v>
      </c>
      <c r="O34" s="26" t="n">
        <f>47930316189</f>
        <v>4.7930316189E10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14505</f>
        <v>14505.0</v>
      </c>
      <c r="U34" s="23"/>
      <c r="V34" s="25" t="n">
        <f>8713</f>
        <v>8713.0</v>
      </c>
      <c r="W34" s="23"/>
      <c r="X34" s="26" t="n">
        <f>23218</f>
        <v>23218.0</v>
      </c>
      <c r="Y34" s="24"/>
      <c r="Z34" s="25" t="n">
        <f>653014</f>
        <v>653014.0</v>
      </c>
      <c r="AA34" s="23"/>
      <c r="AB34" s="25" t="n">
        <f>399162</f>
        <v>399162.0</v>
      </c>
      <c r="AC34" s="23"/>
      <c r="AD34" s="26" t="n">
        <f>1052176</f>
        <v>1052176.0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68026</f>
        <v>68026.0</v>
      </c>
      <c r="F35" s="23"/>
      <c r="G35" s="25" t="n">
        <f>43096</f>
        <v>43096.0</v>
      </c>
      <c r="H35" s="23"/>
      <c r="I35" s="26" t="n">
        <f>111122</f>
        <v>111122.0</v>
      </c>
      <c r="J35" s="24"/>
      <c r="K35" s="25" t="n">
        <f>28091431860</f>
        <v>2.809143186E10</v>
      </c>
      <c r="L35" s="23"/>
      <c r="M35" s="25" t="n">
        <f>12038551252</f>
        <v>1.2038551252E10</v>
      </c>
      <c r="N35" s="23"/>
      <c r="O35" s="26" t="n">
        <f>40129983112</f>
        <v>4.0129983112E10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 t="s">
        <v>40</v>
      </c>
      <c r="T35" s="25" t="n">
        <f>15448</f>
        <v>15448.0</v>
      </c>
      <c r="U35" s="23"/>
      <c r="V35" s="25" t="n">
        <f>7802</f>
        <v>7802.0</v>
      </c>
      <c r="W35" s="23"/>
      <c r="X35" s="26" t="n">
        <f>23250</f>
        <v>23250.0</v>
      </c>
      <c r="Y35" s="24"/>
      <c r="Z35" s="25" t="n">
        <f>660554</f>
        <v>660554.0</v>
      </c>
      <c r="AA35" s="23"/>
      <c r="AB35" s="25" t="n">
        <f>408759</f>
        <v>408759.0</v>
      </c>
      <c r="AC35" s="23"/>
      <c r="AD35" s="26" t="n">
        <f>1069313</f>
        <v>1069313.0</v>
      </c>
    </row>
    <row r="36">
      <c r="A36" s="30" t="s">
        <v>56</v>
      </c>
      <c r="B36" s="22" t="s">
        <v>27</v>
      </c>
      <c r="C36" s="22" t="s">
        <v>28</v>
      </c>
      <c r="D36" s="24"/>
      <c r="E36" s="25"/>
      <c r="F36" s="23"/>
      <c r="G36" s="25"/>
      <c r="H36" s="23"/>
      <c r="I36" s="26"/>
      <c r="J36" s="24"/>
      <c r="K36" s="25"/>
      <c r="L36" s="23"/>
      <c r="M36" s="25"/>
      <c r="N36" s="23"/>
      <c r="O36" s="26"/>
      <c r="P36" s="27"/>
      <c r="Q36" s="28"/>
      <c r="R36" s="29"/>
      <c r="S36" s="24"/>
      <c r="T36" s="25"/>
      <c r="U36" s="23"/>
      <c r="V36" s="25"/>
      <c r="W36" s="23"/>
      <c r="X36" s="26"/>
      <c r="Y36" s="24"/>
      <c r="Z36" s="25"/>
      <c r="AA36" s="23"/>
      <c r="AB36" s="25"/>
      <c r="AC36" s="23"/>
      <c r="AD36" s="26"/>
    </row>
    <row r="37">
      <c r="A37" s="30" t="s">
        <v>57</v>
      </c>
      <c r="B37" s="22" t="s">
        <v>27</v>
      </c>
      <c r="C37" s="22" t="s">
        <v>28</v>
      </c>
      <c r="D37" s="24"/>
      <c r="E37" s="25"/>
      <c r="F37" s="23"/>
      <c r="G37" s="25"/>
      <c r="H37" s="23"/>
      <c r="I37" s="26"/>
      <c r="J37" s="24"/>
      <c r="K37" s="25"/>
      <c r="L37" s="23"/>
      <c r="M37" s="25"/>
      <c r="N37" s="23"/>
      <c r="O37" s="26"/>
      <c r="P37" s="27"/>
      <c r="Q37" s="28"/>
      <c r="R37" s="29"/>
      <c r="S37" s="24"/>
      <c r="T37" s="25"/>
      <c r="U37" s="23"/>
      <c r="V37" s="25"/>
      <c r="W37" s="23"/>
      <c r="X37" s="26"/>
      <c r="Y37" s="24"/>
      <c r="Z37" s="25"/>
      <c r="AA37" s="23"/>
      <c r="AB37" s="25"/>
      <c r="AC37" s="23"/>
      <c r="AD37" s="26"/>
    </row>
    <row r="38">
      <c r="A38" s="30" t="s">
        <v>58</v>
      </c>
      <c r="B38" s="22" t="s">
        <v>27</v>
      </c>
      <c r="C38" s="22" t="s">
        <v>28</v>
      </c>
      <c r="D38" s="24"/>
      <c r="E38" s="25" t="n">
        <f>37102</f>
        <v>37102.0</v>
      </c>
      <c r="F38" s="23"/>
      <c r="G38" s="25" t="n">
        <f>30526</f>
        <v>30526.0</v>
      </c>
      <c r="H38" s="23"/>
      <c r="I38" s="26" t="n">
        <f>67628</f>
        <v>67628.0</v>
      </c>
      <c r="J38" s="24"/>
      <c r="K38" s="25" t="n">
        <f>20578377814</f>
        <v>2.0578377814E10</v>
      </c>
      <c r="L38" s="23"/>
      <c r="M38" s="25" t="n">
        <f>16191450990</f>
        <v>1.619145099E10</v>
      </c>
      <c r="N38" s="23"/>
      <c r="O38" s="26" t="n">
        <f>36769828804</f>
        <v>3.6769828804E10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6790</f>
        <v>6790.0</v>
      </c>
      <c r="U38" s="23"/>
      <c r="V38" s="25" t="n">
        <f>5762</f>
        <v>5762.0</v>
      </c>
      <c r="W38" s="23"/>
      <c r="X38" s="26" t="n">
        <f>12552</f>
        <v>12552.0</v>
      </c>
      <c r="Y38" s="24"/>
      <c r="Z38" s="25" t="n">
        <f>666780</f>
        <v>666780.0</v>
      </c>
      <c r="AA38" s="23"/>
      <c r="AB38" s="25" t="n">
        <f>411990</f>
        <v>411990.0</v>
      </c>
      <c r="AC38" s="23"/>
      <c r="AD38" s="26" t="n">
        <f>1078770</f>
        <v>1078770.0</v>
      </c>
    </row>
    <row r="39">
      <c r="A39" s="30" t="s">
        <v>59</v>
      </c>
      <c r="B39" s="22" t="s">
        <v>27</v>
      </c>
      <c r="C39" s="22" t="s">
        <v>28</v>
      </c>
      <c r="D39" s="24" t="s">
        <v>36</v>
      </c>
      <c r="E39" s="25" t="n">
        <f>28360</f>
        <v>28360.0</v>
      </c>
      <c r="F39" s="23"/>
      <c r="G39" s="25" t="n">
        <f>29040</f>
        <v>29040.0</v>
      </c>
      <c r="H39" s="23"/>
      <c r="I39" s="26" t="n">
        <f>57400</f>
        <v>57400.0</v>
      </c>
      <c r="J39" s="24"/>
      <c r="K39" s="25" t="n">
        <f>13779622172</f>
        <v>1.3779622172E10</v>
      </c>
      <c r="L39" s="23"/>
      <c r="M39" s="25" t="n">
        <f>9474515450</f>
        <v>9.47451545E9</v>
      </c>
      <c r="N39" s="23"/>
      <c r="O39" s="26" t="n">
        <f>23254137622</f>
        <v>2.3254137622E10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5784</f>
        <v>5784.0</v>
      </c>
      <c r="U39" s="23"/>
      <c r="V39" s="25" t="n">
        <f>7373</f>
        <v>7373.0</v>
      </c>
      <c r="W39" s="23"/>
      <c r="X39" s="26" t="n">
        <f>13157</f>
        <v>13157.0</v>
      </c>
      <c r="Y39" s="24"/>
      <c r="Z39" s="25" t="n">
        <f>674163</f>
        <v>674163.0</v>
      </c>
      <c r="AA39" s="23"/>
      <c r="AB39" s="25" t="n">
        <f>416712</f>
        <v>416712.0</v>
      </c>
      <c r="AC39" s="23"/>
      <c r="AD39" s="26" t="n">
        <f>1090875</f>
        <v>1090875.0</v>
      </c>
    </row>
    <row r="40">
      <c r="A40" s="30" t="s">
        <v>60</v>
      </c>
      <c r="B40" s="22" t="s">
        <v>27</v>
      </c>
      <c r="C40" s="22" t="s">
        <v>28</v>
      </c>
      <c r="D40" s="24"/>
      <c r="E40" s="25" t="n">
        <f>40071</f>
        <v>40071.0</v>
      </c>
      <c r="F40" s="23"/>
      <c r="G40" s="25" t="n">
        <f>41417</f>
        <v>41417.0</v>
      </c>
      <c r="H40" s="23"/>
      <c r="I40" s="26" t="n">
        <f>81488</f>
        <v>81488.0</v>
      </c>
      <c r="J40" s="24"/>
      <c r="K40" s="25" t="n">
        <f>12739606957</f>
        <v>1.2739606957E10</v>
      </c>
      <c r="L40" s="23"/>
      <c r="M40" s="25" t="n">
        <f>11300262570</f>
        <v>1.130026257E10</v>
      </c>
      <c r="N40" s="23"/>
      <c r="O40" s="26" t="n">
        <f>24039869527</f>
        <v>2.4039869527E10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4"/>
      <c r="T40" s="25" t="n">
        <f>9319</f>
        <v>9319.0</v>
      </c>
      <c r="U40" s="23"/>
      <c r="V40" s="25" t="n">
        <f>11056</f>
        <v>11056.0</v>
      </c>
      <c r="W40" s="23"/>
      <c r="X40" s="26" t="n">
        <f>20375</f>
        <v>20375.0</v>
      </c>
      <c r="Y40" s="24"/>
      <c r="Z40" s="25" t="n">
        <f>679794</f>
        <v>679794.0</v>
      </c>
      <c r="AA40" s="23" t="s">
        <v>40</v>
      </c>
      <c r="AB40" s="25" t="n">
        <f>424390</f>
        <v>424390.0</v>
      </c>
      <c r="AC40" s="23"/>
      <c r="AD40" s="26" t="n">
        <f>1104184</f>
        <v>1104184.0</v>
      </c>
    </row>
    <row r="41">
      <c r="A41" s="30" t="s">
        <v>26</v>
      </c>
      <c r="B41" s="22" t="s">
        <v>61</v>
      </c>
      <c r="C41" s="22" t="s">
        <v>62</v>
      </c>
      <c r="D41" s="24"/>
      <c r="E41" s="25" t="n">
        <f>27173</f>
        <v>27173.0</v>
      </c>
      <c r="F41" s="23"/>
      <c r="G41" s="25" t="n">
        <f>26364</f>
        <v>26364.0</v>
      </c>
      <c r="H41" s="23"/>
      <c r="I41" s="26" t="n">
        <f>53537</f>
        <v>53537.0</v>
      </c>
      <c r="J41" s="24"/>
      <c r="K41" s="25" t="n">
        <f>257749920</f>
        <v>2.5774992E8</v>
      </c>
      <c r="L41" s="23"/>
      <c r="M41" s="25" t="n">
        <f>307576280</f>
        <v>3.0757628E8</v>
      </c>
      <c r="N41" s="23"/>
      <c r="O41" s="26" t="n">
        <f>565326200</f>
        <v>5.653262E8</v>
      </c>
      <c r="P41" s="27" t="str">
        <f>"－"</f>
        <v>－</v>
      </c>
      <c r="Q41" s="28" t="str">
        <f>"－"</f>
        <v>－</v>
      </c>
      <c r="R41" s="29" t="str">
        <f>"－"</f>
        <v>－</v>
      </c>
      <c r="S41" s="24"/>
      <c r="T41" s="25" t="n">
        <f>3580</f>
        <v>3580.0</v>
      </c>
      <c r="U41" s="23"/>
      <c r="V41" s="25" t="n">
        <f>1700</f>
        <v>1700.0</v>
      </c>
      <c r="W41" s="23"/>
      <c r="X41" s="26" t="n">
        <f>5280</f>
        <v>5280.0</v>
      </c>
      <c r="Y41" s="24"/>
      <c r="Z41" s="25" t="n">
        <f>27676</f>
        <v>27676.0</v>
      </c>
      <c r="AA41" s="23"/>
      <c r="AB41" s="25" t="n">
        <f>23827</f>
        <v>23827.0</v>
      </c>
      <c r="AC41" s="23"/>
      <c r="AD41" s="26" t="n">
        <f>51503</f>
        <v>51503.0</v>
      </c>
    </row>
    <row r="42">
      <c r="A42" s="30" t="s">
        <v>29</v>
      </c>
      <c r="B42" s="22" t="s">
        <v>61</v>
      </c>
      <c r="C42" s="22" t="s">
        <v>62</v>
      </c>
      <c r="D42" s="24"/>
      <c r="E42" s="25" t="n">
        <f>39529</f>
        <v>39529.0</v>
      </c>
      <c r="F42" s="23"/>
      <c r="G42" s="25" t="n">
        <f>39904</f>
        <v>39904.0</v>
      </c>
      <c r="H42" s="23"/>
      <c r="I42" s="26" t="n">
        <f>79433</f>
        <v>79433.0</v>
      </c>
      <c r="J42" s="24"/>
      <c r="K42" s="25" t="n">
        <f>427645420</f>
        <v>4.2764542E8</v>
      </c>
      <c r="L42" s="23"/>
      <c r="M42" s="25" t="n">
        <f>514571550</f>
        <v>5.1457155E8</v>
      </c>
      <c r="N42" s="23"/>
      <c r="O42" s="26" t="n">
        <f>942216970</f>
        <v>9.4221697E8</v>
      </c>
      <c r="P42" s="27" t="str">
        <f>"－"</f>
        <v>－</v>
      </c>
      <c r="Q42" s="28" t="str">
        <f>"－"</f>
        <v>－</v>
      </c>
      <c r="R42" s="29" t="str">
        <f>"－"</f>
        <v>－</v>
      </c>
      <c r="S42" s="24"/>
      <c r="T42" s="25" t="n">
        <f>6750</f>
        <v>6750.0</v>
      </c>
      <c r="U42" s="23"/>
      <c r="V42" s="25" t="n">
        <f>3320</f>
        <v>3320.0</v>
      </c>
      <c r="W42" s="23"/>
      <c r="X42" s="26" t="n">
        <f>10070</f>
        <v>10070.0</v>
      </c>
      <c r="Y42" s="24"/>
      <c r="Z42" s="25" t="n">
        <f>32180</f>
        <v>32180.0</v>
      </c>
      <c r="AA42" s="23"/>
      <c r="AB42" s="25" t="n">
        <f>26444</f>
        <v>26444.0</v>
      </c>
      <c r="AC42" s="23"/>
      <c r="AD42" s="26" t="n">
        <f>58624</f>
        <v>58624.0</v>
      </c>
    </row>
    <row r="43">
      <c r="A43" s="30" t="s">
        <v>30</v>
      </c>
      <c r="B43" s="22" t="s">
        <v>61</v>
      </c>
      <c r="C43" s="22" t="s">
        <v>62</v>
      </c>
      <c r="D43" s="24"/>
      <c r="E43" s="25" t="n">
        <f>38017</f>
        <v>38017.0</v>
      </c>
      <c r="F43" s="23"/>
      <c r="G43" s="25" t="n">
        <f>36857</f>
        <v>36857.0</v>
      </c>
      <c r="H43" s="23"/>
      <c r="I43" s="26" t="n">
        <f>74874</f>
        <v>74874.0</v>
      </c>
      <c r="J43" s="24"/>
      <c r="K43" s="25" t="n">
        <f>277048850</f>
        <v>2.7704885E8</v>
      </c>
      <c r="L43" s="23"/>
      <c r="M43" s="25" t="n">
        <f>562276710</f>
        <v>5.6227671E8</v>
      </c>
      <c r="N43" s="23"/>
      <c r="O43" s="26" t="n">
        <f>839325560</f>
        <v>8.3932556E8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7860</f>
        <v>7860.0</v>
      </c>
      <c r="U43" s="23"/>
      <c r="V43" s="25" t="n">
        <f>3670</f>
        <v>3670.0</v>
      </c>
      <c r="W43" s="23"/>
      <c r="X43" s="26" t="n">
        <f>11530</f>
        <v>11530.0</v>
      </c>
      <c r="Y43" s="24"/>
      <c r="Z43" s="25" t="n">
        <f>36230</f>
        <v>36230.0</v>
      </c>
      <c r="AA43" s="23"/>
      <c r="AB43" s="25" t="n">
        <f>25448</f>
        <v>25448.0</v>
      </c>
      <c r="AC43" s="23"/>
      <c r="AD43" s="26" t="n">
        <f>61678</f>
        <v>61678.0</v>
      </c>
    </row>
    <row r="44">
      <c r="A44" s="30" t="s">
        <v>31</v>
      </c>
      <c r="B44" s="22" t="s">
        <v>61</v>
      </c>
      <c r="C44" s="22" t="s">
        <v>62</v>
      </c>
      <c r="D44" s="24"/>
      <c r="E44" s="25" t="n">
        <f>36534</f>
        <v>36534.0</v>
      </c>
      <c r="F44" s="23"/>
      <c r="G44" s="25" t="n">
        <f>34873</f>
        <v>34873.0</v>
      </c>
      <c r="H44" s="23"/>
      <c r="I44" s="26" t="n">
        <f>71407</f>
        <v>71407.0</v>
      </c>
      <c r="J44" s="24"/>
      <c r="K44" s="25" t="n">
        <f>236535500</f>
        <v>2.365355E8</v>
      </c>
      <c r="L44" s="23"/>
      <c r="M44" s="25" t="n">
        <f>566897780</f>
        <v>5.6689778E8</v>
      </c>
      <c r="N44" s="23"/>
      <c r="O44" s="26" t="n">
        <f>803433280</f>
        <v>8.0343328E8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6150</f>
        <v>6150.0</v>
      </c>
      <c r="U44" s="23"/>
      <c r="V44" s="25" t="n">
        <f>5510</f>
        <v>5510.0</v>
      </c>
      <c r="W44" s="23"/>
      <c r="X44" s="26" t="n">
        <f>11660</f>
        <v>11660.0</v>
      </c>
      <c r="Y44" s="24"/>
      <c r="Z44" s="25" t="n">
        <f>40496</f>
        <v>40496.0</v>
      </c>
      <c r="AA44" s="23"/>
      <c r="AB44" s="25" t="n">
        <f>28529</f>
        <v>28529.0</v>
      </c>
      <c r="AC44" s="23"/>
      <c r="AD44" s="26" t="n">
        <f>69025</f>
        <v>69025.0</v>
      </c>
    </row>
    <row r="45">
      <c r="A45" s="30" t="s">
        <v>32</v>
      </c>
      <c r="B45" s="22" t="s">
        <v>61</v>
      </c>
      <c r="C45" s="22" t="s">
        <v>62</v>
      </c>
      <c r="D45" s="24" t="s">
        <v>36</v>
      </c>
      <c r="E45" s="25" t="n">
        <f>13704</f>
        <v>13704.0</v>
      </c>
      <c r="F45" s="23"/>
      <c r="G45" s="25" t="n">
        <f>14221</f>
        <v>14221.0</v>
      </c>
      <c r="H45" s="23" t="s">
        <v>36</v>
      </c>
      <c r="I45" s="26" t="n">
        <f>27925</f>
        <v>27925.0</v>
      </c>
      <c r="J45" s="24" t="s">
        <v>36</v>
      </c>
      <c r="K45" s="25" t="n">
        <f>156728790</f>
        <v>1.5672879E8</v>
      </c>
      <c r="L45" s="23"/>
      <c r="M45" s="25" t="n">
        <f>272596580</f>
        <v>2.7259658E8</v>
      </c>
      <c r="N45" s="23"/>
      <c r="O45" s="26" t="n">
        <f>429325370</f>
        <v>4.2932537E8</v>
      </c>
      <c r="P45" s="27" t="n">
        <f>70</f>
        <v>70.0</v>
      </c>
      <c r="Q45" s="28" t="n">
        <f>9684</f>
        <v>9684.0</v>
      </c>
      <c r="R45" s="29" t="n">
        <f>9754</f>
        <v>9754.0</v>
      </c>
      <c r="S45" s="24"/>
      <c r="T45" s="25" t="n">
        <f>1540</f>
        <v>1540.0</v>
      </c>
      <c r="U45" s="23" t="s">
        <v>36</v>
      </c>
      <c r="V45" s="25" t="n">
        <f>470</f>
        <v>470.0</v>
      </c>
      <c r="W45" s="23"/>
      <c r="X45" s="26" t="n">
        <f>2010</f>
        <v>2010.0</v>
      </c>
      <c r="Y45" s="24" t="s">
        <v>36</v>
      </c>
      <c r="Z45" s="25" t="n">
        <f>20190</f>
        <v>20190.0</v>
      </c>
      <c r="AA45" s="23" t="s">
        <v>36</v>
      </c>
      <c r="AB45" s="25" t="n">
        <f>14680</f>
        <v>14680.0</v>
      </c>
      <c r="AC45" s="23" t="s">
        <v>36</v>
      </c>
      <c r="AD45" s="26" t="n">
        <f>34870</f>
        <v>34870.0</v>
      </c>
    </row>
    <row r="46">
      <c r="A46" s="30" t="s">
        <v>33</v>
      </c>
      <c r="B46" s="22" t="s">
        <v>61</v>
      </c>
      <c r="C46" s="22" t="s">
        <v>62</v>
      </c>
      <c r="D46" s="24"/>
      <c r="E46" s="25"/>
      <c r="F46" s="23"/>
      <c r="G46" s="25"/>
      <c r="H46" s="23"/>
      <c r="I46" s="26"/>
      <c r="J46" s="24"/>
      <c r="K46" s="25"/>
      <c r="L46" s="23"/>
      <c r="M46" s="25"/>
      <c r="N46" s="23"/>
      <c r="O46" s="26"/>
      <c r="P46" s="27"/>
      <c r="Q46" s="28"/>
      <c r="R46" s="29"/>
      <c r="S46" s="24"/>
      <c r="T46" s="25"/>
      <c r="U46" s="23"/>
      <c r="V46" s="25"/>
      <c r="W46" s="23"/>
      <c r="X46" s="26"/>
      <c r="Y46" s="24"/>
      <c r="Z46" s="25"/>
      <c r="AA46" s="23"/>
      <c r="AB46" s="25"/>
      <c r="AC46" s="23"/>
      <c r="AD46" s="26"/>
    </row>
    <row r="47">
      <c r="A47" s="30" t="s">
        <v>34</v>
      </c>
      <c r="B47" s="22" t="s">
        <v>61</v>
      </c>
      <c r="C47" s="22" t="s">
        <v>62</v>
      </c>
      <c r="D47" s="24"/>
      <c r="E47" s="25"/>
      <c r="F47" s="23"/>
      <c r="G47" s="25"/>
      <c r="H47" s="23"/>
      <c r="I47" s="26"/>
      <c r="J47" s="24"/>
      <c r="K47" s="25"/>
      <c r="L47" s="23"/>
      <c r="M47" s="25"/>
      <c r="N47" s="23"/>
      <c r="O47" s="26"/>
      <c r="P47" s="27"/>
      <c r="Q47" s="28"/>
      <c r="R47" s="29"/>
      <c r="S47" s="24"/>
      <c r="T47" s="25"/>
      <c r="U47" s="23"/>
      <c r="V47" s="25"/>
      <c r="W47" s="23"/>
      <c r="X47" s="26"/>
      <c r="Y47" s="24"/>
      <c r="Z47" s="25"/>
      <c r="AA47" s="23"/>
      <c r="AB47" s="25"/>
      <c r="AC47" s="23"/>
      <c r="AD47" s="26"/>
    </row>
    <row r="48">
      <c r="A48" s="30" t="s">
        <v>35</v>
      </c>
      <c r="B48" s="22" t="s">
        <v>61</v>
      </c>
      <c r="C48" s="22" t="s">
        <v>62</v>
      </c>
      <c r="D48" s="24"/>
      <c r="E48" s="25" t="n">
        <f>14727</f>
        <v>14727.0</v>
      </c>
      <c r="F48" s="23" t="s">
        <v>36</v>
      </c>
      <c r="G48" s="25" t="n">
        <f>13498</f>
        <v>13498.0</v>
      </c>
      <c r="H48" s="23"/>
      <c r="I48" s="26" t="n">
        <f>28225</f>
        <v>28225.0</v>
      </c>
      <c r="J48" s="24"/>
      <c r="K48" s="25" t="n">
        <f>170842900</f>
        <v>1.708429E8</v>
      </c>
      <c r="L48" s="23" t="s">
        <v>36</v>
      </c>
      <c r="M48" s="25" t="n">
        <f>195474180</f>
        <v>1.9547418E8</v>
      </c>
      <c r="N48" s="23" t="s">
        <v>36</v>
      </c>
      <c r="O48" s="26" t="n">
        <f>366317080</f>
        <v>3.6631708E8</v>
      </c>
      <c r="P48" s="27" t="str">
        <f>"－"</f>
        <v>－</v>
      </c>
      <c r="Q48" s="28" t="str">
        <f>"－"</f>
        <v>－</v>
      </c>
      <c r="R48" s="29" t="str">
        <f>"－"</f>
        <v>－</v>
      </c>
      <c r="S48" s="24" t="s">
        <v>36</v>
      </c>
      <c r="T48" s="25" t="n">
        <f>1100</f>
        <v>1100.0</v>
      </c>
      <c r="U48" s="23"/>
      <c r="V48" s="25" t="n">
        <f>590</f>
        <v>590.0</v>
      </c>
      <c r="W48" s="23" t="s">
        <v>36</v>
      </c>
      <c r="X48" s="26" t="n">
        <f>1690</f>
        <v>1690.0</v>
      </c>
      <c r="Y48" s="24"/>
      <c r="Z48" s="25" t="n">
        <f>20964</f>
        <v>20964.0</v>
      </c>
      <c r="AA48" s="23"/>
      <c r="AB48" s="25" t="n">
        <f>16637</f>
        <v>16637.0</v>
      </c>
      <c r="AC48" s="23"/>
      <c r="AD48" s="26" t="n">
        <f>37601</f>
        <v>37601.0</v>
      </c>
    </row>
    <row r="49">
      <c r="A49" s="30" t="s">
        <v>37</v>
      </c>
      <c r="B49" s="22" t="s">
        <v>61</v>
      </c>
      <c r="C49" s="22" t="s">
        <v>62</v>
      </c>
      <c r="D49" s="24"/>
      <c r="E49" s="25" t="n">
        <f>30004</f>
        <v>30004.0</v>
      </c>
      <c r="F49" s="23"/>
      <c r="G49" s="25" t="n">
        <f>24546</f>
        <v>24546.0</v>
      </c>
      <c r="H49" s="23"/>
      <c r="I49" s="26" t="n">
        <f>54550</f>
        <v>54550.0</v>
      </c>
      <c r="J49" s="24"/>
      <c r="K49" s="25" t="n">
        <f>265431310</f>
        <v>2.6543131E8</v>
      </c>
      <c r="L49" s="23"/>
      <c r="M49" s="25" t="n">
        <f>423693820</f>
        <v>4.2369382E8</v>
      </c>
      <c r="N49" s="23"/>
      <c r="O49" s="26" t="n">
        <f>689125130</f>
        <v>6.8912513E8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4010</f>
        <v>4010.0</v>
      </c>
      <c r="U49" s="23"/>
      <c r="V49" s="25" t="n">
        <f>1480</f>
        <v>1480.0</v>
      </c>
      <c r="W49" s="23"/>
      <c r="X49" s="26" t="n">
        <f>5490</f>
        <v>5490.0</v>
      </c>
      <c r="Y49" s="24"/>
      <c r="Z49" s="25" t="n">
        <f>28224</f>
        <v>28224.0</v>
      </c>
      <c r="AA49" s="23"/>
      <c r="AB49" s="25" t="n">
        <f>21717</f>
        <v>21717.0</v>
      </c>
      <c r="AC49" s="23"/>
      <c r="AD49" s="26" t="n">
        <f>49941</f>
        <v>49941.0</v>
      </c>
    </row>
    <row r="50">
      <c r="A50" s="30" t="s">
        <v>38</v>
      </c>
      <c r="B50" s="22" t="s">
        <v>61</v>
      </c>
      <c r="C50" s="22" t="s">
        <v>62</v>
      </c>
      <c r="D50" s="24"/>
      <c r="E50" s="25" t="n">
        <f>23251</f>
        <v>23251.0</v>
      </c>
      <c r="F50" s="23"/>
      <c r="G50" s="25" t="n">
        <f>22260</f>
        <v>22260.0</v>
      </c>
      <c r="H50" s="23"/>
      <c r="I50" s="26" t="n">
        <f>45511</f>
        <v>45511.0</v>
      </c>
      <c r="J50" s="24"/>
      <c r="K50" s="25" t="n">
        <f>224050010</f>
        <v>2.2405001E8</v>
      </c>
      <c r="L50" s="23"/>
      <c r="M50" s="25" t="n">
        <f>468799530</f>
        <v>4.6879953E8</v>
      </c>
      <c r="N50" s="23"/>
      <c r="O50" s="26" t="n">
        <f>692849540</f>
        <v>6.9284954E8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3320</f>
        <v>3320.0</v>
      </c>
      <c r="U50" s="23"/>
      <c r="V50" s="25" t="n">
        <f>1505</f>
        <v>1505.0</v>
      </c>
      <c r="W50" s="23"/>
      <c r="X50" s="26" t="n">
        <f>4825</f>
        <v>4825.0</v>
      </c>
      <c r="Y50" s="24"/>
      <c r="Z50" s="25" t="n">
        <f>29998</f>
        <v>29998.0</v>
      </c>
      <c r="AA50" s="23"/>
      <c r="AB50" s="25" t="n">
        <f>26476</f>
        <v>26476.0</v>
      </c>
      <c r="AC50" s="23"/>
      <c r="AD50" s="26" t="n">
        <f>56474</f>
        <v>56474.0</v>
      </c>
    </row>
    <row r="51">
      <c r="A51" s="30" t="s">
        <v>39</v>
      </c>
      <c r="B51" s="22" t="s">
        <v>61</v>
      </c>
      <c r="C51" s="22" t="s">
        <v>62</v>
      </c>
      <c r="D51" s="24"/>
      <c r="E51" s="25" t="n">
        <f>34808</f>
        <v>34808.0</v>
      </c>
      <c r="F51" s="23"/>
      <c r="G51" s="25" t="n">
        <f>36877</f>
        <v>36877.0</v>
      </c>
      <c r="H51" s="23"/>
      <c r="I51" s="26" t="n">
        <f>71685</f>
        <v>71685.0</v>
      </c>
      <c r="J51" s="24"/>
      <c r="K51" s="25" t="n">
        <f>364012940</f>
        <v>3.6401294E8</v>
      </c>
      <c r="L51" s="23" t="s">
        <v>40</v>
      </c>
      <c r="M51" s="25" t="n">
        <f>897229300</f>
        <v>8.972293E8</v>
      </c>
      <c r="N51" s="23"/>
      <c r="O51" s="26" t="n">
        <f>1261242240</f>
        <v>1.26124224E9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/>
      <c r="T51" s="25" t="n">
        <f>3370</f>
        <v>3370.0</v>
      </c>
      <c r="U51" s="23"/>
      <c r="V51" s="25" t="n">
        <f>2835</f>
        <v>2835.0</v>
      </c>
      <c r="W51" s="23"/>
      <c r="X51" s="26" t="n">
        <f>6205</f>
        <v>6205.0</v>
      </c>
      <c r="Y51" s="24"/>
      <c r="Z51" s="25" t="n">
        <f>32147</f>
        <v>32147.0</v>
      </c>
      <c r="AA51" s="23"/>
      <c r="AB51" s="25" t="n">
        <f>29328</f>
        <v>29328.0</v>
      </c>
      <c r="AC51" s="23"/>
      <c r="AD51" s="26" t="n">
        <f>61475</f>
        <v>61475.0</v>
      </c>
    </row>
    <row r="52">
      <c r="A52" s="30" t="s">
        <v>41</v>
      </c>
      <c r="B52" s="22" t="s">
        <v>61</v>
      </c>
      <c r="C52" s="22" t="s">
        <v>62</v>
      </c>
      <c r="D52" s="24"/>
      <c r="E52" s="25" t="n">
        <f>30284</f>
        <v>30284.0</v>
      </c>
      <c r="F52" s="23"/>
      <c r="G52" s="25" t="n">
        <f>27060</f>
        <v>27060.0</v>
      </c>
      <c r="H52" s="23"/>
      <c r="I52" s="26" t="n">
        <f>57344</f>
        <v>57344.0</v>
      </c>
      <c r="J52" s="24"/>
      <c r="K52" s="25" t="n">
        <f>409201640</f>
        <v>4.0920164E8</v>
      </c>
      <c r="L52" s="23"/>
      <c r="M52" s="25" t="n">
        <f>424378960</f>
        <v>4.2437896E8</v>
      </c>
      <c r="N52" s="23"/>
      <c r="O52" s="26" t="n">
        <f>833580600</f>
        <v>8.335806E8</v>
      </c>
      <c r="P52" s="27" t="n">
        <f>1423</f>
        <v>1423.0</v>
      </c>
      <c r="Q52" s="28" t="n">
        <f>7382</f>
        <v>7382.0</v>
      </c>
      <c r="R52" s="29" t="n">
        <f>8805</f>
        <v>8805.0</v>
      </c>
      <c r="S52" s="24"/>
      <c r="T52" s="25" t="n">
        <f>3770</f>
        <v>3770.0</v>
      </c>
      <c r="U52" s="23"/>
      <c r="V52" s="25" t="n">
        <f>3470</f>
        <v>3470.0</v>
      </c>
      <c r="W52" s="23"/>
      <c r="X52" s="26" t="n">
        <f>7240</f>
        <v>7240.0</v>
      </c>
      <c r="Y52" s="24"/>
      <c r="Z52" s="25" t="n">
        <f>22437</f>
        <v>22437.0</v>
      </c>
      <c r="AA52" s="23"/>
      <c r="AB52" s="25" t="n">
        <f>20423</f>
        <v>20423.0</v>
      </c>
      <c r="AC52" s="23"/>
      <c r="AD52" s="26" t="n">
        <f>42860</f>
        <v>42860.0</v>
      </c>
    </row>
    <row r="53">
      <c r="A53" s="30" t="s">
        <v>42</v>
      </c>
      <c r="B53" s="22" t="s">
        <v>61</v>
      </c>
      <c r="C53" s="22" t="s">
        <v>62</v>
      </c>
      <c r="D53" s="24"/>
      <c r="E53" s="25"/>
      <c r="F53" s="23"/>
      <c r="G53" s="25"/>
      <c r="H53" s="23"/>
      <c r="I53" s="26"/>
      <c r="J53" s="24"/>
      <c r="K53" s="25"/>
      <c r="L53" s="23"/>
      <c r="M53" s="25"/>
      <c r="N53" s="23"/>
      <c r="O53" s="26"/>
      <c r="P53" s="27"/>
      <c r="Q53" s="28"/>
      <c r="R53" s="29"/>
      <c r="S53" s="24"/>
      <c r="T53" s="25"/>
      <c r="U53" s="23"/>
      <c r="V53" s="25"/>
      <c r="W53" s="23"/>
      <c r="X53" s="26"/>
      <c r="Y53" s="24"/>
      <c r="Z53" s="25"/>
      <c r="AA53" s="23"/>
      <c r="AB53" s="25"/>
      <c r="AC53" s="23"/>
      <c r="AD53" s="26"/>
    </row>
    <row r="54">
      <c r="A54" s="30" t="s">
        <v>43</v>
      </c>
      <c r="B54" s="22" t="s">
        <v>61</v>
      </c>
      <c r="C54" s="22" t="s">
        <v>62</v>
      </c>
      <c r="D54" s="24"/>
      <c r="E54" s="25"/>
      <c r="F54" s="23"/>
      <c r="G54" s="25"/>
      <c r="H54" s="23"/>
      <c r="I54" s="26"/>
      <c r="J54" s="24"/>
      <c r="K54" s="25"/>
      <c r="L54" s="23"/>
      <c r="M54" s="25"/>
      <c r="N54" s="23"/>
      <c r="O54" s="26"/>
      <c r="P54" s="27"/>
      <c r="Q54" s="28"/>
      <c r="R54" s="29"/>
      <c r="S54" s="24"/>
      <c r="T54" s="25"/>
      <c r="U54" s="23"/>
      <c r="V54" s="25"/>
      <c r="W54" s="23"/>
      <c r="X54" s="26"/>
      <c r="Y54" s="24"/>
      <c r="Z54" s="25"/>
      <c r="AA54" s="23"/>
      <c r="AB54" s="25"/>
      <c r="AC54" s="23"/>
      <c r="AD54" s="26"/>
    </row>
    <row r="55">
      <c r="A55" s="30" t="s">
        <v>44</v>
      </c>
      <c r="B55" s="22" t="s">
        <v>61</v>
      </c>
      <c r="C55" s="22" t="s">
        <v>62</v>
      </c>
      <c r="D55" s="24"/>
      <c r="E55" s="25"/>
      <c r="F55" s="23"/>
      <c r="G55" s="25"/>
      <c r="H55" s="23"/>
      <c r="I55" s="26"/>
      <c r="J55" s="24"/>
      <c r="K55" s="25"/>
      <c r="L55" s="23"/>
      <c r="M55" s="25"/>
      <c r="N55" s="23"/>
      <c r="O55" s="26"/>
      <c r="P55" s="27"/>
      <c r="Q55" s="28"/>
      <c r="R55" s="29"/>
      <c r="S55" s="24"/>
      <c r="T55" s="25"/>
      <c r="U55" s="23"/>
      <c r="V55" s="25"/>
      <c r="W55" s="23"/>
      <c r="X55" s="26"/>
      <c r="Y55" s="24"/>
      <c r="Z55" s="25"/>
      <c r="AA55" s="23"/>
      <c r="AB55" s="25"/>
      <c r="AC55" s="23"/>
      <c r="AD55" s="26"/>
    </row>
    <row r="56">
      <c r="A56" s="30" t="s">
        <v>45</v>
      </c>
      <c r="B56" s="22" t="s">
        <v>61</v>
      </c>
      <c r="C56" s="22" t="s">
        <v>62</v>
      </c>
      <c r="D56" s="24"/>
      <c r="E56" s="25" t="n">
        <f>39901</f>
        <v>39901.0</v>
      </c>
      <c r="F56" s="23"/>
      <c r="G56" s="25" t="n">
        <f>37761</f>
        <v>37761.0</v>
      </c>
      <c r="H56" s="23"/>
      <c r="I56" s="26" t="n">
        <f>77662</f>
        <v>77662.0</v>
      </c>
      <c r="J56" s="24"/>
      <c r="K56" s="25" t="n">
        <f>466447730</f>
        <v>4.6644773E8</v>
      </c>
      <c r="L56" s="23"/>
      <c r="M56" s="25" t="n">
        <f>450238890</f>
        <v>4.5023889E8</v>
      </c>
      <c r="N56" s="23"/>
      <c r="O56" s="26" t="n">
        <f>916686620</f>
        <v>9.1668662E8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4520</f>
        <v>4520.0</v>
      </c>
      <c r="U56" s="23"/>
      <c r="V56" s="25" t="n">
        <f>5540</f>
        <v>5540.0</v>
      </c>
      <c r="W56" s="23"/>
      <c r="X56" s="26" t="n">
        <f>10060</f>
        <v>10060.0</v>
      </c>
      <c r="Y56" s="24"/>
      <c r="Z56" s="25" t="n">
        <f>36271</f>
        <v>36271.0</v>
      </c>
      <c r="AA56" s="23"/>
      <c r="AB56" s="25" t="n">
        <f>30728</f>
        <v>30728.0</v>
      </c>
      <c r="AC56" s="23"/>
      <c r="AD56" s="26" t="n">
        <f>66999</f>
        <v>66999.0</v>
      </c>
    </row>
    <row r="57">
      <c r="A57" s="30" t="s">
        <v>46</v>
      </c>
      <c r="B57" s="22" t="s">
        <v>61</v>
      </c>
      <c r="C57" s="22" t="s">
        <v>62</v>
      </c>
      <c r="D57" s="24"/>
      <c r="E57" s="25" t="n">
        <f>30877</f>
        <v>30877.0</v>
      </c>
      <c r="F57" s="23"/>
      <c r="G57" s="25" t="n">
        <f>32190</f>
        <v>32190.0</v>
      </c>
      <c r="H57" s="23"/>
      <c r="I57" s="26" t="n">
        <f>63067</f>
        <v>63067.0</v>
      </c>
      <c r="J57" s="24"/>
      <c r="K57" s="25" t="n">
        <f>275190270</f>
        <v>2.7519027E8</v>
      </c>
      <c r="L57" s="23"/>
      <c r="M57" s="25" t="n">
        <f>262849190</f>
        <v>2.6284919E8</v>
      </c>
      <c r="N57" s="23"/>
      <c r="O57" s="26" t="n">
        <f>538039460</f>
        <v>5.3803946E8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4880</f>
        <v>4880.0</v>
      </c>
      <c r="U57" s="23"/>
      <c r="V57" s="25" t="n">
        <f>5920</f>
        <v>5920.0</v>
      </c>
      <c r="W57" s="23"/>
      <c r="X57" s="26" t="n">
        <f>10800</f>
        <v>10800.0</v>
      </c>
      <c r="Y57" s="24"/>
      <c r="Z57" s="25" t="n">
        <f>43176</f>
        <v>43176.0</v>
      </c>
      <c r="AA57" s="23"/>
      <c r="AB57" s="25" t="n">
        <f>34634</f>
        <v>34634.0</v>
      </c>
      <c r="AC57" s="23"/>
      <c r="AD57" s="26" t="n">
        <f>77810</f>
        <v>77810.0</v>
      </c>
    </row>
    <row r="58">
      <c r="A58" s="30" t="s">
        <v>47</v>
      </c>
      <c r="B58" s="22" t="s">
        <v>61</v>
      </c>
      <c r="C58" s="22" t="s">
        <v>62</v>
      </c>
      <c r="D58" s="24"/>
      <c r="E58" s="25" t="n">
        <f>67805</f>
        <v>67805.0</v>
      </c>
      <c r="F58" s="23"/>
      <c r="G58" s="25" t="n">
        <f>61973</f>
        <v>61973.0</v>
      </c>
      <c r="H58" s="23"/>
      <c r="I58" s="26" t="n">
        <f>129778</f>
        <v>129778.0</v>
      </c>
      <c r="J58" s="24"/>
      <c r="K58" s="25" t="n">
        <f>1058628550</f>
        <v>1.05862855E9</v>
      </c>
      <c r="L58" s="23"/>
      <c r="M58" s="25" t="n">
        <f>528044430</f>
        <v>5.2804443E8</v>
      </c>
      <c r="N58" s="23"/>
      <c r="O58" s="26" t="n">
        <f>1586672980</f>
        <v>1.58667298E9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8940</f>
        <v>8940.0</v>
      </c>
      <c r="U58" s="23" t="s">
        <v>40</v>
      </c>
      <c r="V58" s="25" t="n">
        <f>13110</f>
        <v>13110.0</v>
      </c>
      <c r="W58" s="23" t="s">
        <v>40</v>
      </c>
      <c r="X58" s="26" t="n">
        <f>22050</f>
        <v>22050.0</v>
      </c>
      <c r="Y58" s="24" t="s">
        <v>40</v>
      </c>
      <c r="Z58" s="25" t="n">
        <f>47750</f>
        <v>47750.0</v>
      </c>
      <c r="AA58" s="23"/>
      <c r="AB58" s="25" t="n">
        <f>45717</f>
        <v>45717.0</v>
      </c>
      <c r="AC58" s="23"/>
      <c r="AD58" s="26" t="n">
        <f>93467</f>
        <v>93467.0</v>
      </c>
    </row>
    <row r="59">
      <c r="A59" s="30" t="s">
        <v>48</v>
      </c>
      <c r="B59" s="22" t="s">
        <v>61</v>
      </c>
      <c r="C59" s="22" t="s">
        <v>62</v>
      </c>
      <c r="D59" s="24"/>
      <c r="E59" s="25" t="n">
        <f>19535</f>
        <v>19535.0</v>
      </c>
      <c r="F59" s="23"/>
      <c r="G59" s="25" t="n">
        <f>21068</f>
        <v>21068.0</v>
      </c>
      <c r="H59" s="23"/>
      <c r="I59" s="26" t="n">
        <f>40603</f>
        <v>40603.0</v>
      </c>
      <c r="J59" s="24"/>
      <c r="K59" s="25" t="n">
        <f>455654550</f>
        <v>4.5565455E8</v>
      </c>
      <c r="L59" s="23"/>
      <c r="M59" s="25" t="n">
        <f>240060060</f>
        <v>2.4006006E8</v>
      </c>
      <c r="N59" s="23"/>
      <c r="O59" s="26" t="n">
        <f>695714610</f>
        <v>6.9571461E8</v>
      </c>
      <c r="P59" s="27" t="n">
        <f>4340</f>
        <v>4340.0</v>
      </c>
      <c r="Q59" s="28" t="n">
        <f>104</f>
        <v>104.0</v>
      </c>
      <c r="R59" s="29" t="n">
        <f>4444</f>
        <v>4444.0</v>
      </c>
      <c r="S59" s="24"/>
      <c r="T59" s="25" t="n">
        <f>2050</f>
        <v>2050.0</v>
      </c>
      <c r="U59" s="23"/>
      <c r="V59" s="25" t="n">
        <f>3140</f>
        <v>3140.0</v>
      </c>
      <c r="W59" s="23"/>
      <c r="X59" s="26" t="n">
        <f>5190</f>
        <v>5190.0</v>
      </c>
      <c r="Y59" s="24"/>
      <c r="Z59" s="25" t="n">
        <f>27308</f>
        <v>27308.0</v>
      </c>
      <c r="AA59" s="23"/>
      <c r="AB59" s="25" t="n">
        <f>24897</f>
        <v>24897.0</v>
      </c>
      <c r="AC59" s="23"/>
      <c r="AD59" s="26" t="n">
        <f>52205</f>
        <v>52205.0</v>
      </c>
    </row>
    <row r="60">
      <c r="A60" s="30" t="s">
        <v>49</v>
      </c>
      <c r="B60" s="22" t="s">
        <v>61</v>
      </c>
      <c r="C60" s="22" t="s">
        <v>62</v>
      </c>
      <c r="D60" s="24"/>
      <c r="E60" s="25"/>
      <c r="F60" s="23"/>
      <c r="G60" s="25"/>
      <c r="H60" s="23"/>
      <c r="I60" s="26"/>
      <c r="J60" s="24"/>
      <c r="K60" s="25"/>
      <c r="L60" s="23"/>
      <c r="M60" s="25"/>
      <c r="N60" s="23"/>
      <c r="O60" s="26"/>
      <c r="P60" s="27"/>
      <c r="Q60" s="28"/>
      <c r="R60" s="29"/>
      <c r="S60" s="24"/>
      <c r="T60" s="25"/>
      <c r="U60" s="23"/>
      <c r="V60" s="25"/>
      <c r="W60" s="23"/>
      <c r="X60" s="26"/>
      <c r="Y60" s="24"/>
      <c r="Z60" s="25"/>
      <c r="AA60" s="23"/>
      <c r="AB60" s="25"/>
      <c r="AC60" s="23"/>
      <c r="AD60" s="26"/>
    </row>
    <row r="61">
      <c r="A61" s="30" t="s">
        <v>50</v>
      </c>
      <c r="B61" s="22" t="s">
        <v>61</v>
      </c>
      <c r="C61" s="22" t="s">
        <v>62</v>
      </c>
      <c r="D61" s="24"/>
      <c r="E61" s="25"/>
      <c r="F61" s="23"/>
      <c r="G61" s="25"/>
      <c r="H61" s="23"/>
      <c r="I61" s="26"/>
      <c r="J61" s="24"/>
      <c r="K61" s="25"/>
      <c r="L61" s="23"/>
      <c r="M61" s="25"/>
      <c r="N61" s="23"/>
      <c r="O61" s="26"/>
      <c r="P61" s="27"/>
      <c r="Q61" s="28"/>
      <c r="R61" s="29"/>
      <c r="S61" s="24"/>
      <c r="T61" s="25"/>
      <c r="U61" s="23"/>
      <c r="V61" s="25"/>
      <c r="W61" s="23"/>
      <c r="X61" s="26"/>
      <c r="Y61" s="24"/>
      <c r="Z61" s="25"/>
      <c r="AA61" s="23"/>
      <c r="AB61" s="25"/>
      <c r="AC61" s="23"/>
      <c r="AD61" s="26"/>
    </row>
    <row r="62">
      <c r="A62" s="30" t="s">
        <v>51</v>
      </c>
      <c r="B62" s="22" t="s">
        <v>61</v>
      </c>
      <c r="C62" s="22" t="s">
        <v>62</v>
      </c>
      <c r="D62" s="24"/>
      <c r="E62" s="25" t="n">
        <f>26106</f>
        <v>26106.0</v>
      </c>
      <c r="F62" s="23"/>
      <c r="G62" s="25" t="n">
        <f>32873</f>
        <v>32873.0</v>
      </c>
      <c r="H62" s="23"/>
      <c r="I62" s="26" t="n">
        <f>58979</f>
        <v>58979.0</v>
      </c>
      <c r="J62" s="24"/>
      <c r="K62" s="25" t="n">
        <f>555517410</f>
        <v>5.5551741E8</v>
      </c>
      <c r="L62" s="23"/>
      <c r="M62" s="25" t="n">
        <f>310545480</f>
        <v>3.1054548E8</v>
      </c>
      <c r="N62" s="23"/>
      <c r="O62" s="26" t="n">
        <f>866062890</f>
        <v>8.6606289E8</v>
      </c>
      <c r="P62" s="27" t="str">
        <f>"－"</f>
        <v>－</v>
      </c>
      <c r="Q62" s="28" t="str">
        <f>"－"</f>
        <v>－</v>
      </c>
      <c r="R62" s="29" t="str">
        <f>"－"</f>
        <v>－</v>
      </c>
      <c r="S62" s="24"/>
      <c r="T62" s="25" t="n">
        <f>3250</f>
        <v>3250.0</v>
      </c>
      <c r="U62" s="23"/>
      <c r="V62" s="25" t="n">
        <f>5940</f>
        <v>5940.0</v>
      </c>
      <c r="W62" s="23"/>
      <c r="X62" s="26" t="n">
        <f>9190</f>
        <v>9190.0</v>
      </c>
      <c r="Y62" s="24"/>
      <c r="Z62" s="25" t="n">
        <f>30934</f>
        <v>30934.0</v>
      </c>
      <c r="AA62" s="23"/>
      <c r="AB62" s="25" t="n">
        <f>30339</f>
        <v>30339.0</v>
      </c>
      <c r="AC62" s="23"/>
      <c r="AD62" s="26" t="n">
        <f>61273</f>
        <v>61273.0</v>
      </c>
    </row>
    <row r="63">
      <c r="A63" s="30" t="s">
        <v>52</v>
      </c>
      <c r="B63" s="22" t="s">
        <v>61</v>
      </c>
      <c r="C63" s="22" t="s">
        <v>62</v>
      </c>
      <c r="D63" s="24"/>
      <c r="E63" s="25" t="n">
        <f>31042</f>
        <v>31042.0</v>
      </c>
      <c r="F63" s="23"/>
      <c r="G63" s="25" t="n">
        <f>23393</f>
        <v>23393.0</v>
      </c>
      <c r="H63" s="23"/>
      <c r="I63" s="26" t="n">
        <f>54435</f>
        <v>54435.0</v>
      </c>
      <c r="J63" s="24"/>
      <c r="K63" s="25" t="n">
        <f>335911320</f>
        <v>3.3591132E8</v>
      </c>
      <c r="L63" s="23"/>
      <c r="M63" s="25" t="n">
        <f>249513840</f>
        <v>2.4951384E8</v>
      </c>
      <c r="N63" s="23"/>
      <c r="O63" s="26" t="n">
        <f>585425160</f>
        <v>5.8542516E8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/>
      <c r="T63" s="25" t="n">
        <f>2620</f>
        <v>2620.0</v>
      </c>
      <c r="U63" s="23"/>
      <c r="V63" s="25" t="n">
        <f>3680</f>
        <v>3680.0</v>
      </c>
      <c r="W63" s="23"/>
      <c r="X63" s="26" t="n">
        <f>6300</f>
        <v>6300.0</v>
      </c>
      <c r="Y63" s="24"/>
      <c r="Z63" s="25" t="n">
        <f>37038</f>
        <v>37038.0</v>
      </c>
      <c r="AA63" s="23"/>
      <c r="AB63" s="25" t="n">
        <f>35574</f>
        <v>35574.0</v>
      </c>
      <c r="AC63" s="23"/>
      <c r="AD63" s="26" t="n">
        <f>72612</f>
        <v>72612.0</v>
      </c>
    </row>
    <row r="64">
      <c r="A64" s="30" t="s">
        <v>53</v>
      </c>
      <c r="B64" s="22" t="s">
        <v>61</v>
      </c>
      <c r="C64" s="22" t="s">
        <v>62</v>
      </c>
      <c r="D64" s="24"/>
      <c r="E64" s="25" t="n">
        <f>32159</f>
        <v>32159.0</v>
      </c>
      <c r="F64" s="23"/>
      <c r="G64" s="25" t="n">
        <f>43842</f>
        <v>43842.0</v>
      </c>
      <c r="H64" s="23"/>
      <c r="I64" s="26" t="n">
        <f>76001</f>
        <v>76001.0</v>
      </c>
      <c r="J64" s="24"/>
      <c r="K64" s="25" t="n">
        <f>536884980</f>
        <v>5.3688498E8</v>
      </c>
      <c r="L64" s="23"/>
      <c r="M64" s="25" t="n">
        <f>317508080</f>
        <v>3.1750808E8</v>
      </c>
      <c r="N64" s="23"/>
      <c r="O64" s="26" t="n">
        <f>854393060</f>
        <v>8.5439306E8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/>
      <c r="T64" s="25" t="n">
        <f>5280</f>
        <v>5280.0</v>
      </c>
      <c r="U64" s="23"/>
      <c r="V64" s="25" t="n">
        <f>8550</f>
        <v>8550.0</v>
      </c>
      <c r="W64" s="23"/>
      <c r="X64" s="26" t="n">
        <f>13830</f>
        <v>13830.0</v>
      </c>
      <c r="Y64" s="24"/>
      <c r="Z64" s="25" t="n">
        <f>39540</f>
        <v>39540.0</v>
      </c>
      <c r="AA64" s="23"/>
      <c r="AB64" s="25" t="n">
        <f>42970</f>
        <v>42970.0</v>
      </c>
      <c r="AC64" s="23"/>
      <c r="AD64" s="26" t="n">
        <f>82510</f>
        <v>82510.0</v>
      </c>
    </row>
    <row r="65">
      <c r="A65" s="30" t="s">
        <v>54</v>
      </c>
      <c r="B65" s="22" t="s">
        <v>61</v>
      </c>
      <c r="C65" s="22" t="s">
        <v>62</v>
      </c>
      <c r="D65" s="24" t="s">
        <v>40</v>
      </c>
      <c r="E65" s="25" t="n">
        <f>81910</f>
        <v>81910.0</v>
      </c>
      <c r="F65" s="23" t="s">
        <v>40</v>
      </c>
      <c r="G65" s="25" t="n">
        <f>69225</f>
        <v>69225.0</v>
      </c>
      <c r="H65" s="23" t="s">
        <v>40</v>
      </c>
      <c r="I65" s="26" t="n">
        <f>151135</f>
        <v>151135.0</v>
      </c>
      <c r="J65" s="24" t="s">
        <v>40</v>
      </c>
      <c r="K65" s="25" t="n">
        <f>1701898160</f>
        <v>1.70189816E9</v>
      </c>
      <c r="L65" s="23"/>
      <c r="M65" s="25" t="n">
        <f>564618500</f>
        <v>5.646185E8</v>
      </c>
      <c r="N65" s="23" t="s">
        <v>40</v>
      </c>
      <c r="O65" s="26" t="n">
        <f>2266516660</f>
        <v>2.26651666E9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 t="s">
        <v>40</v>
      </c>
      <c r="T65" s="25" t="n">
        <f>9160</f>
        <v>9160.0</v>
      </c>
      <c r="U65" s="23"/>
      <c r="V65" s="25" t="n">
        <f>12350</f>
        <v>12350.0</v>
      </c>
      <c r="W65" s="23"/>
      <c r="X65" s="26" t="n">
        <f>21510</f>
        <v>21510.0</v>
      </c>
      <c r="Y65" s="24"/>
      <c r="Z65" s="25" t="n">
        <f>41477</f>
        <v>41477.0</v>
      </c>
      <c r="AA65" s="23" t="s">
        <v>40</v>
      </c>
      <c r="AB65" s="25" t="n">
        <f>55855</f>
        <v>55855.0</v>
      </c>
      <c r="AC65" s="23" t="s">
        <v>40</v>
      </c>
      <c r="AD65" s="26" t="n">
        <f>97332</f>
        <v>97332.0</v>
      </c>
    </row>
    <row r="66">
      <c r="A66" s="30" t="s">
        <v>55</v>
      </c>
      <c r="B66" s="22" t="s">
        <v>61</v>
      </c>
      <c r="C66" s="22" t="s">
        <v>62</v>
      </c>
      <c r="D66" s="24"/>
      <c r="E66" s="25" t="n">
        <f>27712</f>
        <v>27712.0</v>
      </c>
      <c r="F66" s="23"/>
      <c r="G66" s="25" t="n">
        <f>24847</f>
        <v>24847.0</v>
      </c>
      <c r="H66" s="23"/>
      <c r="I66" s="26" t="n">
        <f>52559</f>
        <v>52559.0</v>
      </c>
      <c r="J66" s="24"/>
      <c r="K66" s="25" t="n">
        <f>742316470</f>
        <v>7.4231647E8</v>
      </c>
      <c r="L66" s="23"/>
      <c r="M66" s="25" t="n">
        <f>344977670</f>
        <v>3.4497767E8</v>
      </c>
      <c r="N66" s="23"/>
      <c r="O66" s="26" t="n">
        <f>1087294140</f>
        <v>1.08729414E9</v>
      </c>
      <c r="P66" s="27" t="n">
        <f>12271</f>
        <v>12271.0</v>
      </c>
      <c r="Q66" s="28" t="n">
        <f>65</f>
        <v>65.0</v>
      </c>
      <c r="R66" s="29" t="n">
        <f>12336</f>
        <v>12336.0</v>
      </c>
      <c r="S66" s="24"/>
      <c r="T66" s="25" t="n">
        <f>1920</f>
        <v>1920.0</v>
      </c>
      <c r="U66" s="23"/>
      <c r="V66" s="25" t="n">
        <f>3320</f>
        <v>3320.0</v>
      </c>
      <c r="W66" s="23"/>
      <c r="X66" s="26" t="n">
        <f>5240</f>
        <v>5240.0</v>
      </c>
      <c r="Y66" s="24"/>
      <c r="Z66" s="25" t="n">
        <f>21662</f>
        <v>21662.0</v>
      </c>
      <c r="AA66" s="23"/>
      <c r="AB66" s="25" t="n">
        <f>27848</f>
        <v>27848.0</v>
      </c>
      <c r="AC66" s="23"/>
      <c r="AD66" s="26" t="n">
        <f>49510</f>
        <v>49510.0</v>
      </c>
    </row>
    <row r="67">
      <c r="A67" s="30" t="s">
        <v>56</v>
      </c>
      <c r="B67" s="22" t="s">
        <v>61</v>
      </c>
      <c r="C67" s="22" t="s">
        <v>62</v>
      </c>
      <c r="D67" s="24"/>
      <c r="E67" s="25"/>
      <c r="F67" s="23"/>
      <c r="G67" s="25"/>
      <c r="H67" s="23"/>
      <c r="I67" s="26"/>
      <c r="J67" s="24"/>
      <c r="K67" s="25"/>
      <c r="L67" s="23"/>
      <c r="M67" s="25"/>
      <c r="N67" s="23"/>
      <c r="O67" s="26"/>
      <c r="P67" s="27"/>
      <c r="Q67" s="28"/>
      <c r="R67" s="29"/>
      <c r="S67" s="24"/>
      <c r="T67" s="25"/>
      <c r="U67" s="23"/>
      <c r="V67" s="25"/>
      <c r="W67" s="23"/>
      <c r="X67" s="26"/>
      <c r="Y67" s="24"/>
      <c r="Z67" s="25"/>
      <c r="AA67" s="23"/>
      <c r="AB67" s="25"/>
      <c r="AC67" s="23"/>
      <c r="AD67" s="26"/>
    </row>
    <row r="68">
      <c r="A68" s="30" t="s">
        <v>57</v>
      </c>
      <c r="B68" s="22" t="s">
        <v>61</v>
      </c>
      <c r="C68" s="22" t="s">
        <v>62</v>
      </c>
      <c r="D68" s="24"/>
      <c r="E68" s="25"/>
      <c r="F68" s="23"/>
      <c r="G68" s="25"/>
      <c r="H68" s="23"/>
      <c r="I68" s="26"/>
      <c r="J68" s="24"/>
      <c r="K68" s="25"/>
      <c r="L68" s="23"/>
      <c r="M68" s="25"/>
      <c r="N68" s="23"/>
      <c r="O68" s="26"/>
      <c r="P68" s="27"/>
      <c r="Q68" s="28"/>
      <c r="R68" s="29"/>
      <c r="S68" s="24"/>
      <c r="T68" s="25"/>
      <c r="U68" s="23"/>
      <c r="V68" s="25"/>
      <c r="W68" s="23"/>
      <c r="X68" s="26"/>
      <c r="Y68" s="24"/>
      <c r="Z68" s="25"/>
      <c r="AA68" s="23"/>
      <c r="AB68" s="25"/>
      <c r="AC68" s="23"/>
      <c r="AD68" s="26"/>
    </row>
    <row r="69">
      <c r="A69" s="30" t="s">
        <v>58</v>
      </c>
      <c r="B69" s="22" t="s">
        <v>61</v>
      </c>
      <c r="C69" s="22" t="s">
        <v>62</v>
      </c>
      <c r="D69" s="24"/>
      <c r="E69" s="25" t="n">
        <f>35988</f>
        <v>35988.0</v>
      </c>
      <c r="F69" s="23"/>
      <c r="G69" s="25" t="n">
        <f>31301</f>
        <v>31301.0</v>
      </c>
      <c r="H69" s="23"/>
      <c r="I69" s="26" t="n">
        <f>67289</f>
        <v>67289.0</v>
      </c>
      <c r="J69" s="24"/>
      <c r="K69" s="25" t="n">
        <f>424518080</f>
        <v>4.2451808E8</v>
      </c>
      <c r="L69" s="23"/>
      <c r="M69" s="25" t="n">
        <f>402075740</f>
        <v>4.0207574E8</v>
      </c>
      <c r="N69" s="23"/>
      <c r="O69" s="26" t="n">
        <f>826593820</f>
        <v>8.2659382E8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4530</f>
        <v>4530.0</v>
      </c>
      <c r="U69" s="23"/>
      <c r="V69" s="25" t="n">
        <f>5090</f>
        <v>5090.0</v>
      </c>
      <c r="W69" s="23"/>
      <c r="X69" s="26" t="n">
        <f>9620</f>
        <v>9620.0</v>
      </c>
      <c r="Y69" s="24"/>
      <c r="Z69" s="25" t="n">
        <f>28439</f>
        <v>28439.0</v>
      </c>
      <c r="AA69" s="23"/>
      <c r="AB69" s="25" t="n">
        <f>32201</f>
        <v>32201.0</v>
      </c>
      <c r="AC69" s="23"/>
      <c r="AD69" s="26" t="n">
        <f>60640</f>
        <v>60640.0</v>
      </c>
    </row>
    <row r="70">
      <c r="A70" s="30" t="s">
        <v>59</v>
      </c>
      <c r="B70" s="22" t="s">
        <v>61</v>
      </c>
      <c r="C70" s="22" t="s">
        <v>62</v>
      </c>
      <c r="D70" s="24"/>
      <c r="E70" s="25" t="n">
        <f>20910</f>
        <v>20910.0</v>
      </c>
      <c r="F70" s="23"/>
      <c r="G70" s="25" t="n">
        <f>27054</f>
        <v>27054.0</v>
      </c>
      <c r="H70" s="23"/>
      <c r="I70" s="26" t="n">
        <f>47964</f>
        <v>47964.0</v>
      </c>
      <c r="J70" s="24"/>
      <c r="K70" s="25" t="n">
        <f>226200120</f>
        <v>2.2620012E8</v>
      </c>
      <c r="L70" s="23"/>
      <c r="M70" s="25" t="n">
        <f>284599410</f>
        <v>2.8459941E8</v>
      </c>
      <c r="N70" s="23"/>
      <c r="O70" s="26" t="n">
        <f>510799530</f>
        <v>5.1079953E8</v>
      </c>
      <c r="P70" s="27" t="str">
        <f>"－"</f>
        <v>－</v>
      </c>
      <c r="Q70" s="28" t="str">
        <f>"－"</f>
        <v>－</v>
      </c>
      <c r="R70" s="29" t="str">
        <f>"－"</f>
        <v>－</v>
      </c>
      <c r="S70" s="24"/>
      <c r="T70" s="25" t="n">
        <f>2430</f>
        <v>2430.0</v>
      </c>
      <c r="U70" s="23"/>
      <c r="V70" s="25" t="n">
        <f>2790</f>
        <v>2790.0</v>
      </c>
      <c r="W70" s="23"/>
      <c r="X70" s="26" t="n">
        <f>5220</f>
        <v>5220.0</v>
      </c>
      <c r="Y70" s="24"/>
      <c r="Z70" s="25" t="n">
        <f>32831</f>
        <v>32831.0</v>
      </c>
      <c r="AA70" s="23"/>
      <c r="AB70" s="25" t="n">
        <f>35983</f>
        <v>35983.0</v>
      </c>
      <c r="AC70" s="23"/>
      <c r="AD70" s="26" t="n">
        <f>68814</f>
        <v>68814.0</v>
      </c>
    </row>
    <row r="71">
      <c r="A71" s="30" t="s">
        <v>60</v>
      </c>
      <c r="B71" s="22" t="s">
        <v>61</v>
      </c>
      <c r="C71" s="22" t="s">
        <v>62</v>
      </c>
      <c r="D71" s="24"/>
      <c r="E71" s="25" t="n">
        <f>36735</f>
        <v>36735.0</v>
      </c>
      <c r="F71" s="23"/>
      <c r="G71" s="25" t="n">
        <f>31792</f>
        <v>31792.0</v>
      </c>
      <c r="H71" s="23"/>
      <c r="I71" s="26" t="n">
        <f>68527</f>
        <v>68527.0</v>
      </c>
      <c r="J71" s="24"/>
      <c r="K71" s="25" t="n">
        <f>391370130</f>
        <v>3.9137013E8</v>
      </c>
      <c r="L71" s="23"/>
      <c r="M71" s="25" t="n">
        <f>448559010</f>
        <v>4.4855901E8</v>
      </c>
      <c r="N71" s="23"/>
      <c r="O71" s="26" t="n">
        <f>839929140</f>
        <v>8.3992914E8</v>
      </c>
      <c r="P71" s="27" t="str">
        <f>"－"</f>
        <v>－</v>
      </c>
      <c r="Q71" s="28" t="str">
        <f>"－"</f>
        <v>－</v>
      </c>
      <c r="R71" s="29" t="str">
        <f>"－"</f>
        <v>－</v>
      </c>
      <c r="S71" s="24"/>
      <c r="T71" s="25" t="n">
        <f>4850</f>
        <v>4850.0</v>
      </c>
      <c r="U71" s="23"/>
      <c r="V71" s="25" t="n">
        <f>3560</f>
        <v>3560.0</v>
      </c>
      <c r="W71" s="23"/>
      <c r="X71" s="26" t="n">
        <f>8410</f>
        <v>8410.0</v>
      </c>
      <c r="Y71" s="24"/>
      <c r="Z71" s="25" t="n">
        <f>39303</f>
        <v>39303.0</v>
      </c>
      <c r="AA71" s="23"/>
      <c r="AB71" s="25" t="n">
        <f>38102</f>
        <v>38102.0</v>
      </c>
      <c r="AC71" s="23"/>
      <c r="AD71" s="26" t="n">
        <f>77405</f>
        <v>77405.0</v>
      </c>
    </row>
    <row r="72">
      <c r="A72" s="30" t="s">
        <v>26</v>
      </c>
      <c r="B72" s="22" t="s">
        <v>63</v>
      </c>
      <c r="C72" s="22" t="s">
        <v>64</v>
      </c>
      <c r="D72" s="24"/>
      <c r="E72" s="25" t="n">
        <f>603</f>
        <v>603.0</v>
      </c>
      <c r="F72" s="23"/>
      <c r="G72" s="25" t="n">
        <f>1853</f>
        <v>1853.0</v>
      </c>
      <c r="H72" s="23"/>
      <c r="I72" s="26" t="n">
        <f>2456</f>
        <v>2456.0</v>
      </c>
      <c r="J72" s="24"/>
      <c r="K72" s="25" t="n">
        <f>51831468</f>
        <v>5.1831468E7</v>
      </c>
      <c r="L72" s="23"/>
      <c r="M72" s="25" t="n">
        <f>358577594</f>
        <v>3.58577594E8</v>
      </c>
      <c r="N72" s="23"/>
      <c r="O72" s="26" t="n">
        <f>410409062</f>
        <v>4.10409062E8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/>
      <c r="T72" s="25" t="n">
        <f>603</f>
        <v>603.0</v>
      </c>
      <c r="U72" s="23"/>
      <c r="V72" s="25" t="n">
        <f>1678</f>
        <v>1678.0</v>
      </c>
      <c r="W72" s="23"/>
      <c r="X72" s="26" t="n">
        <f>2281</f>
        <v>2281.0</v>
      </c>
      <c r="Y72" s="24" t="s">
        <v>36</v>
      </c>
      <c r="Z72" s="25" t="n">
        <f>111142</f>
        <v>111142.0</v>
      </c>
      <c r="AA72" s="23" t="s">
        <v>36</v>
      </c>
      <c r="AB72" s="25" t="n">
        <f>72804</f>
        <v>72804.0</v>
      </c>
      <c r="AC72" s="23" t="s">
        <v>36</v>
      </c>
      <c r="AD72" s="26" t="n">
        <f>183946</f>
        <v>183946.0</v>
      </c>
    </row>
    <row r="73">
      <c r="A73" s="30" t="s">
        <v>29</v>
      </c>
      <c r="B73" s="22" t="s">
        <v>63</v>
      </c>
      <c r="C73" s="22" t="s">
        <v>64</v>
      </c>
      <c r="D73" s="24"/>
      <c r="E73" s="25" t="n">
        <f>1411</f>
        <v>1411.0</v>
      </c>
      <c r="F73" s="23"/>
      <c r="G73" s="25" t="n">
        <f>834</f>
        <v>834.0</v>
      </c>
      <c r="H73" s="23"/>
      <c r="I73" s="26" t="n">
        <f>2245</f>
        <v>2245.0</v>
      </c>
      <c r="J73" s="24"/>
      <c r="K73" s="25" t="n">
        <f>753410000</f>
        <v>7.5341E8</v>
      </c>
      <c r="L73" s="23"/>
      <c r="M73" s="25" t="n">
        <f>540021285</f>
        <v>5.40021285E8</v>
      </c>
      <c r="N73" s="23"/>
      <c r="O73" s="26" t="n">
        <f>1293431285</f>
        <v>1.293431285E9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/>
      <c r="T73" s="25" t="n">
        <f>311</f>
        <v>311.0</v>
      </c>
      <c r="U73" s="23"/>
      <c r="V73" s="25" t="n">
        <f>384</f>
        <v>384.0</v>
      </c>
      <c r="W73" s="23"/>
      <c r="X73" s="26" t="n">
        <f>695</f>
        <v>695.0</v>
      </c>
      <c r="Y73" s="24"/>
      <c r="Z73" s="25" t="n">
        <f>111828</f>
        <v>111828.0</v>
      </c>
      <c r="AA73" s="23"/>
      <c r="AB73" s="25" t="n">
        <f>73218</f>
        <v>73218.0</v>
      </c>
      <c r="AC73" s="23"/>
      <c r="AD73" s="26" t="n">
        <f>185046</f>
        <v>185046.0</v>
      </c>
    </row>
    <row r="74">
      <c r="A74" s="30" t="s">
        <v>30</v>
      </c>
      <c r="B74" s="22" t="s">
        <v>63</v>
      </c>
      <c r="C74" s="22" t="s">
        <v>64</v>
      </c>
      <c r="D74" s="24"/>
      <c r="E74" s="25" t="n">
        <f>600</f>
        <v>600.0</v>
      </c>
      <c r="F74" s="23"/>
      <c r="G74" s="25" t="n">
        <f>1625</f>
        <v>1625.0</v>
      </c>
      <c r="H74" s="23"/>
      <c r="I74" s="26" t="n">
        <f>2225</f>
        <v>2225.0</v>
      </c>
      <c r="J74" s="24"/>
      <c r="K74" s="25" t="n">
        <f>6000000</f>
        <v>6000000.0</v>
      </c>
      <c r="L74" s="23"/>
      <c r="M74" s="25" t="n">
        <f>160196875</f>
        <v>1.60196875E8</v>
      </c>
      <c r="N74" s="23"/>
      <c r="O74" s="26" t="n">
        <f>166196875</f>
        <v>1.66196875E8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 t="s">
        <v>36</v>
      </c>
      <c r="T74" s="25" t="str">
        <f>"－"</f>
        <v>－</v>
      </c>
      <c r="U74" s="23"/>
      <c r="V74" s="25" t="n">
        <f>963</f>
        <v>963.0</v>
      </c>
      <c r="W74" s="23"/>
      <c r="X74" s="26" t="n">
        <f>963</f>
        <v>963.0</v>
      </c>
      <c r="Y74" s="24"/>
      <c r="Z74" s="25" t="n">
        <f>112428</f>
        <v>112428.0</v>
      </c>
      <c r="AA74" s="23"/>
      <c r="AB74" s="25" t="n">
        <f>74843</f>
        <v>74843.0</v>
      </c>
      <c r="AC74" s="23"/>
      <c r="AD74" s="26" t="n">
        <f>187271</f>
        <v>187271.0</v>
      </c>
    </row>
    <row r="75">
      <c r="A75" s="30" t="s">
        <v>31</v>
      </c>
      <c r="B75" s="22" t="s">
        <v>63</v>
      </c>
      <c r="C75" s="22" t="s">
        <v>64</v>
      </c>
      <c r="D75" s="24"/>
      <c r="E75" s="25" t="n">
        <f>568</f>
        <v>568.0</v>
      </c>
      <c r="F75" s="23"/>
      <c r="G75" s="25" t="n">
        <f>2953</f>
        <v>2953.0</v>
      </c>
      <c r="H75" s="23"/>
      <c r="I75" s="26" t="n">
        <f>3521</f>
        <v>3521.0</v>
      </c>
      <c r="J75" s="24"/>
      <c r="K75" s="25" t="n">
        <f>826415000</f>
        <v>8.26415E8</v>
      </c>
      <c r="L75" s="23"/>
      <c r="M75" s="25" t="n">
        <f>2981055385</f>
        <v>2.981055385E9</v>
      </c>
      <c r="N75" s="23"/>
      <c r="O75" s="26" t="n">
        <f>3807470385</f>
        <v>3.807470385E9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n">
        <f>250</f>
        <v>250.0</v>
      </c>
      <c r="U75" s="23"/>
      <c r="V75" s="25" t="n">
        <f>1169</f>
        <v>1169.0</v>
      </c>
      <c r="W75" s="23"/>
      <c r="X75" s="26" t="n">
        <f>1419</f>
        <v>1419.0</v>
      </c>
      <c r="Y75" s="24"/>
      <c r="Z75" s="25" t="n">
        <f>112996</f>
        <v>112996.0</v>
      </c>
      <c r="AA75" s="23"/>
      <c r="AB75" s="25" t="n">
        <f>75539</f>
        <v>75539.0</v>
      </c>
      <c r="AC75" s="23"/>
      <c r="AD75" s="26" t="n">
        <f>188535</f>
        <v>188535.0</v>
      </c>
    </row>
    <row r="76">
      <c r="A76" s="30" t="s">
        <v>32</v>
      </c>
      <c r="B76" s="22" t="s">
        <v>63</v>
      </c>
      <c r="C76" s="22" t="s">
        <v>64</v>
      </c>
      <c r="D76" s="24"/>
      <c r="E76" s="25" t="n">
        <f>5798</f>
        <v>5798.0</v>
      </c>
      <c r="F76" s="23"/>
      <c r="G76" s="25" t="n">
        <f>2665</f>
        <v>2665.0</v>
      </c>
      <c r="H76" s="23"/>
      <c r="I76" s="26" t="n">
        <f>8463</f>
        <v>8463.0</v>
      </c>
      <c r="J76" s="24"/>
      <c r="K76" s="25" t="n">
        <f>2351638530</f>
        <v>2.35163853E9</v>
      </c>
      <c r="L76" s="23"/>
      <c r="M76" s="25" t="n">
        <f>1272905460</f>
        <v>1.27290546E9</v>
      </c>
      <c r="N76" s="23"/>
      <c r="O76" s="26" t="n">
        <f>3624543990</f>
        <v>3.62454399E9</v>
      </c>
      <c r="P76" s="27" t="str">
        <f>"－"</f>
        <v>－</v>
      </c>
      <c r="Q76" s="28" t="str">
        <f>"－"</f>
        <v>－</v>
      </c>
      <c r="R76" s="29" t="str">
        <f>"－"</f>
        <v>－</v>
      </c>
      <c r="S76" s="24"/>
      <c r="T76" s="25" t="n">
        <f>3333</f>
        <v>3333.0</v>
      </c>
      <c r="U76" s="23"/>
      <c r="V76" s="25" t="n">
        <f>1648</f>
        <v>1648.0</v>
      </c>
      <c r="W76" s="23"/>
      <c r="X76" s="26" t="n">
        <f>4981</f>
        <v>4981.0</v>
      </c>
      <c r="Y76" s="24"/>
      <c r="Z76" s="25" t="n">
        <f>118064</f>
        <v>118064.0</v>
      </c>
      <c r="AA76" s="23"/>
      <c r="AB76" s="25" t="n">
        <f>76378</f>
        <v>76378.0</v>
      </c>
      <c r="AC76" s="23"/>
      <c r="AD76" s="26" t="n">
        <f>194442</f>
        <v>194442.0</v>
      </c>
    </row>
    <row r="77">
      <c r="A77" s="30" t="s">
        <v>33</v>
      </c>
      <c r="B77" s="22" t="s">
        <v>63</v>
      </c>
      <c r="C77" s="22" t="s">
        <v>64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34</v>
      </c>
      <c r="B78" s="22" t="s">
        <v>63</v>
      </c>
      <c r="C78" s="22" t="s">
        <v>64</v>
      </c>
      <c r="D78" s="24"/>
      <c r="E78" s="25"/>
      <c r="F78" s="23"/>
      <c r="G78" s="25"/>
      <c r="H78" s="23"/>
      <c r="I78" s="26"/>
      <c r="J78" s="24"/>
      <c r="K78" s="25"/>
      <c r="L78" s="23"/>
      <c r="M78" s="25"/>
      <c r="N78" s="23"/>
      <c r="O78" s="26"/>
      <c r="P78" s="27"/>
      <c r="Q78" s="28"/>
      <c r="R78" s="29"/>
      <c r="S78" s="24"/>
      <c r="T78" s="25"/>
      <c r="U78" s="23"/>
      <c r="V78" s="25"/>
      <c r="W78" s="23"/>
      <c r="X78" s="26"/>
      <c r="Y78" s="24"/>
      <c r="Z78" s="25"/>
      <c r="AA78" s="23"/>
      <c r="AB78" s="25"/>
      <c r="AC78" s="23"/>
      <c r="AD78" s="26"/>
    </row>
    <row r="79">
      <c r="A79" s="30" t="s">
        <v>35</v>
      </c>
      <c r="B79" s="22" t="s">
        <v>63</v>
      </c>
      <c r="C79" s="22" t="s">
        <v>64</v>
      </c>
      <c r="D79" s="24"/>
      <c r="E79" s="25" t="n">
        <f>591</f>
        <v>591.0</v>
      </c>
      <c r="F79" s="23"/>
      <c r="G79" s="25" t="n">
        <f>585</f>
        <v>585.0</v>
      </c>
      <c r="H79" s="23"/>
      <c r="I79" s="26" t="n">
        <f>1176</f>
        <v>1176.0</v>
      </c>
      <c r="J79" s="24"/>
      <c r="K79" s="25" t="n">
        <f>487638647</f>
        <v>4.87638647E8</v>
      </c>
      <c r="L79" s="23"/>
      <c r="M79" s="25" t="n">
        <f>486176300</f>
        <v>4.861763E8</v>
      </c>
      <c r="N79" s="23"/>
      <c r="O79" s="26" t="n">
        <f>973814947</f>
        <v>9.73814947E8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/>
      <c r="T79" s="25" t="n">
        <f>11</f>
        <v>11.0</v>
      </c>
      <c r="U79" s="23"/>
      <c r="V79" s="25" t="n">
        <f>415</f>
        <v>415.0</v>
      </c>
      <c r="W79" s="23"/>
      <c r="X79" s="26" t="n">
        <f>426</f>
        <v>426.0</v>
      </c>
      <c r="Y79" s="24"/>
      <c r="Z79" s="25" t="n">
        <f>118655</f>
        <v>118655.0</v>
      </c>
      <c r="AA79" s="23"/>
      <c r="AB79" s="25" t="n">
        <f>76368</f>
        <v>76368.0</v>
      </c>
      <c r="AC79" s="23"/>
      <c r="AD79" s="26" t="n">
        <f>195023</f>
        <v>195023.0</v>
      </c>
    </row>
    <row r="80">
      <c r="A80" s="30" t="s">
        <v>37</v>
      </c>
      <c r="B80" s="22" t="s">
        <v>63</v>
      </c>
      <c r="C80" s="22" t="s">
        <v>64</v>
      </c>
      <c r="D80" s="24"/>
      <c r="E80" s="25" t="n">
        <f>729</f>
        <v>729.0</v>
      </c>
      <c r="F80" s="23"/>
      <c r="G80" s="25" t="n">
        <f>4857</f>
        <v>4857.0</v>
      </c>
      <c r="H80" s="23"/>
      <c r="I80" s="26" t="n">
        <f>5586</f>
        <v>5586.0</v>
      </c>
      <c r="J80" s="24"/>
      <c r="K80" s="25" t="n">
        <f>820615299</f>
        <v>8.20615299E8</v>
      </c>
      <c r="L80" s="23" t="s">
        <v>40</v>
      </c>
      <c r="M80" s="25" t="n">
        <f>3024537148</f>
        <v>3.024537148E9</v>
      </c>
      <c r="N80" s="23"/>
      <c r="O80" s="26" t="n">
        <f>3845152447</f>
        <v>3.845152447E9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str">
        <f>"－"</f>
        <v>－</v>
      </c>
      <c r="U80" s="23"/>
      <c r="V80" s="25" t="n">
        <f>3757</f>
        <v>3757.0</v>
      </c>
      <c r="W80" s="23"/>
      <c r="X80" s="26" t="n">
        <f>3757</f>
        <v>3757.0</v>
      </c>
      <c r="Y80" s="24"/>
      <c r="Z80" s="25" t="n">
        <f>119244</f>
        <v>119244.0</v>
      </c>
      <c r="AA80" s="23"/>
      <c r="AB80" s="25" t="n">
        <f>76641</f>
        <v>76641.0</v>
      </c>
      <c r="AC80" s="23"/>
      <c r="AD80" s="26" t="n">
        <f>195885</f>
        <v>195885.0</v>
      </c>
    </row>
    <row r="81">
      <c r="A81" s="30" t="s">
        <v>38</v>
      </c>
      <c r="B81" s="22" t="s">
        <v>63</v>
      </c>
      <c r="C81" s="22" t="s">
        <v>64</v>
      </c>
      <c r="D81" s="24"/>
      <c r="E81" s="25" t="n">
        <f>3405</f>
        <v>3405.0</v>
      </c>
      <c r="F81" s="23"/>
      <c r="G81" s="25" t="n">
        <f>1370</f>
        <v>1370.0</v>
      </c>
      <c r="H81" s="23"/>
      <c r="I81" s="26" t="n">
        <f>4775</f>
        <v>4775.0</v>
      </c>
      <c r="J81" s="24"/>
      <c r="K81" s="25" t="n">
        <f>327290000</f>
        <v>3.2729E8</v>
      </c>
      <c r="L81" s="23"/>
      <c r="M81" s="25" t="n">
        <f>300010695</f>
        <v>3.00010695E8</v>
      </c>
      <c r="N81" s="23"/>
      <c r="O81" s="26" t="n">
        <f>627300695</f>
        <v>6.27300695E8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n">
        <f>3000</f>
        <v>3000.0</v>
      </c>
      <c r="U81" s="23"/>
      <c r="V81" s="25" t="n">
        <f>650</f>
        <v>650.0</v>
      </c>
      <c r="W81" s="23"/>
      <c r="X81" s="26" t="n">
        <f>3650</f>
        <v>3650.0</v>
      </c>
      <c r="Y81" s="24"/>
      <c r="Z81" s="25" t="n">
        <f>122336</f>
        <v>122336.0</v>
      </c>
      <c r="AA81" s="23"/>
      <c r="AB81" s="25" t="n">
        <f>77517</f>
        <v>77517.0</v>
      </c>
      <c r="AC81" s="23"/>
      <c r="AD81" s="26" t="n">
        <f>199853</f>
        <v>199853.0</v>
      </c>
    </row>
    <row r="82">
      <c r="A82" s="30" t="s">
        <v>39</v>
      </c>
      <c r="B82" s="22" t="s">
        <v>63</v>
      </c>
      <c r="C82" s="22" t="s">
        <v>64</v>
      </c>
      <c r="D82" s="24"/>
      <c r="E82" s="25" t="n">
        <f>5899</f>
        <v>5899.0</v>
      </c>
      <c r="F82" s="23"/>
      <c r="G82" s="25" t="n">
        <f>2838</f>
        <v>2838.0</v>
      </c>
      <c r="H82" s="23"/>
      <c r="I82" s="26" t="n">
        <f>8737</f>
        <v>8737.0</v>
      </c>
      <c r="J82" s="24" t="s">
        <v>40</v>
      </c>
      <c r="K82" s="25" t="n">
        <f>2516161600</f>
        <v>2.5161616E9</v>
      </c>
      <c r="L82" s="23"/>
      <c r="M82" s="25" t="n">
        <f>354473480</f>
        <v>3.5447348E8</v>
      </c>
      <c r="N82" s="23"/>
      <c r="O82" s="26" t="n">
        <f>2870635080</f>
        <v>2.87063508E9</v>
      </c>
      <c r="P82" s="27" t="str">
        <f>"－"</f>
        <v>－</v>
      </c>
      <c r="Q82" s="28" t="str">
        <f>"－"</f>
        <v>－</v>
      </c>
      <c r="R82" s="29" t="str">
        <f>"－"</f>
        <v>－</v>
      </c>
      <c r="S82" s="24"/>
      <c r="T82" s="25" t="n">
        <f>4070</f>
        <v>4070.0</v>
      </c>
      <c r="U82" s="23"/>
      <c r="V82" s="25" t="n">
        <f>1458</f>
        <v>1458.0</v>
      </c>
      <c r="W82" s="23"/>
      <c r="X82" s="26" t="n">
        <f>5528</f>
        <v>5528.0</v>
      </c>
      <c r="Y82" s="24"/>
      <c r="Z82" s="25" t="n">
        <f>123741</f>
        <v>123741.0</v>
      </c>
      <c r="AA82" s="23"/>
      <c r="AB82" s="25" t="n">
        <f>79148</f>
        <v>79148.0</v>
      </c>
      <c r="AC82" s="23"/>
      <c r="AD82" s="26" t="n">
        <f>202889</f>
        <v>202889.0</v>
      </c>
    </row>
    <row r="83">
      <c r="A83" s="30" t="s">
        <v>41</v>
      </c>
      <c r="B83" s="22" t="s">
        <v>63</v>
      </c>
      <c r="C83" s="22" t="s">
        <v>64</v>
      </c>
      <c r="D83" s="24" t="s">
        <v>40</v>
      </c>
      <c r="E83" s="25" t="n">
        <f>6423</f>
        <v>6423.0</v>
      </c>
      <c r="F83" s="23"/>
      <c r="G83" s="25" t="n">
        <f>1297</f>
        <v>1297.0</v>
      </c>
      <c r="H83" s="23"/>
      <c r="I83" s="26" t="n">
        <f>7720</f>
        <v>7720.0</v>
      </c>
      <c r="J83" s="24"/>
      <c r="K83" s="25" t="n">
        <f>1513970000</f>
        <v>1.51397E9</v>
      </c>
      <c r="L83" s="23"/>
      <c r="M83" s="25" t="n">
        <f>857053278</f>
        <v>8.57053278E8</v>
      </c>
      <c r="N83" s="23"/>
      <c r="O83" s="26" t="n">
        <f>2371023278</f>
        <v>2.371023278E9</v>
      </c>
      <c r="P83" s="27" t="n">
        <f>2075</f>
        <v>2075.0</v>
      </c>
      <c r="Q83" s="28" t="n">
        <f>3000</f>
        <v>3000.0</v>
      </c>
      <c r="R83" s="29" t="n">
        <f>5075</f>
        <v>5075.0</v>
      </c>
      <c r="S83" s="24" t="s">
        <v>40</v>
      </c>
      <c r="T83" s="25" t="n">
        <f>4720</f>
        <v>4720.0</v>
      </c>
      <c r="U83" s="23"/>
      <c r="V83" s="25" t="n">
        <f>496</f>
        <v>496.0</v>
      </c>
      <c r="W83" s="23"/>
      <c r="X83" s="26" t="n">
        <f>5216</f>
        <v>5216.0</v>
      </c>
      <c r="Y83" s="24"/>
      <c r="Z83" s="25" t="n">
        <f>112921</f>
        <v>112921.0</v>
      </c>
      <c r="AA83" s="23"/>
      <c r="AB83" s="25" t="n">
        <f>74654</f>
        <v>74654.0</v>
      </c>
      <c r="AC83" s="23"/>
      <c r="AD83" s="26" t="n">
        <f>187575</f>
        <v>187575.0</v>
      </c>
    </row>
    <row r="84">
      <c r="A84" s="30" t="s">
        <v>42</v>
      </c>
      <c r="B84" s="22" t="s">
        <v>63</v>
      </c>
      <c r="C84" s="22" t="s">
        <v>64</v>
      </c>
      <c r="D84" s="24"/>
      <c r="E84" s="25"/>
      <c r="F84" s="23"/>
      <c r="G84" s="25"/>
      <c r="H84" s="23"/>
      <c r="I84" s="26"/>
      <c r="J84" s="24"/>
      <c r="K84" s="25"/>
      <c r="L84" s="23"/>
      <c r="M84" s="25"/>
      <c r="N84" s="23"/>
      <c r="O84" s="26"/>
      <c r="P84" s="27"/>
      <c r="Q84" s="28"/>
      <c r="R84" s="29"/>
      <c r="S84" s="24"/>
      <c r="T84" s="25"/>
      <c r="U84" s="23"/>
      <c r="V84" s="25"/>
      <c r="W84" s="23"/>
      <c r="X84" s="26"/>
      <c r="Y84" s="24"/>
      <c r="Z84" s="25"/>
      <c r="AA84" s="23"/>
      <c r="AB84" s="25"/>
      <c r="AC84" s="23"/>
      <c r="AD84" s="26"/>
    </row>
    <row r="85">
      <c r="A85" s="30" t="s">
        <v>43</v>
      </c>
      <c r="B85" s="22" t="s">
        <v>63</v>
      </c>
      <c r="C85" s="22" t="s">
        <v>64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44</v>
      </c>
      <c r="B86" s="22" t="s">
        <v>63</v>
      </c>
      <c r="C86" s="22" t="s">
        <v>64</v>
      </c>
      <c r="D86" s="24"/>
      <c r="E86" s="25"/>
      <c r="F86" s="23"/>
      <c r="G86" s="25"/>
      <c r="H86" s="23"/>
      <c r="I86" s="26"/>
      <c r="J86" s="24"/>
      <c r="K86" s="25"/>
      <c r="L86" s="23"/>
      <c r="M86" s="25"/>
      <c r="N86" s="23"/>
      <c r="O86" s="26"/>
      <c r="P86" s="27"/>
      <c r="Q86" s="28"/>
      <c r="R86" s="29"/>
      <c r="S86" s="24"/>
      <c r="T86" s="25"/>
      <c r="U86" s="23"/>
      <c r="V86" s="25"/>
      <c r="W86" s="23"/>
      <c r="X86" s="26"/>
      <c r="Y86" s="24"/>
      <c r="Z86" s="25"/>
      <c r="AA86" s="23"/>
      <c r="AB86" s="25"/>
      <c r="AC86" s="23"/>
      <c r="AD86" s="26"/>
    </row>
    <row r="87">
      <c r="A87" s="30" t="s">
        <v>45</v>
      </c>
      <c r="B87" s="22" t="s">
        <v>63</v>
      </c>
      <c r="C87" s="22" t="s">
        <v>64</v>
      </c>
      <c r="D87" s="24"/>
      <c r="E87" s="25" t="n">
        <f>3919</f>
        <v>3919.0</v>
      </c>
      <c r="F87" s="23"/>
      <c r="G87" s="25" t="n">
        <f>3464</f>
        <v>3464.0</v>
      </c>
      <c r="H87" s="23"/>
      <c r="I87" s="26" t="n">
        <f>7383</f>
        <v>7383.0</v>
      </c>
      <c r="J87" s="24"/>
      <c r="K87" s="25" t="n">
        <f>2031042900</f>
        <v>2.0310429E9</v>
      </c>
      <c r="L87" s="23"/>
      <c r="M87" s="25" t="n">
        <f>2152458600</f>
        <v>2.1524586E9</v>
      </c>
      <c r="N87" s="23" t="s">
        <v>40</v>
      </c>
      <c r="O87" s="26" t="n">
        <f>4183501500</f>
        <v>4.1835015E9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1109</f>
        <v>1109.0</v>
      </c>
      <c r="U87" s="23"/>
      <c r="V87" s="25" t="n">
        <f>1434</f>
        <v>1434.0</v>
      </c>
      <c r="W87" s="23"/>
      <c r="X87" s="26" t="n">
        <f>2543</f>
        <v>2543.0</v>
      </c>
      <c r="Y87" s="24"/>
      <c r="Z87" s="25" t="n">
        <f>115696</f>
        <v>115696.0</v>
      </c>
      <c r="AA87" s="23"/>
      <c r="AB87" s="25" t="n">
        <f>76392</f>
        <v>76392.0</v>
      </c>
      <c r="AC87" s="23"/>
      <c r="AD87" s="26" t="n">
        <f>192088</f>
        <v>192088.0</v>
      </c>
    </row>
    <row r="88">
      <c r="A88" s="30" t="s">
        <v>46</v>
      </c>
      <c r="B88" s="22" t="s">
        <v>63</v>
      </c>
      <c r="C88" s="22" t="s">
        <v>64</v>
      </c>
      <c r="D88" s="24"/>
      <c r="E88" s="25" t="n">
        <f>746</f>
        <v>746.0</v>
      </c>
      <c r="F88" s="23"/>
      <c r="G88" s="25" t="n">
        <f>3961</f>
        <v>3961.0</v>
      </c>
      <c r="H88" s="23"/>
      <c r="I88" s="26" t="n">
        <f>4707</f>
        <v>4707.0</v>
      </c>
      <c r="J88" s="24"/>
      <c r="K88" s="25" t="n">
        <f>347900000</f>
        <v>3.479E8</v>
      </c>
      <c r="L88" s="23"/>
      <c r="M88" s="25" t="n">
        <f>1659169200</f>
        <v>1.6591692E9</v>
      </c>
      <c r="N88" s="23"/>
      <c r="O88" s="26" t="n">
        <f>2007069200</f>
        <v>2.0070692E9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str">
        <f>"－"</f>
        <v>－</v>
      </c>
      <c r="U88" s="23"/>
      <c r="V88" s="25" t="n">
        <f>1361</f>
        <v>1361.0</v>
      </c>
      <c r="W88" s="23"/>
      <c r="X88" s="26" t="n">
        <f>1361</f>
        <v>1361.0</v>
      </c>
      <c r="Y88" s="24"/>
      <c r="Z88" s="25" t="n">
        <f>116010</f>
        <v>116010.0</v>
      </c>
      <c r="AA88" s="23"/>
      <c r="AB88" s="25" t="n">
        <f>79555</f>
        <v>79555.0</v>
      </c>
      <c r="AC88" s="23"/>
      <c r="AD88" s="26" t="n">
        <f>195565</f>
        <v>195565.0</v>
      </c>
    </row>
    <row r="89">
      <c r="A89" s="30" t="s">
        <v>47</v>
      </c>
      <c r="B89" s="22" t="s">
        <v>63</v>
      </c>
      <c r="C89" s="22" t="s">
        <v>64</v>
      </c>
      <c r="D89" s="24"/>
      <c r="E89" s="25" t="n">
        <f>850</f>
        <v>850.0</v>
      </c>
      <c r="F89" s="23"/>
      <c r="G89" s="25" t="n">
        <f>1656</f>
        <v>1656.0</v>
      </c>
      <c r="H89" s="23"/>
      <c r="I89" s="26" t="n">
        <f>2506</f>
        <v>2506.0</v>
      </c>
      <c r="J89" s="24"/>
      <c r="K89" s="25" t="n">
        <f>1100350000</f>
        <v>1.10035E9</v>
      </c>
      <c r="L89" s="23"/>
      <c r="M89" s="25" t="n">
        <f>1313247910</f>
        <v>1.31324791E9</v>
      </c>
      <c r="N89" s="23"/>
      <c r="O89" s="26" t="n">
        <f>2413597910</f>
        <v>2.41359791E9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n">
        <f>150</f>
        <v>150.0</v>
      </c>
      <c r="U89" s="23"/>
      <c r="V89" s="25" t="n">
        <f>616</f>
        <v>616.0</v>
      </c>
      <c r="W89" s="23"/>
      <c r="X89" s="26" t="n">
        <f>766</f>
        <v>766.0</v>
      </c>
      <c r="Y89" s="24"/>
      <c r="Z89" s="25" t="n">
        <f>116785</f>
        <v>116785.0</v>
      </c>
      <c r="AA89" s="23"/>
      <c r="AB89" s="25" t="n">
        <f>80319</f>
        <v>80319.0</v>
      </c>
      <c r="AC89" s="23"/>
      <c r="AD89" s="26" t="n">
        <f>197104</f>
        <v>197104.0</v>
      </c>
    </row>
    <row r="90">
      <c r="A90" s="30" t="s">
        <v>48</v>
      </c>
      <c r="B90" s="22" t="s">
        <v>63</v>
      </c>
      <c r="C90" s="22" t="s">
        <v>64</v>
      </c>
      <c r="D90" s="24"/>
      <c r="E90" s="25" t="n">
        <f>1875</f>
        <v>1875.0</v>
      </c>
      <c r="F90" s="23"/>
      <c r="G90" s="25" t="n">
        <f>1450</f>
        <v>1450.0</v>
      </c>
      <c r="H90" s="23"/>
      <c r="I90" s="26" t="n">
        <f>3325</f>
        <v>3325.0</v>
      </c>
      <c r="J90" s="24"/>
      <c r="K90" s="25" t="n">
        <f>1181573000</f>
        <v>1.181573E9</v>
      </c>
      <c r="L90" s="23"/>
      <c r="M90" s="25" t="n">
        <f>823500000</f>
        <v>8.235E8</v>
      </c>
      <c r="N90" s="23"/>
      <c r="O90" s="26" t="n">
        <f>2005073000</f>
        <v>2.005073E9</v>
      </c>
      <c r="P90" s="27" t="str">
        <f>"－"</f>
        <v>－</v>
      </c>
      <c r="Q90" s="28" t="str">
        <f>"－"</f>
        <v>－</v>
      </c>
      <c r="R90" s="29" t="str">
        <f>"－"</f>
        <v>－</v>
      </c>
      <c r="S90" s="24"/>
      <c r="T90" s="25" t="str">
        <f>"－"</f>
        <v>－</v>
      </c>
      <c r="U90" s="23" t="s">
        <v>36</v>
      </c>
      <c r="V90" s="25" t="str">
        <f>"－"</f>
        <v>－</v>
      </c>
      <c r="W90" s="23" t="s">
        <v>36</v>
      </c>
      <c r="X90" s="26" t="str">
        <f>"－"</f>
        <v>－</v>
      </c>
      <c r="Y90" s="24"/>
      <c r="Z90" s="25" t="n">
        <f>118629</f>
        <v>118629.0</v>
      </c>
      <c r="AA90" s="23"/>
      <c r="AB90" s="25" t="n">
        <f>81449</f>
        <v>81449.0</v>
      </c>
      <c r="AC90" s="23"/>
      <c r="AD90" s="26" t="n">
        <f>200078</f>
        <v>200078.0</v>
      </c>
    </row>
    <row r="91">
      <c r="A91" s="30" t="s">
        <v>49</v>
      </c>
      <c r="B91" s="22" t="s">
        <v>63</v>
      </c>
      <c r="C91" s="22" t="s">
        <v>64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50</v>
      </c>
      <c r="B92" s="22" t="s">
        <v>63</v>
      </c>
      <c r="C92" s="22" t="s">
        <v>64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51</v>
      </c>
      <c r="B93" s="22" t="s">
        <v>63</v>
      </c>
      <c r="C93" s="22" t="s">
        <v>64</v>
      </c>
      <c r="D93" s="24"/>
      <c r="E93" s="25" t="n">
        <f>2768</f>
        <v>2768.0</v>
      </c>
      <c r="F93" s="23"/>
      <c r="G93" s="25" t="n">
        <f>2348</f>
        <v>2348.0</v>
      </c>
      <c r="H93" s="23"/>
      <c r="I93" s="26" t="n">
        <f>5116</f>
        <v>5116.0</v>
      </c>
      <c r="J93" s="24"/>
      <c r="K93" s="25" t="n">
        <f>1077781000</f>
        <v>1.077781E9</v>
      </c>
      <c r="L93" s="23"/>
      <c r="M93" s="25" t="n">
        <f>1013840000</f>
        <v>1.01384E9</v>
      </c>
      <c r="N93" s="23"/>
      <c r="O93" s="26" t="n">
        <f>2091621000</f>
        <v>2.091621E9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569</f>
        <v>569.0</v>
      </c>
      <c r="U93" s="23"/>
      <c r="V93" s="25" t="n">
        <f>348</f>
        <v>348.0</v>
      </c>
      <c r="W93" s="23"/>
      <c r="X93" s="26" t="n">
        <f>917</f>
        <v>917.0</v>
      </c>
      <c r="Y93" s="24"/>
      <c r="Z93" s="25" t="n">
        <f>120741</f>
        <v>120741.0</v>
      </c>
      <c r="AA93" s="23"/>
      <c r="AB93" s="25" t="n">
        <f>83025</f>
        <v>83025.0</v>
      </c>
      <c r="AC93" s="23"/>
      <c r="AD93" s="26" t="n">
        <f>203766</f>
        <v>203766.0</v>
      </c>
    </row>
    <row r="94">
      <c r="A94" s="30" t="s">
        <v>52</v>
      </c>
      <c r="B94" s="22" t="s">
        <v>63</v>
      </c>
      <c r="C94" s="22" t="s">
        <v>64</v>
      </c>
      <c r="D94" s="24"/>
      <c r="E94" s="25" t="n">
        <f>1700</f>
        <v>1700.0</v>
      </c>
      <c r="F94" s="23"/>
      <c r="G94" s="25" t="n">
        <f>1137</f>
        <v>1137.0</v>
      </c>
      <c r="H94" s="23"/>
      <c r="I94" s="26" t="n">
        <f>2837</f>
        <v>2837.0</v>
      </c>
      <c r="J94" s="24"/>
      <c r="K94" s="25" t="n">
        <f>342450000</f>
        <v>3.4245E8</v>
      </c>
      <c r="L94" s="23"/>
      <c r="M94" s="25" t="n">
        <f>171845178</f>
        <v>1.71845178E8</v>
      </c>
      <c r="N94" s="23"/>
      <c r="O94" s="26" t="n">
        <f>514295178</f>
        <v>5.14295178E8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n">
        <f>50</f>
        <v>50.0</v>
      </c>
      <c r="U94" s="23"/>
      <c r="V94" s="25" t="n">
        <f>187</f>
        <v>187.0</v>
      </c>
      <c r="W94" s="23"/>
      <c r="X94" s="26" t="n">
        <f>237</f>
        <v>237.0</v>
      </c>
      <c r="Y94" s="24"/>
      <c r="Z94" s="25" t="n">
        <f>121891</f>
        <v>121891.0</v>
      </c>
      <c r="AA94" s="23"/>
      <c r="AB94" s="25" t="n">
        <f>83428</f>
        <v>83428.0</v>
      </c>
      <c r="AC94" s="23"/>
      <c r="AD94" s="26" t="n">
        <f>205319</f>
        <v>205319.0</v>
      </c>
    </row>
    <row r="95">
      <c r="A95" s="30" t="s">
        <v>53</v>
      </c>
      <c r="B95" s="22" t="s">
        <v>63</v>
      </c>
      <c r="C95" s="22" t="s">
        <v>64</v>
      </c>
      <c r="D95" s="24"/>
      <c r="E95" s="25" t="n">
        <f>2557</f>
        <v>2557.0</v>
      </c>
      <c r="F95" s="23" t="s">
        <v>40</v>
      </c>
      <c r="G95" s="25" t="n">
        <f>7758</f>
        <v>7758.0</v>
      </c>
      <c r="H95" s="23" t="s">
        <v>40</v>
      </c>
      <c r="I95" s="26" t="n">
        <f>10315</f>
        <v>10315.0</v>
      </c>
      <c r="J95" s="24"/>
      <c r="K95" s="25" t="n">
        <f>1028820000</f>
        <v>1.02882E9</v>
      </c>
      <c r="L95" s="23"/>
      <c r="M95" s="25" t="n">
        <f>1659630880</f>
        <v>1.65963088E9</v>
      </c>
      <c r="N95" s="23"/>
      <c r="O95" s="26" t="n">
        <f>2688450880</f>
        <v>2.68845088E9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str">
        <f>"－"</f>
        <v>－</v>
      </c>
      <c r="U95" s="23" t="s">
        <v>40</v>
      </c>
      <c r="V95" s="25" t="n">
        <f>5728</f>
        <v>5728.0</v>
      </c>
      <c r="W95" s="23" t="s">
        <v>40</v>
      </c>
      <c r="X95" s="26" t="n">
        <f>5728</f>
        <v>5728.0</v>
      </c>
      <c r="Y95" s="24"/>
      <c r="Z95" s="25" t="n">
        <f>123934</f>
        <v>123934.0</v>
      </c>
      <c r="AA95" s="23"/>
      <c r="AB95" s="25" t="n">
        <f>90196</f>
        <v>90196.0</v>
      </c>
      <c r="AC95" s="23"/>
      <c r="AD95" s="26" t="n">
        <f>214130</f>
        <v>214130.0</v>
      </c>
    </row>
    <row r="96">
      <c r="A96" s="30" t="s">
        <v>54</v>
      </c>
      <c r="B96" s="22" t="s">
        <v>63</v>
      </c>
      <c r="C96" s="22" t="s">
        <v>64</v>
      </c>
      <c r="D96" s="24"/>
      <c r="E96" s="25" t="n">
        <f>5878</f>
        <v>5878.0</v>
      </c>
      <c r="F96" s="23"/>
      <c r="G96" s="25" t="n">
        <f>4326</f>
        <v>4326.0</v>
      </c>
      <c r="H96" s="23"/>
      <c r="I96" s="26" t="n">
        <f>10204</f>
        <v>10204.0</v>
      </c>
      <c r="J96" s="24"/>
      <c r="K96" s="25" t="n">
        <f>1938091054</f>
        <v>1.938091054E9</v>
      </c>
      <c r="L96" s="23"/>
      <c r="M96" s="25" t="n">
        <f>126884658</f>
        <v>1.26884658E8</v>
      </c>
      <c r="N96" s="23"/>
      <c r="O96" s="26" t="n">
        <f>2064975712</f>
        <v>2.064975712E9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n">
        <f>294</f>
        <v>294.0</v>
      </c>
      <c r="U96" s="23"/>
      <c r="V96" s="25" t="n">
        <f>1523</f>
        <v>1523.0</v>
      </c>
      <c r="W96" s="23"/>
      <c r="X96" s="26" t="n">
        <f>1817</f>
        <v>1817.0</v>
      </c>
      <c r="Y96" s="24"/>
      <c r="Z96" s="25" t="n">
        <f>126009</f>
        <v>126009.0</v>
      </c>
      <c r="AA96" s="23"/>
      <c r="AB96" s="25" t="n">
        <f>92666</f>
        <v>92666.0</v>
      </c>
      <c r="AC96" s="23"/>
      <c r="AD96" s="26" t="n">
        <f>218675</f>
        <v>218675.0</v>
      </c>
    </row>
    <row r="97">
      <c r="A97" s="30" t="s">
        <v>55</v>
      </c>
      <c r="B97" s="22" t="s">
        <v>63</v>
      </c>
      <c r="C97" s="22" t="s">
        <v>64</v>
      </c>
      <c r="D97" s="24"/>
      <c r="E97" s="25" t="n">
        <f>1880</f>
        <v>1880.0</v>
      </c>
      <c r="F97" s="23"/>
      <c r="G97" s="25" t="n">
        <f>4071</f>
        <v>4071.0</v>
      </c>
      <c r="H97" s="23"/>
      <c r="I97" s="26" t="n">
        <f>5951</f>
        <v>5951.0</v>
      </c>
      <c r="J97" s="24"/>
      <c r="K97" s="25" t="n">
        <f>2370600000</f>
        <v>2.3706E9</v>
      </c>
      <c r="L97" s="23"/>
      <c r="M97" s="25" t="n">
        <f>1766115453</f>
        <v>1.766115453E9</v>
      </c>
      <c r="N97" s="23"/>
      <c r="O97" s="26" t="n">
        <f>4136715453</f>
        <v>4.136715453E9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/>
      <c r="T97" s="25" t="n">
        <f>680</f>
        <v>680.0</v>
      </c>
      <c r="U97" s="23"/>
      <c r="V97" s="25" t="n">
        <f>2602</f>
        <v>2602.0</v>
      </c>
      <c r="W97" s="23"/>
      <c r="X97" s="26" t="n">
        <f>3282</f>
        <v>3282.0</v>
      </c>
      <c r="Y97" s="24"/>
      <c r="Z97" s="25" t="n">
        <f>126576</f>
        <v>126576.0</v>
      </c>
      <c r="AA97" s="23"/>
      <c r="AB97" s="25" t="n">
        <f>94629</f>
        <v>94629.0</v>
      </c>
      <c r="AC97" s="23"/>
      <c r="AD97" s="26" t="n">
        <f>221205</f>
        <v>221205.0</v>
      </c>
    </row>
    <row r="98">
      <c r="A98" s="30" t="s">
        <v>56</v>
      </c>
      <c r="B98" s="22" t="s">
        <v>63</v>
      </c>
      <c r="C98" s="22" t="s">
        <v>64</v>
      </c>
      <c r="D98" s="24"/>
      <c r="E98" s="25"/>
      <c r="F98" s="23"/>
      <c r="G98" s="25"/>
      <c r="H98" s="23"/>
      <c r="I98" s="26"/>
      <c r="J98" s="24"/>
      <c r="K98" s="25"/>
      <c r="L98" s="23"/>
      <c r="M98" s="25"/>
      <c r="N98" s="23"/>
      <c r="O98" s="26"/>
      <c r="P98" s="27"/>
      <c r="Q98" s="28"/>
      <c r="R98" s="29"/>
      <c r="S98" s="24"/>
      <c r="T98" s="25"/>
      <c r="U98" s="23"/>
      <c r="V98" s="25"/>
      <c r="W98" s="23"/>
      <c r="X98" s="26"/>
      <c r="Y98" s="24"/>
      <c r="Z98" s="25"/>
      <c r="AA98" s="23"/>
      <c r="AB98" s="25"/>
      <c r="AC98" s="23"/>
      <c r="AD98" s="26"/>
    </row>
    <row r="99">
      <c r="A99" s="30" t="s">
        <v>57</v>
      </c>
      <c r="B99" s="22" t="s">
        <v>63</v>
      </c>
      <c r="C99" s="22" t="s">
        <v>64</v>
      </c>
      <c r="D99" s="24"/>
      <c r="E99" s="25"/>
      <c r="F99" s="23"/>
      <c r="G99" s="25"/>
      <c r="H99" s="23"/>
      <c r="I99" s="26"/>
      <c r="J99" s="24"/>
      <c r="K99" s="25"/>
      <c r="L99" s="23"/>
      <c r="M99" s="25"/>
      <c r="N99" s="23"/>
      <c r="O99" s="26"/>
      <c r="P99" s="27"/>
      <c r="Q99" s="28"/>
      <c r="R99" s="29"/>
      <c r="S99" s="24"/>
      <c r="T99" s="25"/>
      <c r="U99" s="23"/>
      <c r="V99" s="25"/>
      <c r="W99" s="23"/>
      <c r="X99" s="26"/>
      <c r="Y99" s="24"/>
      <c r="Z99" s="25"/>
      <c r="AA99" s="23"/>
      <c r="AB99" s="25"/>
      <c r="AC99" s="23"/>
      <c r="AD99" s="26"/>
    </row>
    <row r="100">
      <c r="A100" s="30" t="s">
        <v>58</v>
      </c>
      <c r="B100" s="22" t="s">
        <v>63</v>
      </c>
      <c r="C100" s="22" t="s">
        <v>64</v>
      </c>
      <c r="D100" s="24"/>
      <c r="E100" s="25" t="n">
        <f>2189</f>
        <v>2189.0</v>
      </c>
      <c r="F100" s="23"/>
      <c r="G100" s="25" t="n">
        <f>1247</f>
        <v>1247.0</v>
      </c>
      <c r="H100" s="23"/>
      <c r="I100" s="26" t="n">
        <f>3436</f>
        <v>3436.0</v>
      </c>
      <c r="J100" s="24"/>
      <c r="K100" s="25" t="n">
        <f>1734726000</f>
        <v>1.734726E9</v>
      </c>
      <c r="L100" s="23"/>
      <c r="M100" s="25" t="n">
        <f>113575000</f>
        <v>1.13575E8</v>
      </c>
      <c r="N100" s="23"/>
      <c r="O100" s="26" t="n">
        <f>1848301000</f>
        <v>1.848301E9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/>
      <c r="T100" s="25" t="n">
        <f>689</f>
        <v>689.0</v>
      </c>
      <c r="U100" s="23"/>
      <c r="V100" s="25" t="n">
        <f>597</f>
        <v>597.0</v>
      </c>
      <c r="W100" s="23"/>
      <c r="X100" s="26" t="n">
        <f>1286</f>
        <v>1286.0</v>
      </c>
      <c r="Y100" s="24"/>
      <c r="Z100" s="25" t="n">
        <f>128332</f>
        <v>128332.0</v>
      </c>
      <c r="AA100" s="23"/>
      <c r="AB100" s="25" t="n">
        <f>95023</f>
        <v>95023.0</v>
      </c>
      <c r="AC100" s="23"/>
      <c r="AD100" s="26" t="n">
        <f>223355</f>
        <v>223355.0</v>
      </c>
    </row>
    <row r="101">
      <c r="A101" s="30" t="s">
        <v>59</v>
      </c>
      <c r="B101" s="22" t="s">
        <v>63</v>
      </c>
      <c r="C101" s="22" t="s">
        <v>64</v>
      </c>
      <c r="D101" s="24"/>
      <c r="E101" s="25" t="n">
        <f>600</f>
        <v>600.0</v>
      </c>
      <c r="F101" s="23"/>
      <c r="G101" s="25" t="n">
        <f>100</f>
        <v>100.0</v>
      </c>
      <c r="H101" s="23"/>
      <c r="I101" s="26" t="n">
        <f>700</f>
        <v>700.0</v>
      </c>
      <c r="J101" s="24"/>
      <c r="K101" s="25" t="n">
        <f>144000000</f>
        <v>1.44E8</v>
      </c>
      <c r="L101" s="23"/>
      <c r="M101" s="25" t="n">
        <f>14800000</f>
        <v>1.48E7</v>
      </c>
      <c r="N101" s="23"/>
      <c r="O101" s="26" t="n">
        <f>158800000</f>
        <v>1.588E8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str">
        <f>"－"</f>
        <v>－</v>
      </c>
      <c r="U101" s="23"/>
      <c r="V101" s="25" t="str">
        <f>"－"</f>
        <v>－</v>
      </c>
      <c r="W101" s="23"/>
      <c r="X101" s="26" t="str">
        <f>"－"</f>
        <v>－</v>
      </c>
      <c r="Y101" s="24" t="s">
        <v>40</v>
      </c>
      <c r="Z101" s="25" t="n">
        <f>128932</f>
        <v>128932.0</v>
      </c>
      <c r="AA101" s="23" t="s">
        <v>40</v>
      </c>
      <c r="AB101" s="25" t="n">
        <f>95123</f>
        <v>95123.0</v>
      </c>
      <c r="AC101" s="23" t="s">
        <v>40</v>
      </c>
      <c r="AD101" s="26" t="n">
        <f>224055</f>
        <v>224055.0</v>
      </c>
    </row>
    <row r="102">
      <c r="A102" s="30" t="s">
        <v>60</v>
      </c>
      <c r="B102" s="22" t="s">
        <v>63</v>
      </c>
      <c r="C102" s="22" t="s">
        <v>64</v>
      </c>
      <c r="D102" s="24" t="s">
        <v>36</v>
      </c>
      <c r="E102" s="25" t="str">
        <f>"－"</f>
        <v>－</v>
      </c>
      <c r="F102" s="23" t="s">
        <v>36</v>
      </c>
      <c r="G102" s="25" t="str">
        <f>"－"</f>
        <v>－</v>
      </c>
      <c r="H102" s="23" t="s">
        <v>36</v>
      </c>
      <c r="I102" s="26" t="str">
        <f>"－"</f>
        <v>－</v>
      </c>
      <c r="J102" s="24" t="s">
        <v>36</v>
      </c>
      <c r="K102" s="25" t="str">
        <f>"－"</f>
        <v>－</v>
      </c>
      <c r="L102" s="23" t="s">
        <v>36</v>
      </c>
      <c r="M102" s="25" t="str">
        <f>"－"</f>
        <v>－</v>
      </c>
      <c r="N102" s="23" t="s">
        <v>36</v>
      </c>
      <c r="O102" s="26" t="str">
        <f>"－"</f>
        <v>－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str">
        <f>"－"</f>
        <v>－</v>
      </c>
      <c r="U102" s="23"/>
      <c r="V102" s="25" t="str">
        <f>"－"</f>
        <v>－</v>
      </c>
      <c r="W102" s="23"/>
      <c r="X102" s="26" t="str">
        <f>"－"</f>
        <v>－</v>
      </c>
      <c r="Y102" s="24"/>
      <c r="Z102" s="25" t="n">
        <f>128932</f>
        <v>128932.0</v>
      </c>
      <c r="AA102" s="23"/>
      <c r="AB102" s="25" t="n">
        <f>95123</f>
        <v>95123.0</v>
      </c>
      <c r="AC102" s="23"/>
      <c r="AD102" s="26" t="n">
        <f>224055</f>
        <v>224055.0</v>
      </c>
    </row>
    <row r="103">
      <c r="A103" s="30" t="s">
        <v>26</v>
      </c>
      <c r="B103" s="22" t="s">
        <v>65</v>
      </c>
      <c r="C103" s="22" t="s">
        <v>66</v>
      </c>
      <c r="D103" s="24" t="s">
        <v>67</v>
      </c>
      <c r="E103" s="25" t="str">
        <f>"－"</f>
        <v>－</v>
      </c>
      <c r="F103" s="23" t="s">
        <v>67</v>
      </c>
      <c r="G103" s="25" t="str">
        <f>"－"</f>
        <v>－</v>
      </c>
      <c r="H103" s="23" t="s">
        <v>67</v>
      </c>
      <c r="I103" s="26" t="str">
        <f>"－"</f>
        <v>－</v>
      </c>
      <c r="J103" s="24" t="s">
        <v>67</v>
      </c>
      <c r="K103" s="25" t="str">
        <f>"－"</f>
        <v>－</v>
      </c>
      <c r="L103" s="23" t="s">
        <v>67</v>
      </c>
      <c r="M103" s="25" t="str">
        <f>"－"</f>
        <v>－</v>
      </c>
      <c r="N103" s="23" t="s">
        <v>67</v>
      </c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 t="s">
        <v>67</v>
      </c>
      <c r="T103" s="25" t="str">
        <f>"－"</f>
        <v>－</v>
      </c>
      <c r="U103" s="23" t="s">
        <v>67</v>
      </c>
      <c r="V103" s="25" t="str">
        <f>"－"</f>
        <v>－</v>
      </c>
      <c r="W103" s="23" t="s">
        <v>67</v>
      </c>
      <c r="X103" s="26" t="str">
        <f>"－"</f>
        <v>－</v>
      </c>
      <c r="Y103" s="24" t="s">
        <v>67</v>
      </c>
      <c r="Z103" s="25" t="str">
        <f>"－"</f>
        <v>－</v>
      </c>
      <c r="AA103" s="23" t="s">
        <v>67</v>
      </c>
      <c r="AB103" s="25" t="str">
        <f>"－"</f>
        <v>－</v>
      </c>
      <c r="AC103" s="23" t="s">
        <v>67</v>
      </c>
      <c r="AD103" s="26" t="str">
        <f>"－"</f>
        <v>－</v>
      </c>
    </row>
    <row r="104">
      <c r="A104" s="30" t="s">
        <v>29</v>
      </c>
      <c r="B104" s="22" t="s">
        <v>65</v>
      </c>
      <c r="C104" s="22" t="s">
        <v>66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30</v>
      </c>
      <c r="B105" s="22" t="s">
        <v>65</v>
      </c>
      <c r="C105" s="22" t="s">
        <v>66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31</v>
      </c>
      <c r="B106" s="22" t="s">
        <v>65</v>
      </c>
      <c r="C106" s="22" t="s">
        <v>66</v>
      </c>
      <c r="D106" s="24"/>
      <c r="E106" s="25" t="str">
        <f>"－"</f>
        <v>－</v>
      </c>
      <c r="F106" s="23"/>
      <c r="G106" s="25" t="str">
        <f>"－"</f>
        <v>－</v>
      </c>
      <c r="H106" s="23"/>
      <c r="I106" s="26" t="str">
        <f>"－"</f>
        <v>－</v>
      </c>
      <c r="J106" s="24"/>
      <c r="K106" s="25" t="str">
        <f>"－"</f>
        <v>－</v>
      </c>
      <c r="L106" s="23"/>
      <c r="M106" s="25" t="str">
        <f>"－"</f>
        <v>－</v>
      </c>
      <c r="N106" s="23"/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/>
      <c r="T106" s="25" t="str">
        <f>"－"</f>
        <v>－</v>
      </c>
      <c r="U106" s="23"/>
      <c r="V106" s="25" t="str">
        <f>"－"</f>
        <v>－</v>
      </c>
      <c r="W106" s="23"/>
      <c r="X106" s="26" t="str">
        <f>"－"</f>
        <v>－</v>
      </c>
      <c r="Y106" s="24"/>
      <c r="Z106" s="25" t="str">
        <f>"－"</f>
        <v>－</v>
      </c>
      <c r="AA106" s="23"/>
      <c r="AB106" s="25" t="str">
        <f>"－"</f>
        <v>－</v>
      </c>
      <c r="AC106" s="23"/>
      <c r="AD106" s="26" t="str">
        <f>"－"</f>
        <v>－</v>
      </c>
    </row>
    <row r="107">
      <c r="A107" s="30" t="s">
        <v>32</v>
      </c>
      <c r="B107" s="22" t="s">
        <v>65</v>
      </c>
      <c r="C107" s="22" t="s">
        <v>66</v>
      </c>
      <c r="D107" s="24"/>
      <c r="E107" s="25" t="str">
        <f>"－"</f>
        <v>－</v>
      </c>
      <c r="F107" s="23"/>
      <c r="G107" s="25" t="str">
        <f>"－"</f>
        <v>－</v>
      </c>
      <c r="H107" s="23"/>
      <c r="I107" s="26" t="str">
        <f>"－"</f>
        <v>－</v>
      </c>
      <c r="J107" s="24"/>
      <c r="K107" s="25" t="str">
        <f>"－"</f>
        <v>－</v>
      </c>
      <c r="L107" s="23"/>
      <c r="M107" s="25" t="str">
        <f>"－"</f>
        <v>－</v>
      </c>
      <c r="N107" s="23"/>
      <c r="O107" s="26" t="str">
        <f>"－"</f>
        <v>－</v>
      </c>
      <c r="P107" s="27" t="str">
        <f>"－"</f>
        <v>－</v>
      </c>
      <c r="Q107" s="28" t="str">
        <f>"－"</f>
        <v>－</v>
      </c>
      <c r="R107" s="29" t="str">
        <f>"－"</f>
        <v>－</v>
      </c>
      <c r="S107" s="24"/>
      <c r="T107" s="25" t="str">
        <f>"－"</f>
        <v>－</v>
      </c>
      <c r="U107" s="23"/>
      <c r="V107" s="25" t="str">
        <f>"－"</f>
        <v>－</v>
      </c>
      <c r="W107" s="23"/>
      <c r="X107" s="26" t="str">
        <f>"－"</f>
        <v>－</v>
      </c>
      <c r="Y107" s="24"/>
      <c r="Z107" s="25" t="str">
        <f>"－"</f>
        <v>－</v>
      </c>
      <c r="AA107" s="23"/>
      <c r="AB107" s="25" t="str">
        <f>"－"</f>
        <v>－</v>
      </c>
      <c r="AC107" s="23"/>
      <c r="AD107" s="26" t="str">
        <f>"－"</f>
        <v>－</v>
      </c>
    </row>
    <row r="108">
      <c r="A108" s="30" t="s">
        <v>33</v>
      </c>
      <c r="B108" s="22" t="s">
        <v>65</v>
      </c>
      <c r="C108" s="22" t="s">
        <v>66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34</v>
      </c>
      <c r="B109" s="22" t="s">
        <v>65</v>
      </c>
      <c r="C109" s="22" t="s">
        <v>66</v>
      </c>
      <c r="D109" s="24"/>
      <c r="E109" s="25"/>
      <c r="F109" s="23"/>
      <c r="G109" s="25"/>
      <c r="H109" s="23"/>
      <c r="I109" s="26"/>
      <c r="J109" s="24"/>
      <c r="K109" s="25"/>
      <c r="L109" s="23"/>
      <c r="M109" s="25"/>
      <c r="N109" s="23"/>
      <c r="O109" s="26"/>
      <c r="P109" s="27"/>
      <c r="Q109" s="28"/>
      <c r="R109" s="29"/>
      <c r="S109" s="24"/>
      <c r="T109" s="25"/>
      <c r="U109" s="23"/>
      <c r="V109" s="25"/>
      <c r="W109" s="23"/>
      <c r="X109" s="26"/>
      <c r="Y109" s="24"/>
      <c r="Z109" s="25"/>
      <c r="AA109" s="23"/>
      <c r="AB109" s="25"/>
      <c r="AC109" s="23"/>
      <c r="AD109" s="26"/>
    </row>
    <row r="110">
      <c r="A110" s="30" t="s">
        <v>35</v>
      </c>
      <c r="B110" s="22" t="s">
        <v>65</v>
      </c>
      <c r="C110" s="22" t="s">
        <v>66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37</v>
      </c>
      <c r="B111" s="22" t="s">
        <v>65</v>
      </c>
      <c r="C111" s="22" t="s">
        <v>66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38</v>
      </c>
      <c r="B112" s="22" t="s">
        <v>65</v>
      </c>
      <c r="C112" s="22" t="s">
        <v>66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39</v>
      </c>
      <c r="B113" s="22" t="s">
        <v>65</v>
      </c>
      <c r="C113" s="22" t="s">
        <v>66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41</v>
      </c>
      <c r="B114" s="22" t="s">
        <v>65</v>
      </c>
      <c r="C114" s="22" t="s">
        <v>66</v>
      </c>
      <c r="D114" s="24"/>
      <c r="E114" s="25" t="str">
        <f>"－"</f>
        <v>－</v>
      </c>
      <c r="F114" s="23"/>
      <c r="G114" s="25" t="str">
        <f>"－"</f>
        <v>－</v>
      </c>
      <c r="H114" s="23"/>
      <c r="I114" s="26" t="str">
        <f>"－"</f>
        <v>－</v>
      </c>
      <c r="J114" s="24"/>
      <c r="K114" s="25" t="str">
        <f>"－"</f>
        <v>－</v>
      </c>
      <c r="L114" s="23"/>
      <c r="M114" s="25" t="str">
        <f>"－"</f>
        <v>－</v>
      </c>
      <c r="N114" s="23"/>
      <c r="O114" s="26" t="str">
        <f>"－"</f>
        <v>－</v>
      </c>
      <c r="P114" s="27" t="str">
        <f>"－"</f>
        <v>－</v>
      </c>
      <c r="Q114" s="28" t="str">
        <f>"－"</f>
        <v>－</v>
      </c>
      <c r="R114" s="29" t="str">
        <f>"－"</f>
        <v>－</v>
      </c>
      <c r="S114" s="24"/>
      <c r="T114" s="25" t="str">
        <f>"－"</f>
        <v>－</v>
      </c>
      <c r="U114" s="23"/>
      <c r="V114" s="25" t="str">
        <f>"－"</f>
        <v>－</v>
      </c>
      <c r="W114" s="23"/>
      <c r="X114" s="26" t="str">
        <f>"－"</f>
        <v>－</v>
      </c>
      <c r="Y114" s="24"/>
      <c r="Z114" s="25" t="str">
        <f>"－"</f>
        <v>－</v>
      </c>
      <c r="AA114" s="23"/>
      <c r="AB114" s="25" t="str">
        <f>"－"</f>
        <v>－</v>
      </c>
      <c r="AC114" s="23"/>
      <c r="AD114" s="26" t="str">
        <f>"－"</f>
        <v>－</v>
      </c>
    </row>
    <row r="115">
      <c r="A115" s="30" t="s">
        <v>42</v>
      </c>
      <c r="B115" s="22" t="s">
        <v>65</v>
      </c>
      <c r="C115" s="22" t="s">
        <v>66</v>
      </c>
      <c r="D115" s="24"/>
      <c r="E115" s="25"/>
      <c r="F115" s="23"/>
      <c r="G115" s="25"/>
      <c r="H115" s="23"/>
      <c r="I115" s="26"/>
      <c r="J115" s="24"/>
      <c r="K115" s="25"/>
      <c r="L115" s="23"/>
      <c r="M115" s="25"/>
      <c r="N115" s="23"/>
      <c r="O115" s="26"/>
      <c r="P115" s="27"/>
      <c r="Q115" s="28"/>
      <c r="R115" s="29"/>
      <c r="S115" s="24"/>
      <c r="T115" s="25"/>
      <c r="U115" s="23"/>
      <c r="V115" s="25"/>
      <c r="W115" s="23"/>
      <c r="X115" s="26"/>
      <c r="Y115" s="24"/>
      <c r="Z115" s="25"/>
      <c r="AA115" s="23"/>
      <c r="AB115" s="25"/>
      <c r="AC115" s="23"/>
      <c r="AD115" s="26"/>
    </row>
    <row r="116">
      <c r="A116" s="30" t="s">
        <v>43</v>
      </c>
      <c r="B116" s="22" t="s">
        <v>65</v>
      </c>
      <c r="C116" s="22" t="s">
        <v>66</v>
      </c>
      <c r="D116" s="24"/>
      <c r="E116" s="25"/>
      <c r="F116" s="23"/>
      <c r="G116" s="25"/>
      <c r="H116" s="23"/>
      <c r="I116" s="26"/>
      <c r="J116" s="24"/>
      <c r="K116" s="25"/>
      <c r="L116" s="23"/>
      <c r="M116" s="25"/>
      <c r="N116" s="23"/>
      <c r="O116" s="26"/>
      <c r="P116" s="27"/>
      <c r="Q116" s="28"/>
      <c r="R116" s="29"/>
      <c r="S116" s="24"/>
      <c r="T116" s="25"/>
      <c r="U116" s="23"/>
      <c r="V116" s="25"/>
      <c r="W116" s="23"/>
      <c r="X116" s="26"/>
      <c r="Y116" s="24"/>
      <c r="Z116" s="25"/>
      <c r="AA116" s="23"/>
      <c r="AB116" s="25"/>
      <c r="AC116" s="23"/>
      <c r="AD116" s="26"/>
    </row>
    <row r="117">
      <c r="A117" s="30" t="s">
        <v>44</v>
      </c>
      <c r="B117" s="22" t="s">
        <v>65</v>
      </c>
      <c r="C117" s="22" t="s">
        <v>66</v>
      </c>
      <c r="D117" s="24"/>
      <c r="E117" s="25"/>
      <c r="F117" s="23"/>
      <c r="G117" s="25"/>
      <c r="H117" s="23"/>
      <c r="I117" s="26"/>
      <c r="J117" s="24"/>
      <c r="K117" s="25"/>
      <c r="L117" s="23"/>
      <c r="M117" s="25"/>
      <c r="N117" s="23"/>
      <c r="O117" s="26"/>
      <c r="P117" s="27"/>
      <c r="Q117" s="28"/>
      <c r="R117" s="29"/>
      <c r="S117" s="24"/>
      <c r="T117" s="25"/>
      <c r="U117" s="23"/>
      <c r="V117" s="25"/>
      <c r="W117" s="23"/>
      <c r="X117" s="26"/>
      <c r="Y117" s="24"/>
      <c r="Z117" s="25"/>
      <c r="AA117" s="23"/>
      <c r="AB117" s="25"/>
      <c r="AC117" s="23"/>
      <c r="AD117" s="26"/>
    </row>
    <row r="118">
      <c r="A118" s="30" t="s">
        <v>45</v>
      </c>
      <c r="B118" s="22" t="s">
        <v>65</v>
      </c>
      <c r="C118" s="22" t="s">
        <v>66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46</v>
      </c>
      <c r="B119" s="22" t="s">
        <v>65</v>
      </c>
      <c r="C119" s="22" t="s">
        <v>66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47</v>
      </c>
      <c r="B120" s="22" t="s">
        <v>65</v>
      </c>
      <c r="C120" s="22" t="s">
        <v>66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48</v>
      </c>
      <c r="B121" s="22" t="s">
        <v>65</v>
      </c>
      <c r="C121" s="22" t="s">
        <v>66</v>
      </c>
      <c r="D121" s="24"/>
      <c r="E121" s="25" t="str">
        <f>"－"</f>
        <v>－</v>
      </c>
      <c r="F121" s="23"/>
      <c r="G121" s="25" t="str">
        <f>"－"</f>
        <v>－</v>
      </c>
      <c r="H121" s="23"/>
      <c r="I121" s="26" t="str">
        <f>"－"</f>
        <v>－</v>
      </c>
      <c r="J121" s="24"/>
      <c r="K121" s="25" t="str">
        <f>"－"</f>
        <v>－</v>
      </c>
      <c r="L121" s="23"/>
      <c r="M121" s="25" t="str">
        <f>"－"</f>
        <v>－</v>
      </c>
      <c r="N121" s="23"/>
      <c r="O121" s="26" t="str">
        <f>"－"</f>
        <v>－</v>
      </c>
      <c r="P121" s="27" t="str">
        <f>"－"</f>
        <v>－</v>
      </c>
      <c r="Q121" s="28" t="str">
        <f>"－"</f>
        <v>－</v>
      </c>
      <c r="R121" s="29" t="str">
        <f>"－"</f>
        <v>－</v>
      </c>
      <c r="S121" s="24"/>
      <c r="T121" s="25" t="str">
        <f>"－"</f>
        <v>－</v>
      </c>
      <c r="U121" s="23"/>
      <c r="V121" s="25" t="str">
        <f>"－"</f>
        <v>－</v>
      </c>
      <c r="W121" s="23"/>
      <c r="X121" s="26" t="str">
        <f>"－"</f>
        <v>－</v>
      </c>
      <c r="Y121" s="24"/>
      <c r="Z121" s="25" t="str">
        <f>"－"</f>
        <v>－</v>
      </c>
      <c r="AA121" s="23"/>
      <c r="AB121" s="25" t="str">
        <f>"－"</f>
        <v>－</v>
      </c>
      <c r="AC121" s="23"/>
      <c r="AD121" s="26" t="str">
        <f>"－"</f>
        <v>－</v>
      </c>
    </row>
    <row r="122">
      <c r="A122" s="30" t="s">
        <v>49</v>
      </c>
      <c r="B122" s="22" t="s">
        <v>65</v>
      </c>
      <c r="C122" s="22" t="s">
        <v>66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50</v>
      </c>
      <c r="B123" s="22" t="s">
        <v>65</v>
      </c>
      <c r="C123" s="22" t="s">
        <v>66</v>
      </c>
      <c r="D123" s="24"/>
      <c r="E123" s="25"/>
      <c r="F123" s="23"/>
      <c r="G123" s="25"/>
      <c r="H123" s="23"/>
      <c r="I123" s="26"/>
      <c r="J123" s="24"/>
      <c r="K123" s="25"/>
      <c r="L123" s="23"/>
      <c r="M123" s="25"/>
      <c r="N123" s="23"/>
      <c r="O123" s="26"/>
      <c r="P123" s="27"/>
      <c r="Q123" s="28"/>
      <c r="R123" s="29"/>
      <c r="S123" s="24"/>
      <c r="T123" s="25"/>
      <c r="U123" s="23"/>
      <c r="V123" s="25"/>
      <c r="W123" s="23"/>
      <c r="X123" s="26"/>
      <c r="Y123" s="24"/>
      <c r="Z123" s="25"/>
      <c r="AA123" s="23"/>
      <c r="AB123" s="25"/>
      <c r="AC123" s="23"/>
      <c r="AD123" s="26"/>
    </row>
    <row r="124">
      <c r="A124" s="30" t="s">
        <v>51</v>
      </c>
      <c r="B124" s="22" t="s">
        <v>65</v>
      </c>
      <c r="C124" s="22" t="s">
        <v>66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52</v>
      </c>
      <c r="B125" s="22" t="s">
        <v>65</v>
      </c>
      <c r="C125" s="22" t="s">
        <v>66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53</v>
      </c>
      <c r="B126" s="22" t="s">
        <v>65</v>
      </c>
      <c r="C126" s="22" t="s">
        <v>66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54</v>
      </c>
      <c r="B127" s="22" t="s">
        <v>65</v>
      </c>
      <c r="C127" s="22" t="s">
        <v>66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55</v>
      </c>
      <c r="B128" s="22" t="s">
        <v>65</v>
      </c>
      <c r="C128" s="22" t="s">
        <v>66</v>
      </c>
      <c r="D128" s="24"/>
      <c r="E128" s="25" t="str">
        <f>"－"</f>
        <v>－</v>
      </c>
      <c r="F128" s="23"/>
      <c r="G128" s="25" t="str">
        <f>"－"</f>
        <v>－</v>
      </c>
      <c r="H128" s="23"/>
      <c r="I128" s="26" t="str">
        <f>"－"</f>
        <v>－</v>
      </c>
      <c r="J128" s="24"/>
      <c r="K128" s="25" t="str">
        <f>"－"</f>
        <v>－</v>
      </c>
      <c r="L128" s="23"/>
      <c r="M128" s="25" t="str">
        <f>"－"</f>
        <v>－</v>
      </c>
      <c r="N128" s="23"/>
      <c r="O128" s="26" t="str">
        <f>"－"</f>
        <v>－</v>
      </c>
      <c r="P128" s="27" t="str">
        <f>"－"</f>
        <v>－</v>
      </c>
      <c r="Q128" s="28" t="str">
        <f>"－"</f>
        <v>－</v>
      </c>
      <c r="R128" s="29" t="str">
        <f>"－"</f>
        <v>－</v>
      </c>
      <c r="S128" s="24"/>
      <c r="T128" s="25" t="str">
        <f>"－"</f>
        <v>－</v>
      </c>
      <c r="U128" s="23"/>
      <c r="V128" s="25" t="str">
        <f>"－"</f>
        <v>－</v>
      </c>
      <c r="W128" s="23"/>
      <c r="X128" s="26" t="str">
        <f>"－"</f>
        <v>－</v>
      </c>
      <c r="Y128" s="24"/>
      <c r="Z128" s="25" t="str">
        <f>"－"</f>
        <v>－</v>
      </c>
      <c r="AA128" s="23"/>
      <c r="AB128" s="25" t="str">
        <f>"－"</f>
        <v>－</v>
      </c>
      <c r="AC128" s="23"/>
      <c r="AD128" s="26" t="str">
        <f>"－"</f>
        <v>－</v>
      </c>
    </row>
    <row r="129">
      <c r="A129" s="30" t="s">
        <v>56</v>
      </c>
      <c r="B129" s="22" t="s">
        <v>65</v>
      </c>
      <c r="C129" s="22" t="s">
        <v>66</v>
      </c>
      <c r="D129" s="24"/>
      <c r="E129" s="25"/>
      <c r="F129" s="23"/>
      <c r="G129" s="25"/>
      <c r="H129" s="23"/>
      <c r="I129" s="26"/>
      <c r="J129" s="24"/>
      <c r="K129" s="25"/>
      <c r="L129" s="23"/>
      <c r="M129" s="25"/>
      <c r="N129" s="23"/>
      <c r="O129" s="26"/>
      <c r="P129" s="27"/>
      <c r="Q129" s="28"/>
      <c r="R129" s="29"/>
      <c r="S129" s="24"/>
      <c r="T129" s="25"/>
      <c r="U129" s="23"/>
      <c r="V129" s="25"/>
      <c r="W129" s="23"/>
      <c r="X129" s="26"/>
      <c r="Y129" s="24"/>
      <c r="Z129" s="25"/>
      <c r="AA129" s="23"/>
      <c r="AB129" s="25"/>
      <c r="AC129" s="23"/>
      <c r="AD129" s="26"/>
    </row>
    <row r="130">
      <c r="A130" s="30" t="s">
        <v>57</v>
      </c>
      <c r="B130" s="22" t="s">
        <v>65</v>
      </c>
      <c r="C130" s="22" t="s">
        <v>66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58</v>
      </c>
      <c r="B131" s="22" t="s">
        <v>65</v>
      </c>
      <c r="C131" s="22" t="s">
        <v>66</v>
      </c>
      <c r="D131" s="24"/>
      <c r="E131" s="25" t="str">
        <f>"－"</f>
        <v>－</v>
      </c>
      <c r="F131" s="23"/>
      <c r="G131" s="25" t="str">
        <f>"－"</f>
        <v>－</v>
      </c>
      <c r="H131" s="23"/>
      <c r="I131" s="26" t="str">
        <f>"－"</f>
        <v>－</v>
      </c>
      <c r="J131" s="24"/>
      <c r="K131" s="25" t="str">
        <f>"－"</f>
        <v>－</v>
      </c>
      <c r="L131" s="23"/>
      <c r="M131" s="25" t="str">
        <f>"－"</f>
        <v>－</v>
      </c>
      <c r="N131" s="23"/>
      <c r="O131" s="26" t="str">
        <f>"－"</f>
        <v>－</v>
      </c>
      <c r="P131" s="27" t="str">
        <f>"－"</f>
        <v>－</v>
      </c>
      <c r="Q131" s="28" t="str">
        <f>"－"</f>
        <v>－</v>
      </c>
      <c r="R131" s="29" t="str">
        <f>"－"</f>
        <v>－</v>
      </c>
      <c r="S131" s="24"/>
      <c r="T131" s="25" t="str">
        <f>"－"</f>
        <v>－</v>
      </c>
      <c r="U131" s="23"/>
      <c r="V131" s="25" t="str">
        <f>"－"</f>
        <v>－</v>
      </c>
      <c r="W131" s="23"/>
      <c r="X131" s="26" t="str">
        <f>"－"</f>
        <v>－</v>
      </c>
      <c r="Y131" s="24"/>
      <c r="Z131" s="25" t="str">
        <f>"－"</f>
        <v>－</v>
      </c>
      <c r="AA131" s="23"/>
      <c r="AB131" s="25" t="str">
        <f>"－"</f>
        <v>－</v>
      </c>
      <c r="AC131" s="23"/>
      <c r="AD131" s="26" t="str">
        <f>"－"</f>
        <v>－</v>
      </c>
    </row>
    <row r="132">
      <c r="A132" s="30" t="s">
        <v>59</v>
      </c>
      <c r="B132" s="22" t="s">
        <v>65</v>
      </c>
      <c r="C132" s="22" t="s">
        <v>66</v>
      </c>
      <c r="D132" s="24"/>
      <c r="E132" s="25" t="str">
        <f>"－"</f>
        <v>－</v>
      </c>
      <c r="F132" s="23"/>
      <c r="G132" s="25" t="str">
        <f>"－"</f>
        <v>－</v>
      </c>
      <c r="H132" s="23"/>
      <c r="I132" s="26" t="str">
        <f>"－"</f>
        <v>－</v>
      </c>
      <c r="J132" s="24"/>
      <c r="K132" s="25" t="str">
        <f>"－"</f>
        <v>－</v>
      </c>
      <c r="L132" s="23"/>
      <c r="M132" s="25" t="str">
        <f>"－"</f>
        <v>－</v>
      </c>
      <c r="N132" s="23"/>
      <c r="O132" s="26" t="str">
        <f>"－"</f>
        <v>－</v>
      </c>
      <c r="P132" s="27" t="str">
        <f>"－"</f>
        <v>－</v>
      </c>
      <c r="Q132" s="28" t="str">
        <f>"－"</f>
        <v>－</v>
      </c>
      <c r="R132" s="29" t="str">
        <f>"－"</f>
        <v>－</v>
      </c>
      <c r="S132" s="24"/>
      <c r="T132" s="25" t="str">
        <f>"－"</f>
        <v>－</v>
      </c>
      <c r="U132" s="23"/>
      <c r="V132" s="25" t="str">
        <f>"－"</f>
        <v>－</v>
      </c>
      <c r="W132" s="23"/>
      <c r="X132" s="26" t="str">
        <f>"－"</f>
        <v>－</v>
      </c>
      <c r="Y132" s="24"/>
      <c r="Z132" s="25" t="str">
        <f>"－"</f>
        <v>－</v>
      </c>
      <c r="AA132" s="23"/>
      <c r="AB132" s="25" t="str">
        <f>"－"</f>
        <v>－</v>
      </c>
      <c r="AC132" s="23"/>
      <c r="AD132" s="26" t="str">
        <f>"－"</f>
        <v>－</v>
      </c>
    </row>
    <row r="133">
      <c r="A133" s="30" t="s">
        <v>60</v>
      </c>
      <c r="B133" s="22" t="s">
        <v>65</v>
      </c>
      <c r="C133" s="22" t="s">
        <v>66</v>
      </c>
      <c r="D133" s="24"/>
      <c r="E133" s="25" t="str">
        <f>"－"</f>
        <v>－</v>
      </c>
      <c r="F133" s="23"/>
      <c r="G133" s="25" t="str">
        <f>"－"</f>
        <v>－</v>
      </c>
      <c r="H133" s="23"/>
      <c r="I133" s="26" t="str">
        <f>"－"</f>
        <v>－</v>
      </c>
      <c r="J133" s="24"/>
      <c r="K133" s="25" t="str">
        <f>"－"</f>
        <v>－</v>
      </c>
      <c r="L133" s="23"/>
      <c r="M133" s="25" t="str">
        <f>"－"</f>
        <v>－</v>
      </c>
      <c r="N133" s="23"/>
      <c r="O133" s="26" t="str">
        <f>"－"</f>
        <v>－</v>
      </c>
      <c r="P133" s="27" t="str">
        <f>"－"</f>
        <v>－</v>
      </c>
      <c r="Q133" s="28" t="str">
        <f>"－"</f>
        <v>－</v>
      </c>
      <c r="R133" s="29" t="str">
        <f>"－"</f>
        <v>－</v>
      </c>
      <c r="S133" s="24"/>
      <c r="T133" s="25" t="str">
        <f>"－"</f>
        <v>－</v>
      </c>
      <c r="U133" s="23"/>
      <c r="V133" s="25" t="str">
        <f>"－"</f>
        <v>－</v>
      </c>
      <c r="W133" s="23"/>
      <c r="X133" s="26" t="str">
        <f>"－"</f>
        <v>－</v>
      </c>
      <c r="Y133" s="24"/>
      <c r="Z133" s="25" t="str">
        <f>"－"</f>
        <v>－</v>
      </c>
      <c r="AA133" s="23"/>
      <c r="AB133" s="25" t="str">
        <f>"－"</f>
        <v>－</v>
      </c>
      <c r="AC133" s="23"/>
      <c r="AD133" s="26" t="str">
        <f>"－"</f>
        <v>－</v>
      </c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30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31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32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33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34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35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37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38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39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41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42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30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31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32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33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34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35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37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38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39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41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42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