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<sst xmlns="http://schemas.openxmlformats.org/spreadsheetml/2006/main" count="698" uniqueCount="72">
  <si>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</si>
  <si>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</si>
  <si>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</si>
  <si>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</si>
  <si>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</si>
  <si>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</si>
  <si>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</si>
  <si>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</si>
  <si>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</si>
  <si>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</si>
  <si>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</si>
  <si>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</si>
  <si>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</si>
  <si>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</si>
  <si>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</si>
  <si>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</si>
  <si>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</si>
  <si>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</si>
  <si>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</si>
  <si>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</si>
  <si>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</si>
  <si>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</si>
  <si>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</si>
  <si>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</si>
  <si>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</si>
  <si>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</si>
  <si>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8.1</t>
  </si>
  <si>
    <t>日経225オプション</t>
  </si>
  <si>
    <t>Nikkei 225 Options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</si>
  <si>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</si>
  <si>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</si>
  <si>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</si>
  <si>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</si>
  <si>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</si>
  <si>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</si>
  <si>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</si>
  <si>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</si>
  <si>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</si>
  <si>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●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</si>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</sst>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51952</f>
        <v>51952.0</v>
      </c>
      <c r="F10" s="23"/>
      <c r="G10" s="25" t="n">
        <f>41862</f>
        <v>41862.0</v>
      </c>
      <c r="H10" s="23"/>
      <c r="I10" s="26" t="n">
        <f>93814</f>
        <v>93814.0</v>
      </c>
      <c r="J10" s="24"/>
      <c r="K10" s="25" t="n">
        <f>17006426850</f>
        <v>1.700642685E10</v>
      </c>
      <c r="L10" s="23"/>
      <c r="M10" s="25" t="n">
        <f>11254839122</f>
        <v>1.1254839122E10</v>
      </c>
      <c r="N10" s="23"/>
      <c r="O10" s="26" t="n">
        <f>28261265972</f>
        <v>2.8261265972E10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15918</f>
        <v>15918.0</v>
      </c>
      <c r="U10" s="23"/>
      <c r="V10" s="25" t="n">
        <f>9461</f>
        <v>9461.0</v>
      </c>
      <c r="W10" s="23"/>
      <c r="X10" s="26" t="n">
        <f>25379</f>
        <v>25379.0</v>
      </c>
      <c r="Y10" s="24"/>
      <c r="Z10" s="25" t="n">
        <f>686091</f>
        <v>686091.0</v>
      </c>
      <c r="AA10" s="23"/>
      <c r="AB10" s="25" t="n">
        <f>429680</f>
        <v>429680.0</v>
      </c>
      <c r="AC10" s="23"/>
      <c r="AD10" s="26" t="n">
        <f>1115771</f>
        <v>1115771.0</v>
      </c>
    </row>
    <row r="11">
      <c r="A11" s="30" t="s">
        <v>29</v>
      </c>
      <c r="B11" s="22" t="s">
        <v>27</v>
      </c>
      <c r="C11" s="22" t="s">
        <v>28</v>
      </c>
      <c r="D11" s="24"/>
      <c r="E11" s="25" t="n">
        <f>96478</f>
        <v>96478.0</v>
      </c>
      <c r="F11" s="23"/>
      <c r="G11" s="25" t="n">
        <f>73705</f>
        <v>73705.0</v>
      </c>
      <c r="H11" s="23"/>
      <c r="I11" s="26" t="n">
        <f>170183</f>
        <v>170183.0</v>
      </c>
      <c r="J11" s="24"/>
      <c r="K11" s="25" t="n">
        <f>51868814665</f>
        <v>5.1868814665E10</v>
      </c>
      <c r="L11" s="23"/>
      <c r="M11" s="25" t="n">
        <f>18233654310</f>
        <v>1.823365431E10</v>
      </c>
      <c r="N11" s="23"/>
      <c r="O11" s="26" t="n">
        <f>70102468975</f>
        <v>7.0102468975E10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 t="s">
        <v>30</v>
      </c>
      <c r="T11" s="25" t="n">
        <f>25896</f>
        <v>25896.0</v>
      </c>
      <c r="U11" s="23" t="s">
        <v>30</v>
      </c>
      <c r="V11" s="25" t="n">
        <f>24276</f>
        <v>24276.0</v>
      </c>
      <c r="W11" s="23" t="s">
        <v>30</v>
      </c>
      <c r="X11" s="26" t="n">
        <f>50172</f>
        <v>50172.0</v>
      </c>
      <c r="Y11" s="24"/>
      <c r="Z11" s="25" t="n">
        <f>699566</f>
        <v>699566.0</v>
      </c>
      <c r="AA11" s="23"/>
      <c r="AB11" s="25" t="n">
        <f>458817</f>
        <v>458817.0</v>
      </c>
      <c r="AC11" s="23"/>
      <c r="AD11" s="26" t="n">
        <f>1158383</f>
        <v>1158383.0</v>
      </c>
    </row>
    <row r="12">
      <c r="A12" s="30" t="s">
        <v>31</v>
      </c>
      <c r="B12" s="22" t="s">
        <v>27</v>
      </c>
      <c r="C12" s="22" t="s">
        <v>28</v>
      </c>
      <c r="D12" s="24"/>
      <c r="E12" s="25"/>
      <c r="F12" s="23"/>
      <c r="G12" s="25"/>
      <c r="H12" s="23"/>
      <c r="I12" s="26"/>
      <c r="J12" s="24"/>
      <c r="K12" s="25"/>
      <c r="L12" s="23"/>
      <c r="M12" s="25"/>
      <c r="N12" s="23"/>
      <c r="O12" s="26"/>
      <c r="P12" s="27"/>
      <c r="Q12" s="28"/>
      <c r="R12" s="29"/>
      <c r="S12" s="24"/>
      <c r="T12" s="25"/>
      <c r="U12" s="23"/>
      <c r="V12" s="25"/>
      <c r="W12" s="23"/>
      <c r="X12" s="26"/>
      <c r="Y12" s="24"/>
      <c r="Z12" s="25"/>
      <c r="AA12" s="23"/>
      <c r="AB12" s="25"/>
      <c r="AC12" s="23"/>
      <c r="AD12" s="26"/>
    </row>
    <row r="13">
      <c r="A13" s="30" t="s">
        <v>32</v>
      </c>
      <c r="B13" s="22" t="s">
        <v>27</v>
      </c>
      <c r="C13" s="22" t="s">
        <v>28</v>
      </c>
      <c r="D13" s="24"/>
      <c r="E13" s="25"/>
      <c r="F13" s="23"/>
      <c r="G13" s="25"/>
      <c r="H13" s="23"/>
      <c r="I13" s="26"/>
      <c r="J13" s="24"/>
      <c r="K13" s="25"/>
      <c r="L13" s="23"/>
      <c r="M13" s="25"/>
      <c r="N13" s="23"/>
      <c r="O13" s="26"/>
      <c r="P13" s="27"/>
      <c r="Q13" s="28"/>
      <c r="R13" s="29"/>
      <c r="S13" s="24"/>
      <c r="T13" s="25"/>
      <c r="U13" s="23"/>
      <c r="V13" s="25"/>
      <c r="W13" s="23"/>
      <c r="X13" s="26"/>
      <c r="Y13" s="24"/>
      <c r="Z13" s="25"/>
      <c r="AA13" s="23"/>
      <c r="AB13" s="25"/>
      <c r="AC13" s="23"/>
      <c r="AD13" s="26"/>
    </row>
    <row r="14">
      <c r="A14" s="30" t="s">
        <v>33</v>
      </c>
      <c r="B14" s="22" t="s">
        <v>27</v>
      </c>
      <c r="C14" s="22" t="s">
        <v>28</v>
      </c>
      <c r="D14" s="24" t="s">
        <v>30</v>
      </c>
      <c r="E14" s="25" t="n">
        <f>127300</f>
        <v>127300.0</v>
      </c>
      <c r="F14" s="23" t="s">
        <v>30</v>
      </c>
      <c r="G14" s="25" t="n">
        <f>74637</f>
        <v>74637.0</v>
      </c>
      <c r="H14" s="23" t="s">
        <v>30</v>
      </c>
      <c r="I14" s="26" t="n">
        <f>201937</f>
        <v>201937.0</v>
      </c>
      <c r="J14" s="24" t="s">
        <v>30</v>
      </c>
      <c r="K14" s="25" t="n">
        <f>115306612878</f>
        <v>1.15306612878E11</v>
      </c>
      <c r="L14" s="23" t="s">
        <v>30</v>
      </c>
      <c r="M14" s="25" t="n">
        <f>23485103864</f>
        <v>2.3485103864E10</v>
      </c>
      <c r="N14" s="23" t="s">
        <v>30</v>
      </c>
      <c r="O14" s="26" t="n">
        <f>138791716742</f>
        <v>1.38791716742E11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22183</f>
        <v>22183.0</v>
      </c>
      <c r="U14" s="23"/>
      <c r="V14" s="25" t="n">
        <f>17633</f>
        <v>17633.0</v>
      </c>
      <c r="W14" s="23"/>
      <c r="X14" s="26" t="n">
        <f>39816</f>
        <v>39816.0</v>
      </c>
      <c r="Y14" s="24"/>
      <c r="Z14" s="25" t="n">
        <f>697232</f>
        <v>697232.0</v>
      </c>
      <c r="AA14" s="23"/>
      <c r="AB14" s="25" t="n">
        <f>474941</f>
        <v>474941.0</v>
      </c>
      <c r="AC14" s="23"/>
      <c r="AD14" s="26" t="n">
        <f>1172173</f>
        <v>1172173.0</v>
      </c>
    </row>
    <row r="15">
      <c r="A15" s="30" t="s">
        <v>34</v>
      </c>
      <c r="B15" s="22" t="s">
        <v>27</v>
      </c>
      <c r="C15" s="22" t="s">
        <v>28</v>
      </c>
      <c r="D15" s="24"/>
      <c r="E15" s="25" t="n">
        <f>84004</f>
        <v>84004.0</v>
      </c>
      <c r="F15" s="23"/>
      <c r="G15" s="25" t="n">
        <f>50376</f>
        <v>50376.0</v>
      </c>
      <c r="H15" s="23"/>
      <c r="I15" s="26" t="n">
        <f>134380</f>
        <v>134380.0</v>
      </c>
      <c r="J15" s="24"/>
      <c r="K15" s="25" t="n">
        <f>80505216944</f>
        <v>8.0505216944E10</v>
      </c>
      <c r="L15" s="23"/>
      <c r="M15" s="25" t="n">
        <f>23165149057</f>
        <v>2.3165149057E10</v>
      </c>
      <c r="N15" s="23"/>
      <c r="O15" s="26" t="n">
        <f>103670366001</f>
        <v>1.03670366001E11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18240</f>
        <v>18240.0</v>
      </c>
      <c r="U15" s="23"/>
      <c r="V15" s="25" t="n">
        <f>7260</f>
        <v>7260.0</v>
      </c>
      <c r="W15" s="23"/>
      <c r="X15" s="26" t="n">
        <f>25500</f>
        <v>25500.0</v>
      </c>
      <c r="Y15" s="24"/>
      <c r="Z15" s="25" t="n">
        <f>707247</f>
        <v>707247.0</v>
      </c>
      <c r="AA15" s="23"/>
      <c r="AB15" s="25" t="n">
        <f>482096</f>
        <v>482096.0</v>
      </c>
      <c r="AC15" s="23"/>
      <c r="AD15" s="26" t="n">
        <f>1189343</f>
        <v>1189343.0</v>
      </c>
    </row>
    <row r="16">
      <c r="A16" s="30" t="s">
        <v>35</v>
      </c>
      <c r="B16" s="22" t="s">
        <v>27</v>
      </c>
      <c r="C16" s="22" t="s">
        <v>28</v>
      </c>
      <c r="D16" s="24"/>
      <c r="E16" s="25" t="n">
        <f>68405</f>
        <v>68405.0</v>
      </c>
      <c r="F16" s="23"/>
      <c r="G16" s="25" t="n">
        <f>55517</f>
        <v>55517.0</v>
      </c>
      <c r="H16" s="23"/>
      <c r="I16" s="26" t="n">
        <f>123922</f>
        <v>123922.0</v>
      </c>
      <c r="J16" s="24"/>
      <c r="K16" s="25" t="n">
        <f>39247043556</f>
        <v>3.9247043556E10</v>
      </c>
      <c r="L16" s="23"/>
      <c r="M16" s="25" t="n">
        <f>17615884854</f>
        <v>1.7615884854E10</v>
      </c>
      <c r="N16" s="23"/>
      <c r="O16" s="26" t="n">
        <f>56862928410</f>
        <v>5.686292841E10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/>
      <c r="T16" s="25" t="n">
        <f>10527</f>
        <v>10527.0</v>
      </c>
      <c r="U16" s="23"/>
      <c r="V16" s="25" t="n">
        <f>8480</f>
        <v>8480.0</v>
      </c>
      <c r="W16" s="23"/>
      <c r="X16" s="26" t="n">
        <f>19007</f>
        <v>19007.0</v>
      </c>
      <c r="Y16" s="24"/>
      <c r="Z16" s="25" t="n">
        <f>719680</f>
        <v>719680.0</v>
      </c>
      <c r="AA16" s="23"/>
      <c r="AB16" s="25" t="n">
        <f>490626</f>
        <v>490626.0</v>
      </c>
      <c r="AC16" s="23"/>
      <c r="AD16" s="26" t="n">
        <f>1210306</f>
        <v>1210306.0</v>
      </c>
    </row>
    <row r="17">
      <c r="A17" s="30" t="s">
        <v>36</v>
      </c>
      <c r="B17" s="22" t="s">
        <v>27</v>
      </c>
      <c r="C17" s="22" t="s">
        <v>28</v>
      </c>
      <c r="D17" s="24"/>
      <c r="E17" s="25" t="n">
        <f>62507</f>
        <v>62507.0</v>
      </c>
      <c r="F17" s="23"/>
      <c r="G17" s="25" t="n">
        <f>46642</f>
        <v>46642.0</v>
      </c>
      <c r="H17" s="23"/>
      <c r="I17" s="26" t="n">
        <f>109149</f>
        <v>109149.0</v>
      </c>
      <c r="J17" s="24"/>
      <c r="K17" s="25" t="n">
        <f>33908446673</f>
        <v>3.3908446673E10</v>
      </c>
      <c r="L17" s="23"/>
      <c r="M17" s="25" t="n">
        <f>17980266899</f>
        <v>1.7980266899E10</v>
      </c>
      <c r="N17" s="23"/>
      <c r="O17" s="26" t="n">
        <f>51888713572</f>
        <v>5.1888713572E10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9065</f>
        <v>9065.0</v>
      </c>
      <c r="U17" s="23"/>
      <c r="V17" s="25" t="n">
        <f>11740</f>
        <v>11740.0</v>
      </c>
      <c r="W17" s="23"/>
      <c r="X17" s="26" t="n">
        <f>20805</f>
        <v>20805.0</v>
      </c>
      <c r="Y17" s="24" t="s">
        <v>30</v>
      </c>
      <c r="Z17" s="25" t="n">
        <f>729170</f>
        <v>729170.0</v>
      </c>
      <c r="AA17" s="23" t="s">
        <v>30</v>
      </c>
      <c r="AB17" s="25" t="n">
        <f>503023</f>
        <v>503023.0</v>
      </c>
      <c r="AC17" s="23" t="s">
        <v>30</v>
      </c>
      <c r="AD17" s="26" t="n">
        <f>1232193</f>
        <v>1232193.0</v>
      </c>
    </row>
    <row r="18">
      <c r="A18" s="30" t="s">
        <v>37</v>
      </c>
      <c r="B18" s="22" t="s">
        <v>27</v>
      </c>
      <c r="C18" s="22" t="s">
        <v>28</v>
      </c>
      <c r="D18" s="24"/>
      <c r="E18" s="25" t="n">
        <f>45131</f>
        <v>45131.0</v>
      </c>
      <c r="F18" s="23"/>
      <c r="G18" s="25" t="n">
        <f>26063</f>
        <v>26063.0</v>
      </c>
      <c r="H18" s="23"/>
      <c r="I18" s="26" t="n">
        <f>71194</f>
        <v>71194.0</v>
      </c>
      <c r="J18" s="24"/>
      <c r="K18" s="25" t="n">
        <f>27592583944</f>
        <v>2.7592583944E10</v>
      </c>
      <c r="L18" s="23"/>
      <c r="M18" s="25" t="n">
        <f>9774209995</f>
        <v>9.774209995E9</v>
      </c>
      <c r="N18" s="23"/>
      <c r="O18" s="26" t="n">
        <f>37366793939</f>
        <v>3.7366793939E10</v>
      </c>
      <c r="P18" s="27" t="n">
        <f>59409</f>
        <v>59409.0</v>
      </c>
      <c r="Q18" s="28" t="n">
        <f>7954</f>
        <v>7954.0</v>
      </c>
      <c r="R18" s="29" t="n">
        <f>67363</f>
        <v>67363.0</v>
      </c>
      <c r="S18" s="24"/>
      <c r="T18" s="25" t="n">
        <f>8485</f>
        <v>8485.0</v>
      </c>
      <c r="U18" s="23"/>
      <c r="V18" s="25" t="n">
        <f>3647</f>
        <v>3647.0</v>
      </c>
      <c r="W18" s="23"/>
      <c r="X18" s="26" t="n">
        <f>12132</f>
        <v>12132.0</v>
      </c>
      <c r="Y18" s="24" t="s">
        <v>38</v>
      </c>
      <c r="Z18" s="25" t="n">
        <f>644692</f>
        <v>644692.0</v>
      </c>
      <c r="AA18" s="23" t="s">
        <v>38</v>
      </c>
      <c r="AB18" s="25" t="n">
        <f>409442</f>
        <v>409442.0</v>
      </c>
      <c r="AC18" s="23" t="s">
        <v>38</v>
      </c>
      <c r="AD18" s="26" t="n">
        <f>1054134</f>
        <v>1054134.0</v>
      </c>
    </row>
    <row r="19">
      <c r="A19" s="30" t="s">
        <v>39</v>
      </c>
      <c r="B19" s="22" t="s">
        <v>27</v>
      </c>
      <c r="C19" s="22" t="s">
        <v>28</v>
      </c>
      <c r="D19" s="24"/>
      <c r="E19" s="25"/>
      <c r="F19" s="23"/>
      <c r="G19" s="25"/>
      <c r="H19" s="23"/>
      <c r="I19" s="26"/>
      <c r="J19" s="24"/>
      <c r="K19" s="25"/>
      <c r="L19" s="23"/>
      <c r="M19" s="25"/>
      <c r="N19" s="23"/>
      <c r="O19" s="26"/>
      <c r="P19" s="27"/>
      <c r="Q19" s="28"/>
      <c r="R19" s="29"/>
      <c r="S19" s="24"/>
      <c r="T19" s="25"/>
      <c r="U19" s="23"/>
      <c r="V19" s="25"/>
      <c r="W19" s="23"/>
      <c r="X19" s="26"/>
      <c r="Y19" s="24"/>
      <c r="Z19" s="25"/>
      <c r="AA19" s="23"/>
      <c r="AB19" s="25"/>
      <c r="AC19" s="23"/>
      <c r="AD19" s="26"/>
    </row>
    <row r="20">
      <c r="A20" s="30" t="s">
        <v>40</v>
      </c>
      <c r="B20" s="22" t="s">
        <v>27</v>
      </c>
      <c r="C20" s="22" t="s">
        <v>28</v>
      </c>
      <c r="D20" s="24"/>
      <c r="E20" s="25"/>
      <c r="F20" s="23"/>
      <c r="G20" s="25"/>
      <c r="H20" s="23"/>
      <c r="I20" s="26"/>
      <c r="J20" s="24"/>
      <c r="K20" s="25"/>
      <c r="L20" s="23"/>
      <c r="M20" s="25"/>
      <c r="N20" s="23"/>
      <c r="O20" s="26"/>
      <c r="P20" s="27"/>
      <c r="Q20" s="28"/>
      <c r="R20" s="29"/>
      <c r="S20" s="24"/>
      <c r="T20" s="25"/>
      <c r="U20" s="23"/>
      <c r="V20" s="25"/>
      <c r="W20" s="23"/>
      <c r="X20" s="26"/>
      <c r="Y20" s="24"/>
      <c r="Z20" s="25"/>
      <c r="AA20" s="23"/>
      <c r="AB20" s="25"/>
      <c r="AC20" s="23"/>
      <c r="AD20" s="26"/>
    </row>
    <row r="21">
      <c r="A21" s="30" t="s">
        <v>41</v>
      </c>
      <c r="B21" s="22" t="s">
        <v>27</v>
      </c>
      <c r="C21" s="22" t="s">
        <v>28</v>
      </c>
      <c r="D21" s="24"/>
      <c r="E21" s="25"/>
      <c r="F21" s="23"/>
      <c r="G21" s="25"/>
      <c r="H21" s="23"/>
      <c r="I21" s="26"/>
      <c r="J21" s="24"/>
      <c r="K21" s="25"/>
      <c r="L21" s="23"/>
      <c r="M21" s="25"/>
      <c r="N21" s="23"/>
      <c r="O21" s="26"/>
      <c r="P21" s="27"/>
      <c r="Q21" s="28"/>
      <c r="R21" s="29"/>
      <c r="S21" s="24"/>
      <c r="T21" s="25"/>
      <c r="U21" s="23"/>
      <c r="V21" s="25"/>
      <c r="W21" s="23"/>
      <c r="X21" s="26"/>
      <c r="Y21" s="24"/>
      <c r="Z21" s="25"/>
      <c r="AA21" s="23"/>
      <c r="AB21" s="25"/>
      <c r="AC21" s="23"/>
      <c r="AD21" s="26"/>
    </row>
    <row r="22">
      <c r="A22" s="30" t="s">
        <v>42</v>
      </c>
      <c r="B22" s="22" t="s">
        <v>27</v>
      </c>
      <c r="C22" s="22" t="s">
        <v>28</v>
      </c>
      <c r="D22" s="24"/>
      <c r="E22" s="25" t="n">
        <f>31526</f>
        <v>31526.0</v>
      </c>
      <c r="F22" s="23"/>
      <c r="G22" s="25" t="n">
        <f>26016</f>
        <v>26016.0</v>
      </c>
      <c r="H22" s="23"/>
      <c r="I22" s="26" t="n">
        <f>57542</f>
        <v>57542.0</v>
      </c>
      <c r="J22" s="24"/>
      <c r="K22" s="25" t="n">
        <f>25678997120</f>
        <v>2.567899712E10</v>
      </c>
      <c r="L22" s="23"/>
      <c r="M22" s="25" t="n">
        <f>17829033898</f>
        <v>1.7829033898E10</v>
      </c>
      <c r="N22" s="23"/>
      <c r="O22" s="26" t="n">
        <f>43508031018</f>
        <v>4.3508031018E10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4"/>
      <c r="T22" s="25" t="n">
        <f>7050</f>
        <v>7050.0</v>
      </c>
      <c r="U22" s="23"/>
      <c r="V22" s="25" t="n">
        <f>7039</f>
        <v>7039.0</v>
      </c>
      <c r="W22" s="23"/>
      <c r="X22" s="26" t="n">
        <f>14089</f>
        <v>14089.0</v>
      </c>
      <c r="Y22" s="24"/>
      <c r="Z22" s="25" t="n">
        <f>650674</f>
        <v>650674.0</v>
      </c>
      <c r="AA22" s="23"/>
      <c r="AB22" s="25" t="n">
        <f>418195</f>
        <v>418195.0</v>
      </c>
      <c r="AC22" s="23"/>
      <c r="AD22" s="26" t="n">
        <f>1068869</f>
        <v>1068869.0</v>
      </c>
    </row>
    <row r="23">
      <c r="A23" s="30" t="s">
        <v>43</v>
      </c>
      <c r="B23" s="22" t="s">
        <v>27</v>
      </c>
      <c r="C23" s="22" t="s">
        <v>28</v>
      </c>
      <c r="D23" s="24"/>
      <c r="E23" s="25" t="n">
        <f>35775</f>
        <v>35775.0</v>
      </c>
      <c r="F23" s="23"/>
      <c r="G23" s="25" t="n">
        <f>26152</f>
        <v>26152.0</v>
      </c>
      <c r="H23" s="23"/>
      <c r="I23" s="26" t="n">
        <f>61927</f>
        <v>61927.0</v>
      </c>
      <c r="J23" s="24"/>
      <c r="K23" s="25" t="n">
        <f>19554850791</f>
        <v>1.9554850791E10</v>
      </c>
      <c r="L23" s="23"/>
      <c r="M23" s="25" t="n">
        <f>12836669692</f>
        <v>1.2836669692E10</v>
      </c>
      <c r="N23" s="23"/>
      <c r="O23" s="26" t="n">
        <f>32391520483</f>
        <v>3.2391520483E10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4"/>
      <c r="T23" s="25" t="n">
        <f>3820</f>
        <v>3820.0</v>
      </c>
      <c r="U23" s="23"/>
      <c r="V23" s="25" t="n">
        <f>4273</f>
        <v>4273.0</v>
      </c>
      <c r="W23" s="23"/>
      <c r="X23" s="26" t="n">
        <f>8093</f>
        <v>8093.0</v>
      </c>
      <c r="Y23" s="24"/>
      <c r="Z23" s="25" t="n">
        <f>657182</f>
        <v>657182.0</v>
      </c>
      <c r="AA23" s="23"/>
      <c r="AB23" s="25" t="n">
        <f>422996</f>
        <v>422996.0</v>
      </c>
      <c r="AC23" s="23"/>
      <c r="AD23" s="26" t="n">
        <f>1080178</f>
        <v>1080178.0</v>
      </c>
    </row>
    <row r="24">
      <c r="A24" s="30" t="s">
        <v>44</v>
      </c>
      <c r="B24" s="22" t="s">
        <v>27</v>
      </c>
      <c r="C24" s="22" t="s">
        <v>28</v>
      </c>
      <c r="D24" s="24"/>
      <c r="E24" s="25" t="n">
        <f>32556</f>
        <v>32556.0</v>
      </c>
      <c r="F24" s="23"/>
      <c r="G24" s="25" t="n">
        <f>26863</f>
        <v>26863.0</v>
      </c>
      <c r="H24" s="23"/>
      <c r="I24" s="26" t="n">
        <f>59419</f>
        <v>59419.0</v>
      </c>
      <c r="J24" s="24"/>
      <c r="K24" s="25" t="n">
        <f>23478129469</f>
        <v>2.3478129469E10</v>
      </c>
      <c r="L24" s="23"/>
      <c r="M24" s="25" t="n">
        <f>10679575316</f>
        <v>1.0679575316E10</v>
      </c>
      <c r="N24" s="23"/>
      <c r="O24" s="26" t="n">
        <f>34157704785</f>
        <v>3.4157704785E10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6073</f>
        <v>6073.0</v>
      </c>
      <c r="U24" s="23"/>
      <c r="V24" s="25" t="n">
        <f>8239</f>
        <v>8239.0</v>
      </c>
      <c r="W24" s="23"/>
      <c r="X24" s="26" t="n">
        <f>14312</f>
        <v>14312.0</v>
      </c>
      <c r="Y24" s="24"/>
      <c r="Z24" s="25" t="n">
        <f>664952</f>
        <v>664952.0</v>
      </c>
      <c r="AA24" s="23"/>
      <c r="AB24" s="25" t="n">
        <f>430947</f>
        <v>430947.0</v>
      </c>
      <c r="AC24" s="23"/>
      <c r="AD24" s="26" t="n">
        <f>1095899</f>
        <v>1095899.0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40981</f>
        <v>40981.0</v>
      </c>
      <c r="F25" s="23"/>
      <c r="G25" s="25" t="n">
        <f>52259</f>
        <v>52259.0</v>
      </c>
      <c r="H25" s="23"/>
      <c r="I25" s="26" t="n">
        <f>93240</f>
        <v>93240.0</v>
      </c>
      <c r="J25" s="24"/>
      <c r="K25" s="25" t="n">
        <f>25942967370</f>
        <v>2.594296737E10</v>
      </c>
      <c r="L25" s="23"/>
      <c r="M25" s="25" t="n">
        <f>19943342672</f>
        <v>1.9943342672E10</v>
      </c>
      <c r="N25" s="23"/>
      <c r="O25" s="26" t="n">
        <f>45886310042</f>
        <v>4.5886310042E10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6602</f>
        <v>6602.0</v>
      </c>
      <c r="U25" s="23"/>
      <c r="V25" s="25" t="n">
        <f>16349</f>
        <v>16349.0</v>
      </c>
      <c r="W25" s="23"/>
      <c r="X25" s="26" t="n">
        <f>22951</f>
        <v>22951.0</v>
      </c>
      <c r="Y25" s="24"/>
      <c r="Z25" s="25" t="n">
        <f>673337</f>
        <v>673337.0</v>
      </c>
      <c r="AA25" s="23"/>
      <c r="AB25" s="25" t="n">
        <f>444289</f>
        <v>444289.0</v>
      </c>
      <c r="AC25" s="23"/>
      <c r="AD25" s="26" t="n">
        <f>1117626</f>
        <v>1117626.0</v>
      </c>
    </row>
    <row r="26">
      <c r="A26" s="30" t="s">
        <v>46</v>
      </c>
      <c r="B26" s="22" t="s">
        <v>27</v>
      </c>
      <c r="C26" s="22" t="s">
        <v>28</v>
      </c>
      <c r="D26" s="24"/>
      <c r="E26" s="25"/>
      <c r="F26" s="23"/>
      <c r="G26" s="25"/>
      <c r="H26" s="23"/>
      <c r="I26" s="26"/>
      <c r="J26" s="24"/>
      <c r="K26" s="25"/>
      <c r="L26" s="23"/>
      <c r="M26" s="25"/>
      <c r="N26" s="23"/>
      <c r="O26" s="26"/>
      <c r="P26" s="27"/>
      <c r="Q26" s="28"/>
      <c r="R26" s="29"/>
      <c r="S26" s="24"/>
      <c r="T26" s="25"/>
      <c r="U26" s="23"/>
      <c r="V26" s="25"/>
      <c r="W26" s="23"/>
      <c r="X26" s="26"/>
      <c r="Y26" s="24"/>
      <c r="Z26" s="25"/>
      <c r="AA26" s="23"/>
      <c r="AB26" s="25"/>
      <c r="AC26" s="23"/>
      <c r="AD26" s="26"/>
    </row>
    <row r="27">
      <c r="A27" s="30" t="s">
        <v>47</v>
      </c>
      <c r="B27" s="22" t="s">
        <v>27</v>
      </c>
      <c r="C27" s="22" t="s">
        <v>28</v>
      </c>
      <c r="D27" s="24"/>
      <c r="E27" s="25"/>
      <c r="F27" s="23"/>
      <c r="G27" s="25"/>
      <c r="H27" s="23"/>
      <c r="I27" s="26"/>
      <c r="J27" s="24"/>
      <c r="K27" s="25"/>
      <c r="L27" s="23"/>
      <c r="M27" s="25"/>
      <c r="N27" s="23"/>
      <c r="O27" s="26"/>
      <c r="P27" s="27"/>
      <c r="Q27" s="28"/>
      <c r="R27" s="29"/>
      <c r="S27" s="24"/>
      <c r="T27" s="25"/>
      <c r="U27" s="23"/>
      <c r="V27" s="25"/>
      <c r="W27" s="23"/>
      <c r="X27" s="26"/>
      <c r="Y27" s="24"/>
      <c r="Z27" s="25"/>
      <c r="AA27" s="23"/>
      <c r="AB27" s="25"/>
      <c r="AC27" s="23"/>
      <c r="AD27" s="26"/>
    </row>
    <row r="28">
      <c r="A28" s="30" t="s">
        <v>48</v>
      </c>
      <c r="B28" s="22" t="s">
        <v>27</v>
      </c>
      <c r="C28" s="22" t="s">
        <v>28</v>
      </c>
      <c r="D28" s="24"/>
      <c r="E28" s="25" t="n">
        <f>32513</f>
        <v>32513.0</v>
      </c>
      <c r="F28" s="23"/>
      <c r="G28" s="25" t="n">
        <f>24376</f>
        <v>24376.0</v>
      </c>
      <c r="H28" s="23"/>
      <c r="I28" s="26" t="n">
        <f>56889</f>
        <v>56889.0</v>
      </c>
      <c r="J28" s="24"/>
      <c r="K28" s="25" t="n">
        <f>15715917728</f>
        <v>1.5715917728E10</v>
      </c>
      <c r="L28" s="23"/>
      <c r="M28" s="25" t="n">
        <f>7050501665</f>
        <v>7.050501665E9</v>
      </c>
      <c r="N28" s="23"/>
      <c r="O28" s="26" t="n">
        <f>22766419393</f>
        <v>2.2766419393E10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8194</f>
        <v>8194.0</v>
      </c>
      <c r="U28" s="23"/>
      <c r="V28" s="25" t="n">
        <f>6356</f>
        <v>6356.0</v>
      </c>
      <c r="W28" s="23"/>
      <c r="X28" s="26" t="n">
        <f>14550</f>
        <v>14550.0</v>
      </c>
      <c r="Y28" s="24"/>
      <c r="Z28" s="25" t="n">
        <f>679613</f>
        <v>679613.0</v>
      </c>
      <c r="AA28" s="23"/>
      <c r="AB28" s="25" t="n">
        <f>450887</f>
        <v>450887.0</v>
      </c>
      <c r="AC28" s="23"/>
      <c r="AD28" s="26" t="n">
        <f>1130500</f>
        <v>1130500.0</v>
      </c>
    </row>
    <row r="29">
      <c r="A29" s="30" t="s">
        <v>49</v>
      </c>
      <c r="B29" s="22" t="s">
        <v>27</v>
      </c>
      <c r="C29" s="22" t="s">
        <v>28</v>
      </c>
      <c r="D29" s="24"/>
      <c r="E29" s="25" t="n">
        <f>24463</f>
        <v>24463.0</v>
      </c>
      <c r="F29" s="23"/>
      <c r="G29" s="25" t="n">
        <f>24850</f>
        <v>24850.0</v>
      </c>
      <c r="H29" s="23"/>
      <c r="I29" s="26" t="n">
        <f>49313</f>
        <v>49313.0</v>
      </c>
      <c r="J29" s="24"/>
      <c r="K29" s="25" t="n">
        <f>16189943770</f>
        <v>1.618994377E10</v>
      </c>
      <c r="L29" s="23"/>
      <c r="M29" s="25" t="n">
        <f>9926707310</f>
        <v>9.92670731E9</v>
      </c>
      <c r="N29" s="23"/>
      <c r="O29" s="26" t="n">
        <f>26116651080</f>
        <v>2.611665108E10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3028</f>
        <v>3028.0</v>
      </c>
      <c r="U29" s="23"/>
      <c r="V29" s="25" t="n">
        <f>5815</f>
        <v>5815.0</v>
      </c>
      <c r="W29" s="23"/>
      <c r="X29" s="26" t="n">
        <f>8843</f>
        <v>8843.0</v>
      </c>
      <c r="Y29" s="24"/>
      <c r="Z29" s="25" t="n">
        <f>682387</f>
        <v>682387.0</v>
      </c>
      <c r="AA29" s="23"/>
      <c r="AB29" s="25" t="n">
        <f>452854</f>
        <v>452854.0</v>
      </c>
      <c r="AC29" s="23"/>
      <c r="AD29" s="26" t="n">
        <f>1135241</f>
        <v>1135241.0</v>
      </c>
    </row>
    <row r="30">
      <c r="A30" s="30" t="s">
        <v>50</v>
      </c>
      <c r="B30" s="22" t="s">
        <v>27</v>
      </c>
      <c r="C30" s="22" t="s">
        <v>28</v>
      </c>
      <c r="D30" s="24"/>
      <c r="E30" s="25" t="n">
        <f>29221</f>
        <v>29221.0</v>
      </c>
      <c r="F30" s="23"/>
      <c r="G30" s="25" t="n">
        <f>17290</f>
        <v>17290.0</v>
      </c>
      <c r="H30" s="23"/>
      <c r="I30" s="26" t="n">
        <f>46511</f>
        <v>46511.0</v>
      </c>
      <c r="J30" s="24"/>
      <c r="K30" s="25" t="n">
        <f>15798791926</f>
        <v>1.5798791926E10</v>
      </c>
      <c r="L30" s="23"/>
      <c r="M30" s="25" t="n">
        <f>7000379320</f>
        <v>7.00037932E9</v>
      </c>
      <c r="N30" s="23"/>
      <c r="O30" s="26" t="n">
        <f>22799171246</f>
        <v>2.2799171246E10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8015</f>
        <v>8015.0</v>
      </c>
      <c r="U30" s="23"/>
      <c r="V30" s="25" t="n">
        <f>3790</f>
        <v>3790.0</v>
      </c>
      <c r="W30" s="23"/>
      <c r="X30" s="26" t="n">
        <f>11805</f>
        <v>11805.0</v>
      </c>
      <c r="Y30" s="24"/>
      <c r="Z30" s="25" t="n">
        <f>689285</f>
        <v>689285.0</v>
      </c>
      <c r="AA30" s="23"/>
      <c r="AB30" s="25" t="n">
        <f>454086</f>
        <v>454086.0</v>
      </c>
      <c r="AC30" s="23"/>
      <c r="AD30" s="26" t="n">
        <f>1143371</f>
        <v>1143371.0</v>
      </c>
    </row>
    <row r="31">
      <c r="A31" s="30" t="s">
        <v>51</v>
      </c>
      <c r="B31" s="22" t="s">
        <v>27</v>
      </c>
      <c r="C31" s="22" t="s">
        <v>28</v>
      </c>
      <c r="D31" s="24"/>
      <c r="E31" s="25" t="n">
        <f>24220</f>
        <v>24220.0</v>
      </c>
      <c r="F31" s="23"/>
      <c r="G31" s="25" t="n">
        <f>20264</f>
        <v>20264.0</v>
      </c>
      <c r="H31" s="23"/>
      <c r="I31" s="26" t="n">
        <f>44484</f>
        <v>44484.0</v>
      </c>
      <c r="J31" s="24"/>
      <c r="K31" s="25" t="n">
        <f>9969954317</f>
        <v>9.969954317E9</v>
      </c>
      <c r="L31" s="23"/>
      <c r="M31" s="25" t="n">
        <f>14007452048</f>
        <v>1.4007452048E10</v>
      </c>
      <c r="N31" s="23"/>
      <c r="O31" s="26" t="n">
        <f>23977406365</f>
        <v>2.3977406365E10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3173</f>
        <v>3173.0</v>
      </c>
      <c r="U31" s="23"/>
      <c r="V31" s="25" t="n">
        <f>3642</f>
        <v>3642.0</v>
      </c>
      <c r="W31" s="23" t="s">
        <v>38</v>
      </c>
      <c r="X31" s="26" t="n">
        <f>6815</f>
        <v>6815.0</v>
      </c>
      <c r="Y31" s="24"/>
      <c r="Z31" s="25" t="n">
        <f>692514</f>
        <v>692514.0</v>
      </c>
      <c r="AA31" s="23"/>
      <c r="AB31" s="25" t="n">
        <f>456478</f>
        <v>456478.0</v>
      </c>
      <c r="AC31" s="23"/>
      <c r="AD31" s="26" t="n">
        <f>1148992</f>
        <v>1148992.0</v>
      </c>
    </row>
    <row r="32">
      <c r="A32" s="30" t="s">
        <v>52</v>
      </c>
      <c r="B32" s="22" t="s">
        <v>27</v>
      </c>
      <c r="C32" s="22" t="s">
        <v>28</v>
      </c>
      <c r="D32" s="24"/>
      <c r="E32" s="25" t="n">
        <f>34093</f>
        <v>34093.0</v>
      </c>
      <c r="F32" s="23"/>
      <c r="G32" s="25" t="n">
        <f>18829</f>
        <v>18829.0</v>
      </c>
      <c r="H32" s="23"/>
      <c r="I32" s="26" t="n">
        <f>52922</f>
        <v>52922.0</v>
      </c>
      <c r="J32" s="24"/>
      <c r="K32" s="25" t="n">
        <f>14545627010</f>
        <v>1.454562701E10</v>
      </c>
      <c r="L32" s="23" t="s">
        <v>38</v>
      </c>
      <c r="M32" s="25" t="n">
        <f>6297007462</f>
        <v>6.297007462E9</v>
      </c>
      <c r="N32" s="23"/>
      <c r="O32" s="26" t="n">
        <f>20842634472</f>
        <v>2.0842634472E10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8239</f>
        <v>8239.0</v>
      </c>
      <c r="U32" s="23" t="s">
        <v>38</v>
      </c>
      <c r="V32" s="25" t="n">
        <f>3174</f>
        <v>3174.0</v>
      </c>
      <c r="W32" s="23"/>
      <c r="X32" s="26" t="n">
        <f>11413</f>
        <v>11413.0</v>
      </c>
      <c r="Y32" s="24"/>
      <c r="Z32" s="25" t="n">
        <f>701595</f>
        <v>701595.0</v>
      </c>
      <c r="AA32" s="23"/>
      <c r="AB32" s="25" t="n">
        <f>456830</f>
        <v>456830.0</v>
      </c>
      <c r="AC32" s="23"/>
      <c r="AD32" s="26" t="n">
        <f>1158425</f>
        <v>1158425.0</v>
      </c>
    </row>
    <row r="33">
      <c r="A33" s="30" t="s">
        <v>53</v>
      </c>
      <c r="B33" s="22" t="s">
        <v>27</v>
      </c>
      <c r="C33" s="22" t="s">
        <v>28</v>
      </c>
      <c r="D33" s="24"/>
      <c r="E33" s="25"/>
      <c r="F33" s="23"/>
      <c r="G33" s="25"/>
      <c r="H33" s="23"/>
      <c r="I33" s="26"/>
      <c r="J33" s="24"/>
      <c r="K33" s="25"/>
      <c r="L33" s="23"/>
      <c r="M33" s="25"/>
      <c r="N33" s="23"/>
      <c r="O33" s="26"/>
      <c r="P33" s="27"/>
      <c r="Q33" s="28"/>
      <c r="R33" s="29"/>
      <c r="S33" s="24"/>
      <c r="T33" s="25"/>
      <c r="U33" s="23"/>
      <c r="V33" s="25"/>
      <c r="W33" s="23"/>
      <c r="X33" s="26"/>
      <c r="Y33" s="24"/>
      <c r="Z33" s="25"/>
      <c r="AA33" s="23"/>
      <c r="AB33" s="25"/>
      <c r="AC33" s="23"/>
      <c r="AD33" s="26"/>
    </row>
    <row r="34">
      <c r="A34" s="30" t="s">
        <v>54</v>
      </c>
      <c r="B34" s="22" t="s">
        <v>27</v>
      </c>
      <c r="C34" s="22" t="s">
        <v>28</v>
      </c>
      <c r="D34" s="24"/>
      <c r="E34" s="25"/>
      <c r="F34" s="23"/>
      <c r="G34" s="25"/>
      <c r="H34" s="23"/>
      <c r="I34" s="26"/>
      <c r="J34" s="24"/>
      <c r="K34" s="25"/>
      <c r="L34" s="23"/>
      <c r="M34" s="25"/>
      <c r="N34" s="23"/>
      <c r="O34" s="26"/>
      <c r="P34" s="27"/>
      <c r="Q34" s="28"/>
      <c r="R34" s="29"/>
      <c r="S34" s="24"/>
      <c r="T34" s="25"/>
      <c r="U34" s="23"/>
      <c r="V34" s="25"/>
      <c r="W34" s="23"/>
      <c r="X34" s="26"/>
      <c r="Y34" s="24"/>
      <c r="Z34" s="25"/>
      <c r="AA34" s="23"/>
      <c r="AB34" s="25"/>
      <c r="AC34" s="23"/>
      <c r="AD34" s="26"/>
    </row>
    <row r="35">
      <c r="A35" s="30" t="s">
        <v>55</v>
      </c>
      <c r="B35" s="22" t="s">
        <v>27</v>
      </c>
      <c r="C35" s="22" t="s">
        <v>28</v>
      </c>
      <c r="D35" s="24"/>
      <c r="E35" s="25" t="n">
        <f>24988</f>
        <v>24988.0</v>
      </c>
      <c r="F35" s="23"/>
      <c r="G35" s="25" t="n">
        <f>27977</f>
        <v>27977.0</v>
      </c>
      <c r="H35" s="23"/>
      <c r="I35" s="26" t="n">
        <f>52965</f>
        <v>52965.0</v>
      </c>
      <c r="J35" s="24" t="s">
        <v>38</v>
      </c>
      <c r="K35" s="25" t="n">
        <f>8246699850</f>
        <v>8.24669985E9</v>
      </c>
      <c r="L35" s="23"/>
      <c r="M35" s="25" t="n">
        <f>9980039190</f>
        <v>9.98003919E9</v>
      </c>
      <c r="N35" s="23" t="s">
        <v>38</v>
      </c>
      <c r="O35" s="26" t="n">
        <f>18226739040</f>
        <v>1.822673904E10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5524</f>
        <v>5524.0</v>
      </c>
      <c r="U35" s="23"/>
      <c r="V35" s="25" t="n">
        <f>8857</f>
        <v>8857.0</v>
      </c>
      <c r="W35" s="23"/>
      <c r="X35" s="26" t="n">
        <f>14381</f>
        <v>14381.0</v>
      </c>
      <c r="Y35" s="24"/>
      <c r="Z35" s="25" t="n">
        <f>702797</f>
        <v>702797.0</v>
      </c>
      <c r="AA35" s="23"/>
      <c r="AB35" s="25" t="n">
        <f>455947</f>
        <v>455947.0</v>
      </c>
      <c r="AC35" s="23"/>
      <c r="AD35" s="26" t="n">
        <f>1158744</f>
        <v>1158744.0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29739</f>
        <v>29739.0</v>
      </c>
      <c r="F36" s="23"/>
      <c r="G36" s="25" t="n">
        <f>17344</f>
        <v>17344.0</v>
      </c>
      <c r="H36" s="23"/>
      <c r="I36" s="26" t="n">
        <f>47083</f>
        <v>47083.0</v>
      </c>
      <c r="J36" s="24"/>
      <c r="K36" s="25" t="n">
        <f>13077104873</f>
        <v>1.3077104873E10</v>
      </c>
      <c r="L36" s="23"/>
      <c r="M36" s="25" t="n">
        <f>6497548700</f>
        <v>6.4975487E9</v>
      </c>
      <c r="N36" s="23"/>
      <c r="O36" s="26" t="n">
        <f>19574653573</f>
        <v>1.9574653573E10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/>
      <c r="T36" s="25" t="n">
        <f>3227</f>
        <v>3227.0</v>
      </c>
      <c r="U36" s="23"/>
      <c r="V36" s="25" t="n">
        <f>4253</f>
        <v>4253.0</v>
      </c>
      <c r="W36" s="23"/>
      <c r="X36" s="26" t="n">
        <f>7480</f>
        <v>7480.0</v>
      </c>
      <c r="Y36" s="24"/>
      <c r="Z36" s="25" t="n">
        <f>710074</f>
        <v>710074.0</v>
      </c>
      <c r="AA36" s="23"/>
      <c r="AB36" s="25" t="n">
        <f>459096</f>
        <v>459096.0</v>
      </c>
      <c r="AC36" s="23"/>
      <c r="AD36" s="26" t="n">
        <f>1169170</f>
        <v>1169170.0</v>
      </c>
    </row>
    <row r="37">
      <c r="A37" s="30" t="s">
        <v>57</v>
      </c>
      <c r="B37" s="22" t="s">
        <v>27</v>
      </c>
      <c r="C37" s="22" t="s">
        <v>28</v>
      </c>
      <c r="D37" s="24" t="s">
        <v>38</v>
      </c>
      <c r="E37" s="25" t="n">
        <f>20412</f>
        <v>20412.0</v>
      </c>
      <c r="F37" s="23"/>
      <c r="G37" s="25" t="n">
        <f>20907</f>
        <v>20907.0</v>
      </c>
      <c r="H37" s="23" t="s">
        <v>38</v>
      </c>
      <c r="I37" s="26" t="n">
        <f>41319</f>
        <v>41319.0</v>
      </c>
      <c r="J37" s="24"/>
      <c r="K37" s="25" t="n">
        <f>13756891720</f>
        <v>1.375689172E10</v>
      </c>
      <c r="L37" s="23"/>
      <c r="M37" s="25" t="n">
        <f>6938528160</f>
        <v>6.93852816E9</v>
      </c>
      <c r="N37" s="23"/>
      <c r="O37" s="26" t="n">
        <f>20695419880</f>
        <v>2.069541988E10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 t="s">
        <v>38</v>
      </c>
      <c r="T37" s="25" t="n">
        <f>2165</f>
        <v>2165.0</v>
      </c>
      <c r="U37" s="23"/>
      <c r="V37" s="25" t="n">
        <f>6397</f>
        <v>6397.0</v>
      </c>
      <c r="W37" s="23"/>
      <c r="X37" s="26" t="n">
        <f>8562</f>
        <v>8562.0</v>
      </c>
      <c r="Y37" s="24"/>
      <c r="Z37" s="25" t="n">
        <f>713133</f>
        <v>713133.0</v>
      </c>
      <c r="AA37" s="23"/>
      <c r="AB37" s="25" t="n">
        <f>456966</f>
        <v>456966.0</v>
      </c>
      <c r="AC37" s="23"/>
      <c r="AD37" s="26" t="n">
        <f>1170099</f>
        <v>1170099.0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44448</f>
        <v>44448.0</v>
      </c>
      <c r="F38" s="23" t="s">
        <v>38</v>
      </c>
      <c r="G38" s="25" t="n">
        <f>15861</f>
        <v>15861.0</v>
      </c>
      <c r="H38" s="23"/>
      <c r="I38" s="26" t="n">
        <f>60309</f>
        <v>60309.0</v>
      </c>
      <c r="J38" s="24"/>
      <c r="K38" s="25" t="n">
        <f>13045990210</f>
        <v>1.304599021E10</v>
      </c>
      <c r="L38" s="23"/>
      <c r="M38" s="25" t="n">
        <f>9471573560</f>
        <v>9.47157356E9</v>
      </c>
      <c r="N38" s="23"/>
      <c r="O38" s="26" t="n">
        <f>22517563770</f>
        <v>2.251756377E10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17891</f>
        <v>17891.0</v>
      </c>
      <c r="U38" s="23"/>
      <c r="V38" s="25" t="n">
        <f>4024</f>
        <v>4024.0</v>
      </c>
      <c r="W38" s="23"/>
      <c r="X38" s="26" t="n">
        <f>21915</f>
        <v>21915.0</v>
      </c>
      <c r="Y38" s="24"/>
      <c r="Z38" s="25" t="n">
        <f>722670</f>
        <v>722670.0</v>
      </c>
      <c r="AA38" s="23"/>
      <c r="AB38" s="25" t="n">
        <f>458064</f>
        <v>458064.0</v>
      </c>
      <c r="AC38" s="23"/>
      <c r="AD38" s="26" t="n">
        <f>1180734</f>
        <v>1180734.0</v>
      </c>
    </row>
    <row r="39">
      <c r="A39" s="30" t="s">
        <v>59</v>
      </c>
      <c r="B39" s="22" t="s">
        <v>27</v>
      </c>
      <c r="C39" s="22" t="s">
        <v>28</v>
      </c>
      <c r="D39" s="24"/>
      <c r="E39" s="25" t="n">
        <f>42539</f>
        <v>42539.0</v>
      </c>
      <c r="F39" s="23"/>
      <c r="G39" s="25" t="n">
        <f>27710</f>
        <v>27710.0</v>
      </c>
      <c r="H39" s="23"/>
      <c r="I39" s="26" t="n">
        <f>70249</f>
        <v>70249.0</v>
      </c>
      <c r="J39" s="24"/>
      <c r="K39" s="25" t="n">
        <f>15487840250</f>
        <v>1.548784025E10</v>
      </c>
      <c r="L39" s="23"/>
      <c r="M39" s="25" t="n">
        <f>16555337924</f>
        <v>1.6555337924E10</v>
      </c>
      <c r="N39" s="23"/>
      <c r="O39" s="26" t="n">
        <f>32043178174</f>
        <v>3.2043178174E10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7789</f>
        <v>7789.0</v>
      </c>
      <c r="U39" s="23"/>
      <c r="V39" s="25" t="n">
        <f>10116</f>
        <v>10116.0</v>
      </c>
      <c r="W39" s="23"/>
      <c r="X39" s="26" t="n">
        <f>17905</f>
        <v>17905.0</v>
      </c>
      <c r="Y39" s="24"/>
      <c r="Z39" s="25" t="n">
        <f>729147</f>
        <v>729147.0</v>
      </c>
      <c r="AA39" s="23"/>
      <c r="AB39" s="25" t="n">
        <f>460544</f>
        <v>460544.0</v>
      </c>
      <c r="AC39" s="23"/>
      <c r="AD39" s="26" t="n">
        <f>1189691</f>
        <v>1189691.0</v>
      </c>
    </row>
    <row r="40">
      <c r="A40" s="30" t="s">
        <v>60</v>
      </c>
      <c r="B40" s="22" t="s">
        <v>27</v>
      </c>
      <c r="C40" s="22" t="s">
        <v>28</v>
      </c>
      <c r="D40" s="24"/>
      <c r="E40" s="25"/>
      <c r="F40" s="23"/>
      <c r="G40" s="25"/>
      <c r="H40" s="23"/>
      <c r="I40" s="26"/>
      <c r="J40" s="24"/>
      <c r="K40" s="25"/>
      <c r="L40" s="23"/>
      <c r="M40" s="25"/>
      <c r="N40" s="23"/>
      <c r="O40" s="26"/>
      <c r="P40" s="27"/>
      <c r="Q40" s="28"/>
      <c r="R40" s="29"/>
      <c r="S40" s="24"/>
      <c r="T40" s="25"/>
      <c r="U40" s="23"/>
      <c r="V40" s="25"/>
      <c r="W40" s="23"/>
      <c r="X40" s="26"/>
      <c r="Y40" s="24"/>
      <c r="Z40" s="25"/>
      <c r="AA40" s="23"/>
      <c r="AB40" s="25"/>
      <c r="AC40" s="23"/>
      <c r="AD40" s="26"/>
    </row>
    <row r="41">
      <c r="A41" s="30" t="s">
        <v>26</v>
      </c>
      <c r="B41" s="22" t="s">
        <v>61</v>
      </c>
      <c r="C41" s="22" t="s">
        <v>62</v>
      </c>
      <c r="D41" s="24" t="s">
        <v>30</v>
      </c>
      <c r="E41" s="25" t="n">
        <f>50988</f>
        <v>50988.0</v>
      </c>
      <c r="F41" s="23" t="s">
        <v>30</v>
      </c>
      <c r="G41" s="25" t="n">
        <f>54499</f>
        <v>54499.0</v>
      </c>
      <c r="H41" s="23" t="s">
        <v>30</v>
      </c>
      <c r="I41" s="26" t="n">
        <f>105487</f>
        <v>105487.0</v>
      </c>
      <c r="J41" s="24"/>
      <c r="K41" s="25" t="n">
        <f>503225110</f>
        <v>5.0322511E8</v>
      </c>
      <c r="L41" s="23"/>
      <c r="M41" s="25" t="n">
        <f>579419550</f>
        <v>5.7941955E8</v>
      </c>
      <c r="N41" s="23"/>
      <c r="O41" s="26" t="n">
        <f>1082644660</f>
        <v>1.08264466E9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 t="s">
        <v>30</v>
      </c>
      <c r="T41" s="25" t="n">
        <f>8250</f>
        <v>8250.0</v>
      </c>
      <c r="U41" s="23" t="s">
        <v>30</v>
      </c>
      <c r="V41" s="25" t="n">
        <f>9879</f>
        <v>9879.0</v>
      </c>
      <c r="W41" s="23" t="s">
        <v>30</v>
      </c>
      <c r="X41" s="26" t="n">
        <f>18129</f>
        <v>18129.0</v>
      </c>
      <c r="Y41" s="24"/>
      <c r="Z41" s="25" t="n">
        <f>40631</f>
        <v>40631.0</v>
      </c>
      <c r="AA41" s="23" t="s">
        <v>30</v>
      </c>
      <c r="AB41" s="25" t="n">
        <f>49658</f>
        <v>49658.0</v>
      </c>
      <c r="AC41" s="23" t="s">
        <v>30</v>
      </c>
      <c r="AD41" s="26" t="n">
        <f>90289</f>
        <v>90289.0</v>
      </c>
    </row>
    <row r="42">
      <c r="A42" s="30" t="s">
        <v>29</v>
      </c>
      <c r="B42" s="22" t="s">
        <v>61</v>
      </c>
      <c r="C42" s="22" t="s">
        <v>62</v>
      </c>
      <c r="D42" s="24"/>
      <c r="E42" s="25" t="n">
        <f>23926</f>
        <v>23926.0</v>
      </c>
      <c r="F42" s="23"/>
      <c r="G42" s="25" t="n">
        <f>21755</f>
        <v>21755.0</v>
      </c>
      <c r="H42" s="23"/>
      <c r="I42" s="26" t="n">
        <f>45681</f>
        <v>45681.0</v>
      </c>
      <c r="J42" s="24"/>
      <c r="K42" s="25" t="n">
        <f>1062963740</f>
        <v>1.06296374E9</v>
      </c>
      <c r="L42" s="23"/>
      <c r="M42" s="25" t="n">
        <f>423509800</f>
        <v>4.235098E8</v>
      </c>
      <c r="N42" s="23"/>
      <c r="O42" s="26" t="n">
        <f>1486473540</f>
        <v>1.48647354E9</v>
      </c>
      <c r="P42" s="27" t="n">
        <f>14408</f>
        <v>14408.0</v>
      </c>
      <c r="Q42" s="28" t="n">
        <f>1</f>
        <v>1.0</v>
      </c>
      <c r="R42" s="29" t="n">
        <f>14409</f>
        <v>14409.0</v>
      </c>
      <c r="S42" s="24"/>
      <c r="T42" s="25" t="n">
        <f>1100</f>
        <v>1100.0</v>
      </c>
      <c r="U42" s="23"/>
      <c r="V42" s="25" t="n">
        <f>1080</f>
        <v>1080.0</v>
      </c>
      <c r="W42" s="23"/>
      <c r="X42" s="26" t="n">
        <f>2180</f>
        <v>2180.0</v>
      </c>
      <c r="Y42" s="24"/>
      <c r="Z42" s="25" t="n">
        <f>13531</f>
        <v>13531.0</v>
      </c>
      <c r="AA42" s="23"/>
      <c r="AB42" s="25" t="n">
        <f>23617</f>
        <v>23617.0</v>
      </c>
      <c r="AC42" s="23"/>
      <c r="AD42" s="26" t="n">
        <f>37148</f>
        <v>37148.0</v>
      </c>
    </row>
    <row r="43">
      <c r="A43" s="30" t="s">
        <v>31</v>
      </c>
      <c r="B43" s="22" t="s">
        <v>61</v>
      </c>
      <c r="C43" s="22" t="s">
        <v>62</v>
      </c>
      <c r="D43" s="24"/>
      <c r="E43" s="25"/>
      <c r="F43" s="23"/>
      <c r="G43" s="25"/>
      <c r="H43" s="23"/>
      <c r="I43" s="26"/>
      <c r="J43" s="24"/>
      <c r="K43" s="25"/>
      <c r="L43" s="23"/>
      <c r="M43" s="25"/>
      <c r="N43" s="23"/>
      <c r="O43" s="26"/>
      <c r="P43" s="27"/>
      <c r="Q43" s="28"/>
      <c r="R43" s="29"/>
      <c r="S43" s="24"/>
      <c r="T43" s="25"/>
      <c r="U43" s="23"/>
      <c r="V43" s="25"/>
      <c r="W43" s="23"/>
      <c r="X43" s="26"/>
      <c r="Y43" s="24"/>
      <c r="Z43" s="25"/>
      <c r="AA43" s="23"/>
      <c r="AB43" s="25"/>
      <c r="AC43" s="23"/>
      <c r="AD43" s="26"/>
    </row>
    <row r="44">
      <c r="A44" s="30" t="s">
        <v>32</v>
      </c>
      <c r="B44" s="22" t="s">
        <v>61</v>
      </c>
      <c r="C44" s="22" t="s">
        <v>62</v>
      </c>
      <c r="D44" s="24"/>
      <c r="E44" s="25"/>
      <c r="F44" s="23"/>
      <c r="G44" s="25"/>
      <c r="H44" s="23"/>
      <c r="I44" s="26"/>
      <c r="J44" s="24"/>
      <c r="K44" s="25"/>
      <c r="L44" s="23"/>
      <c r="M44" s="25"/>
      <c r="N44" s="23"/>
      <c r="O44" s="26"/>
      <c r="P44" s="27"/>
      <c r="Q44" s="28"/>
      <c r="R44" s="29"/>
      <c r="S44" s="24"/>
      <c r="T44" s="25"/>
      <c r="U44" s="23"/>
      <c r="V44" s="25"/>
      <c r="W44" s="23"/>
      <c r="X44" s="26"/>
      <c r="Y44" s="24"/>
      <c r="Z44" s="25"/>
      <c r="AA44" s="23"/>
      <c r="AB44" s="25"/>
      <c r="AC44" s="23"/>
      <c r="AD44" s="26"/>
    </row>
    <row r="45">
      <c r="A45" s="30" t="s">
        <v>33</v>
      </c>
      <c r="B45" s="22" t="s">
        <v>61</v>
      </c>
      <c r="C45" s="22" t="s">
        <v>62</v>
      </c>
      <c r="D45" s="24"/>
      <c r="E45" s="25" t="n">
        <f>8262</f>
        <v>8262.0</v>
      </c>
      <c r="F45" s="23"/>
      <c r="G45" s="25" t="n">
        <f>24902</f>
        <v>24902.0</v>
      </c>
      <c r="H45" s="23"/>
      <c r="I45" s="26" t="n">
        <f>33164</f>
        <v>33164.0</v>
      </c>
      <c r="J45" s="24" t="s">
        <v>30</v>
      </c>
      <c r="K45" s="25" t="n">
        <f>1444322140</f>
        <v>1.44432214E9</v>
      </c>
      <c r="L45" s="23"/>
      <c r="M45" s="25" t="n">
        <f>540434660</f>
        <v>5.4043466E8</v>
      </c>
      <c r="N45" s="23"/>
      <c r="O45" s="26" t="n">
        <f>1984756800</f>
        <v>1.9847568E9</v>
      </c>
      <c r="P45" s="27" t="str">
        <f>"－"</f>
        <v>－</v>
      </c>
      <c r="Q45" s="28" t="str">
        <f>"－"</f>
        <v>－</v>
      </c>
      <c r="R45" s="29" t="str">
        <f>"－"</f>
        <v>－</v>
      </c>
      <c r="S45" s="24"/>
      <c r="T45" s="25" t="n">
        <f>220</f>
        <v>220.0</v>
      </c>
      <c r="U45" s="23"/>
      <c r="V45" s="25" t="n">
        <f>1400</f>
        <v>1400.0</v>
      </c>
      <c r="W45" s="23"/>
      <c r="X45" s="26" t="n">
        <f>1620</f>
        <v>1620.0</v>
      </c>
      <c r="Y45" s="24"/>
      <c r="Z45" s="25" t="n">
        <f>11325</f>
        <v>11325.0</v>
      </c>
      <c r="AA45" s="23"/>
      <c r="AB45" s="25" t="n">
        <f>25011</f>
        <v>25011.0</v>
      </c>
      <c r="AC45" s="23"/>
      <c r="AD45" s="26" t="n">
        <f>36336</f>
        <v>36336.0</v>
      </c>
    </row>
    <row r="46">
      <c r="A46" s="30" t="s">
        <v>34</v>
      </c>
      <c r="B46" s="22" t="s">
        <v>61</v>
      </c>
      <c r="C46" s="22" t="s">
        <v>62</v>
      </c>
      <c r="D46" s="24" t="s">
        <v>38</v>
      </c>
      <c r="E46" s="25" t="n">
        <f>6802</f>
        <v>6802.0</v>
      </c>
      <c r="F46" s="23"/>
      <c r="G46" s="25" t="n">
        <f>20138</f>
        <v>20138.0</v>
      </c>
      <c r="H46" s="23"/>
      <c r="I46" s="26" t="n">
        <f>26940</f>
        <v>26940.0</v>
      </c>
      <c r="J46" s="24"/>
      <c r="K46" s="25" t="n">
        <f>1237290940</f>
        <v>1.23729094E9</v>
      </c>
      <c r="L46" s="23" t="s">
        <v>30</v>
      </c>
      <c r="M46" s="25" t="n">
        <f>885584710</f>
        <v>8.8558471E8</v>
      </c>
      <c r="N46" s="23" t="s">
        <v>30</v>
      </c>
      <c r="O46" s="26" t="n">
        <f>2122875650</f>
        <v>2.12287565E9</v>
      </c>
      <c r="P46" s="27" t="str">
        <f>"－"</f>
        <v>－</v>
      </c>
      <c r="Q46" s="28" t="str">
        <f>"－"</f>
        <v>－</v>
      </c>
      <c r="R46" s="29" t="str">
        <f>"－"</f>
        <v>－</v>
      </c>
      <c r="S46" s="24" t="s">
        <v>38</v>
      </c>
      <c r="T46" s="25" t="n">
        <f>20</f>
        <v>20.0</v>
      </c>
      <c r="U46" s="23" t="s">
        <v>38</v>
      </c>
      <c r="V46" s="25" t="n">
        <f>150</f>
        <v>150.0</v>
      </c>
      <c r="W46" s="23" t="s">
        <v>38</v>
      </c>
      <c r="X46" s="26" t="n">
        <f>170</f>
        <v>170.0</v>
      </c>
      <c r="Y46" s="24" t="s">
        <v>38</v>
      </c>
      <c r="Z46" s="25" t="n">
        <f>10856</f>
        <v>10856.0</v>
      </c>
      <c r="AA46" s="23"/>
      <c r="AB46" s="25" t="n">
        <f>24340</f>
        <v>24340.0</v>
      </c>
      <c r="AC46" s="23"/>
      <c r="AD46" s="26" t="n">
        <f>35196</f>
        <v>35196.0</v>
      </c>
    </row>
    <row r="47">
      <c r="A47" s="30" t="s">
        <v>35</v>
      </c>
      <c r="B47" s="22" t="s">
        <v>61</v>
      </c>
      <c r="C47" s="22" t="s">
        <v>62</v>
      </c>
      <c r="D47" s="24"/>
      <c r="E47" s="25" t="n">
        <f>15313</f>
        <v>15313.0</v>
      </c>
      <c r="F47" s="23"/>
      <c r="G47" s="25" t="n">
        <f>16087</f>
        <v>16087.0</v>
      </c>
      <c r="H47" s="23"/>
      <c r="I47" s="26" t="n">
        <f>31400</f>
        <v>31400.0</v>
      </c>
      <c r="J47" s="24"/>
      <c r="K47" s="25" t="n">
        <f>897446400</f>
        <v>8.974464E8</v>
      </c>
      <c r="L47" s="23"/>
      <c r="M47" s="25" t="n">
        <f>539764110</f>
        <v>5.3976411E8</v>
      </c>
      <c r="N47" s="23"/>
      <c r="O47" s="26" t="n">
        <f>1437210510</f>
        <v>1.43721051E9</v>
      </c>
      <c r="P47" s="27" t="str">
        <f>"－"</f>
        <v>－</v>
      </c>
      <c r="Q47" s="28" t="str">
        <f>"－"</f>
        <v>－</v>
      </c>
      <c r="R47" s="29" t="str">
        <f>"－"</f>
        <v>－</v>
      </c>
      <c r="S47" s="24"/>
      <c r="T47" s="25" t="n">
        <f>100</f>
        <v>100.0</v>
      </c>
      <c r="U47" s="23"/>
      <c r="V47" s="25" t="n">
        <f>170</f>
        <v>170.0</v>
      </c>
      <c r="W47" s="23"/>
      <c r="X47" s="26" t="n">
        <f>270</f>
        <v>270.0</v>
      </c>
      <c r="Y47" s="24"/>
      <c r="Z47" s="25" t="n">
        <f>15935</f>
        <v>15935.0</v>
      </c>
      <c r="AA47" s="23"/>
      <c r="AB47" s="25" t="n">
        <f>23743</f>
        <v>23743.0</v>
      </c>
      <c r="AC47" s="23"/>
      <c r="AD47" s="26" t="n">
        <f>39678</f>
        <v>39678.0</v>
      </c>
    </row>
    <row r="48">
      <c r="A48" s="30" t="s">
        <v>36</v>
      </c>
      <c r="B48" s="22" t="s">
        <v>61</v>
      </c>
      <c r="C48" s="22" t="s">
        <v>62</v>
      </c>
      <c r="D48" s="24"/>
      <c r="E48" s="25" t="n">
        <f>12182</f>
        <v>12182.0</v>
      </c>
      <c r="F48" s="23"/>
      <c r="G48" s="25" t="n">
        <f>13899</f>
        <v>13899.0</v>
      </c>
      <c r="H48" s="23"/>
      <c r="I48" s="26" t="n">
        <f>26081</f>
        <v>26081.0</v>
      </c>
      <c r="J48" s="24"/>
      <c r="K48" s="25" t="n">
        <f>449681410</f>
        <v>4.4968141E8</v>
      </c>
      <c r="L48" s="23"/>
      <c r="M48" s="25" t="n">
        <f>494323530</f>
        <v>4.9432353E8</v>
      </c>
      <c r="N48" s="23"/>
      <c r="O48" s="26" t="n">
        <f>944004940</f>
        <v>9.4400494E8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/>
      <c r="T48" s="25" t="n">
        <f>290</f>
        <v>290.0</v>
      </c>
      <c r="U48" s="23"/>
      <c r="V48" s="25" t="n">
        <f>150</f>
        <v>150.0</v>
      </c>
      <c r="W48" s="23"/>
      <c r="X48" s="26" t="n">
        <f>440</f>
        <v>440.0</v>
      </c>
      <c r="Y48" s="24"/>
      <c r="Z48" s="25" t="n">
        <f>17723</f>
        <v>17723.0</v>
      </c>
      <c r="AA48" s="23"/>
      <c r="AB48" s="25" t="n">
        <f>25484</f>
        <v>25484.0</v>
      </c>
      <c r="AC48" s="23"/>
      <c r="AD48" s="26" t="n">
        <f>43207</f>
        <v>43207.0</v>
      </c>
    </row>
    <row r="49">
      <c r="A49" s="30" t="s">
        <v>37</v>
      </c>
      <c r="B49" s="22" t="s">
        <v>61</v>
      </c>
      <c r="C49" s="22" t="s">
        <v>62</v>
      </c>
      <c r="D49" s="24"/>
      <c r="E49" s="25" t="n">
        <f>14040</f>
        <v>14040.0</v>
      </c>
      <c r="F49" s="23"/>
      <c r="G49" s="25" t="n">
        <f>9087</f>
        <v>9087.0</v>
      </c>
      <c r="H49" s="23"/>
      <c r="I49" s="26" t="n">
        <f>23127</f>
        <v>23127.0</v>
      </c>
      <c r="J49" s="24"/>
      <c r="K49" s="25" t="n">
        <f>563426310</f>
        <v>5.6342631E8</v>
      </c>
      <c r="L49" s="23"/>
      <c r="M49" s="25" t="n">
        <f>250786880</f>
        <v>2.5078688E8</v>
      </c>
      <c r="N49" s="23"/>
      <c r="O49" s="26" t="n">
        <f>814213190</f>
        <v>8.1421319E8</v>
      </c>
      <c r="P49" s="27" t="n">
        <f>6489</f>
        <v>6489.0</v>
      </c>
      <c r="Q49" s="28" t="n">
        <f>1161</f>
        <v>1161.0</v>
      </c>
      <c r="R49" s="29" t="n">
        <f>7650</f>
        <v>7650.0</v>
      </c>
      <c r="S49" s="24"/>
      <c r="T49" s="25" t="n">
        <f>200</f>
        <v>200.0</v>
      </c>
      <c r="U49" s="23"/>
      <c r="V49" s="25" t="n">
        <f>180</f>
        <v>180.0</v>
      </c>
      <c r="W49" s="23"/>
      <c r="X49" s="26" t="n">
        <f>380</f>
        <v>380.0</v>
      </c>
      <c r="Y49" s="24"/>
      <c r="Z49" s="25" t="n">
        <f>11881</f>
        <v>11881.0</v>
      </c>
      <c r="AA49" s="23" t="s">
        <v>38</v>
      </c>
      <c r="AB49" s="25" t="n">
        <f>10916</f>
        <v>10916.0</v>
      </c>
      <c r="AC49" s="23" t="s">
        <v>38</v>
      </c>
      <c r="AD49" s="26" t="n">
        <f>22797</f>
        <v>22797.0</v>
      </c>
    </row>
    <row r="50">
      <c r="A50" s="30" t="s">
        <v>39</v>
      </c>
      <c r="B50" s="22" t="s">
        <v>61</v>
      </c>
      <c r="C50" s="22" t="s">
        <v>62</v>
      </c>
      <c r="D50" s="24"/>
      <c r="E50" s="25"/>
      <c r="F50" s="23"/>
      <c r="G50" s="25"/>
      <c r="H50" s="23"/>
      <c r="I50" s="26"/>
      <c r="J50" s="24"/>
      <c r="K50" s="25"/>
      <c r="L50" s="23"/>
      <c r="M50" s="25"/>
      <c r="N50" s="23"/>
      <c r="O50" s="26"/>
      <c r="P50" s="27"/>
      <c r="Q50" s="28"/>
      <c r="R50" s="29"/>
      <c r="S50" s="24"/>
      <c r="T50" s="25"/>
      <c r="U50" s="23"/>
      <c r="V50" s="25"/>
      <c r="W50" s="23"/>
      <c r="X50" s="26"/>
      <c r="Y50" s="24"/>
      <c r="Z50" s="25"/>
      <c r="AA50" s="23"/>
      <c r="AB50" s="25"/>
      <c r="AC50" s="23"/>
      <c r="AD50" s="26"/>
    </row>
    <row r="51">
      <c r="A51" s="30" t="s">
        <v>40</v>
      </c>
      <c r="B51" s="22" t="s">
        <v>61</v>
      </c>
      <c r="C51" s="22" t="s">
        <v>62</v>
      </c>
      <c r="D51" s="24"/>
      <c r="E51" s="25"/>
      <c r="F51" s="23"/>
      <c r="G51" s="25"/>
      <c r="H51" s="23"/>
      <c r="I51" s="26"/>
      <c r="J51" s="24"/>
      <c r="K51" s="25"/>
      <c r="L51" s="23"/>
      <c r="M51" s="25"/>
      <c r="N51" s="23"/>
      <c r="O51" s="26"/>
      <c r="P51" s="27"/>
      <c r="Q51" s="28"/>
      <c r="R51" s="29"/>
      <c r="S51" s="24"/>
      <c r="T51" s="25"/>
      <c r="U51" s="23"/>
      <c r="V51" s="25"/>
      <c r="W51" s="23"/>
      <c r="X51" s="26"/>
      <c r="Y51" s="24"/>
      <c r="Z51" s="25"/>
      <c r="AA51" s="23"/>
      <c r="AB51" s="25"/>
      <c r="AC51" s="23"/>
      <c r="AD51" s="26"/>
    </row>
    <row r="52">
      <c r="A52" s="30" t="s">
        <v>41</v>
      </c>
      <c r="B52" s="22" t="s">
        <v>61</v>
      </c>
      <c r="C52" s="22" t="s">
        <v>62</v>
      </c>
      <c r="D52" s="24"/>
      <c r="E52" s="25"/>
      <c r="F52" s="23"/>
      <c r="G52" s="25"/>
      <c r="H52" s="23"/>
      <c r="I52" s="26"/>
      <c r="J52" s="24"/>
      <c r="K52" s="25"/>
      <c r="L52" s="23"/>
      <c r="M52" s="25"/>
      <c r="N52" s="23"/>
      <c r="O52" s="26"/>
      <c r="P52" s="27"/>
      <c r="Q52" s="28"/>
      <c r="R52" s="29"/>
      <c r="S52" s="24"/>
      <c r="T52" s="25"/>
      <c r="U52" s="23"/>
      <c r="V52" s="25"/>
      <c r="W52" s="23"/>
      <c r="X52" s="26"/>
      <c r="Y52" s="24"/>
      <c r="Z52" s="25"/>
      <c r="AA52" s="23"/>
      <c r="AB52" s="25"/>
      <c r="AC52" s="23"/>
      <c r="AD52" s="26"/>
    </row>
    <row r="53">
      <c r="A53" s="30" t="s">
        <v>42</v>
      </c>
      <c r="B53" s="22" t="s">
        <v>61</v>
      </c>
      <c r="C53" s="22" t="s">
        <v>62</v>
      </c>
      <c r="D53" s="24"/>
      <c r="E53" s="25" t="n">
        <f>29517</f>
        <v>29517.0</v>
      </c>
      <c r="F53" s="23"/>
      <c r="G53" s="25" t="n">
        <f>17962</f>
        <v>17962.0</v>
      </c>
      <c r="H53" s="23"/>
      <c r="I53" s="26" t="n">
        <f>47479</f>
        <v>47479.0</v>
      </c>
      <c r="J53" s="24"/>
      <c r="K53" s="25" t="n">
        <f>822449660</f>
        <v>8.2244966E8</v>
      </c>
      <c r="L53" s="23"/>
      <c r="M53" s="25" t="n">
        <f>510883140</f>
        <v>5.1088314E8</v>
      </c>
      <c r="N53" s="23"/>
      <c r="O53" s="26" t="n">
        <f>1333332800</f>
        <v>1.3333328E9</v>
      </c>
      <c r="P53" s="27" t="str">
        <f>"－"</f>
        <v>－</v>
      </c>
      <c r="Q53" s="28" t="str">
        <f>"－"</f>
        <v>－</v>
      </c>
      <c r="R53" s="29" t="str">
        <f>"－"</f>
        <v>－</v>
      </c>
      <c r="S53" s="24"/>
      <c r="T53" s="25" t="n">
        <f>2710</f>
        <v>2710.0</v>
      </c>
      <c r="U53" s="23"/>
      <c r="V53" s="25" t="n">
        <f>2070</f>
        <v>2070.0</v>
      </c>
      <c r="W53" s="23"/>
      <c r="X53" s="26" t="n">
        <f>4780</f>
        <v>4780.0</v>
      </c>
      <c r="Y53" s="24"/>
      <c r="Z53" s="25" t="n">
        <f>25560</f>
        <v>25560.0</v>
      </c>
      <c r="AA53" s="23"/>
      <c r="AB53" s="25" t="n">
        <f>16227</f>
        <v>16227.0</v>
      </c>
      <c r="AC53" s="23"/>
      <c r="AD53" s="26" t="n">
        <f>41787</f>
        <v>41787.0</v>
      </c>
    </row>
    <row r="54">
      <c r="A54" s="30" t="s">
        <v>43</v>
      </c>
      <c r="B54" s="22" t="s">
        <v>61</v>
      </c>
      <c r="C54" s="22" t="s">
        <v>62</v>
      </c>
      <c r="D54" s="24"/>
      <c r="E54" s="25" t="n">
        <f>24269</f>
        <v>24269.0</v>
      </c>
      <c r="F54" s="23"/>
      <c r="G54" s="25" t="n">
        <f>21110</f>
        <v>21110.0</v>
      </c>
      <c r="H54" s="23"/>
      <c r="I54" s="26" t="n">
        <f>45379</f>
        <v>45379.0</v>
      </c>
      <c r="J54" s="24"/>
      <c r="K54" s="25" t="n">
        <f>427267280</f>
        <v>4.2726728E8</v>
      </c>
      <c r="L54" s="23"/>
      <c r="M54" s="25" t="n">
        <f>375285480</f>
        <v>3.7528548E8</v>
      </c>
      <c r="N54" s="23"/>
      <c r="O54" s="26" t="n">
        <f>802552760</f>
        <v>8.0255276E8</v>
      </c>
      <c r="P54" s="27" t="str">
        <f>"－"</f>
        <v>－</v>
      </c>
      <c r="Q54" s="28" t="str">
        <f>"－"</f>
        <v>－</v>
      </c>
      <c r="R54" s="29" t="str">
        <f>"－"</f>
        <v>－</v>
      </c>
      <c r="S54" s="24"/>
      <c r="T54" s="25" t="n">
        <f>2480</f>
        <v>2480.0</v>
      </c>
      <c r="U54" s="23"/>
      <c r="V54" s="25" t="n">
        <f>5220</f>
        <v>5220.0</v>
      </c>
      <c r="W54" s="23"/>
      <c r="X54" s="26" t="n">
        <f>7700</f>
        <v>7700.0</v>
      </c>
      <c r="Y54" s="24"/>
      <c r="Z54" s="25" t="n">
        <f>29444</f>
        <v>29444.0</v>
      </c>
      <c r="AA54" s="23"/>
      <c r="AB54" s="25" t="n">
        <f>20871</f>
        <v>20871.0</v>
      </c>
      <c r="AC54" s="23"/>
      <c r="AD54" s="26" t="n">
        <f>50315</f>
        <v>50315.0</v>
      </c>
    </row>
    <row r="55">
      <c r="A55" s="30" t="s">
        <v>44</v>
      </c>
      <c r="B55" s="22" t="s">
        <v>61</v>
      </c>
      <c r="C55" s="22" t="s">
        <v>62</v>
      </c>
      <c r="D55" s="24"/>
      <c r="E55" s="25" t="n">
        <f>29013</f>
        <v>29013.0</v>
      </c>
      <c r="F55" s="23"/>
      <c r="G55" s="25" t="n">
        <f>20282</f>
        <v>20282.0</v>
      </c>
      <c r="H55" s="23"/>
      <c r="I55" s="26" t="n">
        <f>49295</f>
        <v>49295.0</v>
      </c>
      <c r="J55" s="24"/>
      <c r="K55" s="25" t="n">
        <f>268477910</f>
        <v>2.6847791E8</v>
      </c>
      <c r="L55" s="23"/>
      <c r="M55" s="25" t="n">
        <f>292788260</f>
        <v>2.9278826E8</v>
      </c>
      <c r="N55" s="23"/>
      <c r="O55" s="26" t="n">
        <f>561266170</f>
        <v>5.6126617E8</v>
      </c>
      <c r="P55" s="27" t="str">
        <f>"－"</f>
        <v>－</v>
      </c>
      <c r="Q55" s="28" t="str">
        <f>"－"</f>
        <v>－</v>
      </c>
      <c r="R55" s="29" t="str">
        <f>"－"</f>
        <v>－</v>
      </c>
      <c r="S55" s="24"/>
      <c r="T55" s="25" t="n">
        <f>3821</f>
        <v>3821.0</v>
      </c>
      <c r="U55" s="23"/>
      <c r="V55" s="25" t="n">
        <f>3800</f>
        <v>3800.0</v>
      </c>
      <c r="W55" s="23"/>
      <c r="X55" s="26" t="n">
        <f>7621</f>
        <v>7621.0</v>
      </c>
      <c r="Y55" s="24"/>
      <c r="Z55" s="25" t="n">
        <f>36872</f>
        <v>36872.0</v>
      </c>
      <c r="AA55" s="23"/>
      <c r="AB55" s="25" t="n">
        <f>24367</f>
        <v>24367.0</v>
      </c>
      <c r="AC55" s="23"/>
      <c r="AD55" s="26" t="n">
        <f>61239</f>
        <v>61239.0</v>
      </c>
    </row>
    <row r="56">
      <c r="A56" s="30" t="s">
        <v>45</v>
      </c>
      <c r="B56" s="22" t="s">
        <v>61</v>
      </c>
      <c r="C56" s="22" t="s">
        <v>62</v>
      </c>
      <c r="D56" s="24"/>
      <c r="E56" s="25" t="n">
        <f>16689</f>
        <v>16689.0</v>
      </c>
      <c r="F56" s="23"/>
      <c r="G56" s="25" t="n">
        <f>18469</f>
        <v>18469.0</v>
      </c>
      <c r="H56" s="23"/>
      <c r="I56" s="26" t="n">
        <f>35158</f>
        <v>35158.0</v>
      </c>
      <c r="J56" s="24"/>
      <c r="K56" s="25" t="n">
        <f>332951410</f>
        <v>3.3295141E8</v>
      </c>
      <c r="L56" s="23"/>
      <c r="M56" s="25" t="n">
        <f>451605990</f>
        <v>4.5160599E8</v>
      </c>
      <c r="N56" s="23"/>
      <c r="O56" s="26" t="n">
        <f>784557400</f>
        <v>7.845574E8</v>
      </c>
      <c r="P56" s="27" t="n">
        <f>35</f>
        <v>35.0</v>
      </c>
      <c r="Q56" s="28" t="n">
        <f>9182</f>
        <v>9182.0</v>
      </c>
      <c r="R56" s="29" t="n">
        <f>9217</f>
        <v>9217.0</v>
      </c>
      <c r="S56" s="24"/>
      <c r="T56" s="25" t="n">
        <f>1150</f>
        <v>1150.0</v>
      </c>
      <c r="U56" s="23"/>
      <c r="V56" s="25" t="n">
        <f>1490</f>
        <v>1490.0</v>
      </c>
      <c r="W56" s="23"/>
      <c r="X56" s="26" t="n">
        <f>2640</f>
        <v>2640.0</v>
      </c>
      <c r="Y56" s="24"/>
      <c r="Z56" s="25" t="n">
        <f>22057</f>
        <v>22057.0</v>
      </c>
      <c r="AA56" s="23"/>
      <c r="AB56" s="25" t="n">
        <f>12139</f>
        <v>12139.0</v>
      </c>
      <c r="AC56" s="23"/>
      <c r="AD56" s="26" t="n">
        <f>34196</f>
        <v>34196.0</v>
      </c>
    </row>
    <row r="57">
      <c r="A57" s="30" t="s">
        <v>46</v>
      </c>
      <c r="B57" s="22" t="s">
        <v>61</v>
      </c>
      <c r="C57" s="22" t="s">
        <v>62</v>
      </c>
      <c r="D57" s="24"/>
      <c r="E57" s="25"/>
      <c r="F57" s="23"/>
      <c r="G57" s="25"/>
      <c r="H57" s="23"/>
      <c r="I57" s="26"/>
      <c r="J57" s="24"/>
      <c r="K57" s="25"/>
      <c r="L57" s="23"/>
      <c r="M57" s="25"/>
      <c r="N57" s="23"/>
      <c r="O57" s="26"/>
      <c r="P57" s="27"/>
      <c r="Q57" s="28"/>
      <c r="R57" s="29"/>
      <c r="S57" s="24"/>
      <c r="T57" s="25"/>
      <c r="U57" s="23"/>
      <c r="V57" s="25"/>
      <c r="W57" s="23"/>
      <c r="X57" s="26"/>
      <c r="Y57" s="24"/>
      <c r="Z57" s="25"/>
      <c r="AA57" s="23"/>
      <c r="AB57" s="25"/>
      <c r="AC57" s="23"/>
      <c r="AD57" s="26"/>
    </row>
    <row r="58">
      <c r="A58" s="30" t="s">
        <v>47</v>
      </c>
      <c r="B58" s="22" t="s">
        <v>61</v>
      </c>
      <c r="C58" s="22" t="s">
        <v>62</v>
      </c>
      <c r="D58" s="24"/>
      <c r="E58" s="25"/>
      <c r="F58" s="23"/>
      <c r="G58" s="25"/>
      <c r="H58" s="23"/>
      <c r="I58" s="26"/>
      <c r="J58" s="24"/>
      <c r="K58" s="25"/>
      <c r="L58" s="23"/>
      <c r="M58" s="25"/>
      <c r="N58" s="23"/>
      <c r="O58" s="26"/>
      <c r="P58" s="27"/>
      <c r="Q58" s="28"/>
      <c r="R58" s="29"/>
      <c r="S58" s="24"/>
      <c r="T58" s="25"/>
      <c r="U58" s="23"/>
      <c r="V58" s="25"/>
      <c r="W58" s="23"/>
      <c r="X58" s="26"/>
      <c r="Y58" s="24"/>
      <c r="Z58" s="25"/>
      <c r="AA58" s="23"/>
      <c r="AB58" s="25"/>
      <c r="AC58" s="23"/>
      <c r="AD58" s="26"/>
    </row>
    <row r="59">
      <c r="A59" s="30" t="s">
        <v>48</v>
      </c>
      <c r="B59" s="22" t="s">
        <v>61</v>
      </c>
      <c r="C59" s="22" t="s">
        <v>62</v>
      </c>
      <c r="D59" s="24"/>
      <c r="E59" s="25" t="n">
        <f>32475</f>
        <v>32475.0</v>
      </c>
      <c r="F59" s="23"/>
      <c r="G59" s="25" t="n">
        <f>20108</f>
        <v>20108.0</v>
      </c>
      <c r="H59" s="23"/>
      <c r="I59" s="26" t="n">
        <f>52583</f>
        <v>52583.0</v>
      </c>
      <c r="J59" s="24"/>
      <c r="K59" s="25" t="n">
        <f>473042160</f>
        <v>4.7304216E8</v>
      </c>
      <c r="L59" s="23"/>
      <c r="M59" s="25" t="n">
        <f>390456560</f>
        <v>3.9045656E8</v>
      </c>
      <c r="N59" s="23"/>
      <c r="O59" s="26" t="n">
        <f>863498720</f>
        <v>8.6349872E8</v>
      </c>
      <c r="P59" s="27" t="str">
        <f>"－"</f>
        <v>－</v>
      </c>
      <c r="Q59" s="28" t="str">
        <f>"－"</f>
        <v>－</v>
      </c>
      <c r="R59" s="29" t="str">
        <f>"－"</f>
        <v>－</v>
      </c>
      <c r="S59" s="24"/>
      <c r="T59" s="25" t="n">
        <f>3880</f>
        <v>3880.0</v>
      </c>
      <c r="U59" s="23"/>
      <c r="V59" s="25" t="n">
        <f>2890</f>
        <v>2890.0</v>
      </c>
      <c r="W59" s="23"/>
      <c r="X59" s="26" t="n">
        <f>6770</f>
        <v>6770.0</v>
      </c>
      <c r="Y59" s="24"/>
      <c r="Z59" s="25" t="n">
        <f>34314</f>
        <v>34314.0</v>
      </c>
      <c r="AA59" s="23"/>
      <c r="AB59" s="25" t="n">
        <f>14214</f>
        <v>14214.0</v>
      </c>
      <c r="AC59" s="23"/>
      <c r="AD59" s="26" t="n">
        <f>48528</f>
        <v>48528.0</v>
      </c>
    </row>
    <row r="60">
      <c r="A60" s="30" t="s">
        <v>49</v>
      </c>
      <c r="B60" s="22" t="s">
        <v>61</v>
      </c>
      <c r="C60" s="22" t="s">
        <v>62</v>
      </c>
      <c r="D60" s="24"/>
      <c r="E60" s="25" t="n">
        <f>26156</f>
        <v>26156.0</v>
      </c>
      <c r="F60" s="23"/>
      <c r="G60" s="25" t="n">
        <f>18271</f>
        <v>18271.0</v>
      </c>
      <c r="H60" s="23"/>
      <c r="I60" s="26" t="n">
        <f>44427</f>
        <v>44427.0</v>
      </c>
      <c r="J60" s="24"/>
      <c r="K60" s="25" t="n">
        <f>318832310</f>
        <v>3.1883231E8</v>
      </c>
      <c r="L60" s="23"/>
      <c r="M60" s="25" t="n">
        <f>343672500</f>
        <v>3.436725E8</v>
      </c>
      <c r="N60" s="23"/>
      <c r="O60" s="26" t="n">
        <f>662504810</f>
        <v>6.6250481E8</v>
      </c>
      <c r="P60" s="27" t="str">
        <f>"－"</f>
        <v>－</v>
      </c>
      <c r="Q60" s="28" t="str">
        <f>"－"</f>
        <v>－</v>
      </c>
      <c r="R60" s="29" t="str">
        <f>"－"</f>
        <v>－</v>
      </c>
      <c r="S60" s="24"/>
      <c r="T60" s="25" t="n">
        <f>1931</f>
        <v>1931.0</v>
      </c>
      <c r="U60" s="23"/>
      <c r="V60" s="25" t="n">
        <f>1980</f>
        <v>1980.0</v>
      </c>
      <c r="W60" s="23"/>
      <c r="X60" s="26" t="n">
        <f>3911</f>
        <v>3911.0</v>
      </c>
      <c r="Y60" s="24"/>
      <c r="Z60" s="25" t="n">
        <f>40498</f>
        <v>40498.0</v>
      </c>
      <c r="AA60" s="23"/>
      <c r="AB60" s="25" t="n">
        <f>15544</f>
        <v>15544.0</v>
      </c>
      <c r="AC60" s="23"/>
      <c r="AD60" s="26" t="n">
        <f>56042</f>
        <v>56042.0</v>
      </c>
    </row>
    <row r="61">
      <c r="A61" s="30" t="s">
        <v>50</v>
      </c>
      <c r="B61" s="22" t="s">
        <v>61</v>
      </c>
      <c r="C61" s="22" t="s">
        <v>62</v>
      </c>
      <c r="D61" s="24"/>
      <c r="E61" s="25" t="n">
        <f>20248</f>
        <v>20248.0</v>
      </c>
      <c r="F61" s="23"/>
      <c r="G61" s="25" t="n">
        <f>16206</f>
        <v>16206.0</v>
      </c>
      <c r="H61" s="23"/>
      <c r="I61" s="26" t="n">
        <f>36454</f>
        <v>36454.0</v>
      </c>
      <c r="J61" s="24"/>
      <c r="K61" s="25" t="n">
        <f>271916160</f>
        <v>2.7191616E8</v>
      </c>
      <c r="L61" s="23"/>
      <c r="M61" s="25" t="n">
        <f>248280750</f>
        <v>2.4828075E8</v>
      </c>
      <c r="N61" s="23"/>
      <c r="O61" s="26" t="n">
        <f>520196910</f>
        <v>5.2019691E8</v>
      </c>
      <c r="P61" s="27" t="str">
        <f>"－"</f>
        <v>－</v>
      </c>
      <c r="Q61" s="28" t="str">
        <f>"－"</f>
        <v>－</v>
      </c>
      <c r="R61" s="29" t="str">
        <f>"－"</f>
        <v>－</v>
      </c>
      <c r="S61" s="24"/>
      <c r="T61" s="25" t="n">
        <f>2930</f>
        <v>2930.0</v>
      </c>
      <c r="U61" s="23"/>
      <c r="V61" s="25" t="n">
        <f>2630</f>
        <v>2630.0</v>
      </c>
      <c r="W61" s="23"/>
      <c r="X61" s="26" t="n">
        <f>5560</f>
        <v>5560.0</v>
      </c>
      <c r="Y61" s="24"/>
      <c r="Z61" s="25" t="n">
        <f>44184</f>
        <v>44184.0</v>
      </c>
      <c r="AA61" s="23"/>
      <c r="AB61" s="25" t="n">
        <f>16832</f>
        <v>16832.0</v>
      </c>
      <c r="AC61" s="23"/>
      <c r="AD61" s="26" t="n">
        <f>61016</f>
        <v>61016.0</v>
      </c>
    </row>
    <row r="62">
      <c r="A62" s="30" t="s">
        <v>51</v>
      </c>
      <c r="B62" s="22" t="s">
        <v>61</v>
      </c>
      <c r="C62" s="22" t="s">
        <v>62</v>
      </c>
      <c r="D62" s="24"/>
      <c r="E62" s="25" t="n">
        <f>33910</f>
        <v>33910.0</v>
      </c>
      <c r="F62" s="23"/>
      <c r="G62" s="25" t="n">
        <f>20738</f>
        <v>20738.0</v>
      </c>
      <c r="H62" s="23"/>
      <c r="I62" s="26" t="n">
        <f>54648</f>
        <v>54648.0</v>
      </c>
      <c r="J62" s="24"/>
      <c r="K62" s="25" t="n">
        <f>360156840</f>
        <v>3.6015684E8</v>
      </c>
      <c r="L62" s="23"/>
      <c r="M62" s="25" t="n">
        <f>353867060</f>
        <v>3.5386706E8</v>
      </c>
      <c r="N62" s="23"/>
      <c r="O62" s="26" t="n">
        <f>714023900</f>
        <v>7.140239E8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8140</f>
        <v>8140.0</v>
      </c>
      <c r="U62" s="23"/>
      <c r="V62" s="25" t="n">
        <f>2410</f>
        <v>2410.0</v>
      </c>
      <c r="W62" s="23"/>
      <c r="X62" s="26" t="n">
        <f>10550</f>
        <v>10550.0</v>
      </c>
      <c r="Y62" s="24" t="s">
        <v>30</v>
      </c>
      <c r="Z62" s="25" t="n">
        <f>50900</f>
        <v>50900.0</v>
      </c>
      <c r="AA62" s="23"/>
      <c r="AB62" s="25" t="n">
        <f>21281</f>
        <v>21281.0</v>
      </c>
      <c r="AC62" s="23"/>
      <c r="AD62" s="26" t="n">
        <f>72181</f>
        <v>72181.0</v>
      </c>
    </row>
    <row r="63">
      <c r="A63" s="30" t="s">
        <v>52</v>
      </c>
      <c r="B63" s="22" t="s">
        <v>61</v>
      </c>
      <c r="C63" s="22" t="s">
        <v>62</v>
      </c>
      <c r="D63" s="24"/>
      <c r="E63" s="25" t="n">
        <f>16497</f>
        <v>16497.0</v>
      </c>
      <c r="F63" s="23"/>
      <c r="G63" s="25" t="n">
        <f>9086</f>
        <v>9086.0</v>
      </c>
      <c r="H63" s="23"/>
      <c r="I63" s="26" t="n">
        <f>25583</f>
        <v>25583.0</v>
      </c>
      <c r="J63" s="24"/>
      <c r="K63" s="25" t="n">
        <f>329287080</f>
        <v>3.2928708E8</v>
      </c>
      <c r="L63" s="23"/>
      <c r="M63" s="25" t="n">
        <f>242224100</f>
        <v>2.422241E8</v>
      </c>
      <c r="N63" s="23"/>
      <c r="O63" s="26" t="n">
        <f>571511180</f>
        <v>5.7151118E8</v>
      </c>
      <c r="P63" s="27" t="n">
        <f>98</f>
        <v>98.0</v>
      </c>
      <c r="Q63" s="28" t="n">
        <f>905</f>
        <v>905.0</v>
      </c>
      <c r="R63" s="29" t="n">
        <f>1003</f>
        <v>1003.0</v>
      </c>
      <c r="S63" s="24"/>
      <c r="T63" s="25" t="n">
        <f>1880</f>
        <v>1880.0</v>
      </c>
      <c r="U63" s="23"/>
      <c r="V63" s="25" t="n">
        <f>570</f>
        <v>570.0</v>
      </c>
      <c r="W63" s="23"/>
      <c r="X63" s="26" t="n">
        <f>2450</f>
        <v>2450.0</v>
      </c>
      <c r="Y63" s="24"/>
      <c r="Z63" s="25" t="n">
        <f>26187</f>
        <v>26187.0</v>
      </c>
      <c r="AA63" s="23"/>
      <c r="AB63" s="25" t="n">
        <f>15618</f>
        <v>15618.0</v>
      </c>
      <c r="AC63" s="23"/>
      <c r="AD63" s="26" t="n">
        <f>41805</f>
        <v>41805.0</v>
      </c>
    </row>
    <row r="64">
      <c r="A64" s="30" t="s">
        <v>53</v>
      </c>
      <c r="B64" s="22" t="s">
        <v>61</v>
      </c>
      <c r="C64" s="22" t="s">
        <v>62</v>
      </c>
      <c r="D64" s="24"/>
      <c r="E64" s="25"/>
      <c r="F64" s="23"/>
      <c r="G64" s="25"/>
      <c r="H64" s="23"/>
      <c r="I64" s="26"/>
      <c r="J64" s="24"/>
      <c r="K64" s="25"/>
      <c r="L64" s="23"/>
      <c r="M64" s="25"/>
      <c r="N64" s="23"/>
      <c r="O64" s="26"/>
      <c r="P64" s="27"/>
      <c r="Q64" s="28"/>
      <c r="R64" s="29"/>
      <c r="S64" s="24"/>
      <c r="T64" s="25"/>
      <c r="U64" s="23"/>
      <c r="V64" s="25"/>
      <c r="W64" s="23"/>
      <c r="X64" s="26"/>
      <c r="Y64" s="24"/>
      <c r="Z64" s="25"/>
      <c r="AA64" s="23"/>
      <c r="AB64" s="25"/>
      <c r="AC64" s="23"/>
      <c r="AD64" s="26"/>
    </row>
    <row r="65">
      <c r="A65" s="30" t="s">
        <v>54</v>
      </c>
      <c r="B65" s="22" t="s">
        <v>61</v>
      </c>
      <c r="C65" s="22" t="s">
        <v>62</v>
      </c>
      <c r="D65" s="24"/>
      <c r="E65" s="25"/>
      <c r="F65" s="23"/>
      <c r="G65" s="25"/>
      <c r="H65" s="23"/>
      <c r="I65" s="26"/>
      <c r="J65" s="24"/>
      <c r="K65" s="25"/>
      <c r="L65" s="23"/>
      <c r="M65" s="25"/>
      <c r="N65" s="23"/>
      <c r="O65" s="26"/>
      <c r="P65" s="27"/>
      <c r="Q65" s="28"/>
      <c r="R65" s="29"/>
      <c r="S65" s="24"/>
      <c r="T65" s="25"/>
      <c r="U65" s="23"/>
      <c r="V65" s="25"/>
      <c r="W65" s="23"/>
      <c r="X65" s="26"/>
      <c r="Y65" s="24"/>
      <c r="Z65" s="25"/>
      <c r="AA65" s="23"/>
      <c r="AB65" s="25"/>
      <c r="AC65" s="23"/>
      <c r="AD65" s="26"/>
    </row>
    <row r="66">
      <c r="A66" s="30" t="s">
        <v>55</v>
      </c>
      <c r="B66" s="22" t="s">
        <v>61</v>
      </c>
      <c r="C66" s="22" t="s">
        <v>62</v>
      </c>
      <c r="D66" s="24"/>
      <c r="E66" s="25" t="n">
        <f>19253</f>
        <v>19253.0</v>
      </c>
      <c r="F66" s="23"/>
      <c r="G66" s="25" t="n">
        <f>13474</f>
        <v>13474.0</v>
      </c>
      <c r="H66" s="23"/>
      <c r="I66" s="26" t="n">
        <f>32727</f>
        <v>32727.0</v>
      </c>
      <c r="J66" s="24"/>
      <c r="K66" s="25" t="n">
        <f>319658430</f>
        <v>3.1965843E8</v>
      </c>
      <c r="L66" s="23"/>
      <c r="M66" s="25" t="n">
        <f>189909620</f>
        <v>1.8990962E8</v>
      </c>
      <c r="N66" s="23"/>
      <c r="O66" s="26" t="n">
        <f>509568050</f>
        <v>5.0956805E8</v>
      </c>
      <c r="P66" s="27" t="str">
        <f>"－"</f>
        <v>－</v>
      </c>
      <c r="Q66" s="28" t="str">
        <f>"－"</f>
        <v>－</v>
      </c>
      <c r="R66" s="29" t="str">
        <f>"－"</f>
        <v>－</v>
      </c>
      <c r="S66" s="24"/>
      <c r="T66" s="25" t="n">
        <f>3570</f>
        <v>3570.0</v>
      </c>
      <c r="U66" s="23"/>
      <c r="V66" s="25" t="n">
        <f>1730</f>
        <v>1730.0</v>
      </c>
      <c r="W66" s="23"/>
      <c r="X66" s="26" t="n">
        <f>5300</f>
        <v>5300.0</v>
      </c>
      <c r="Y66" s="24"/>
      <c r="Z66" s="25" t="n">
        <f>29938</f>
        <v>29938.0</v>
      </c>
      <c r="AA66" s="23"/>
      <c r="AB66" s="25" t="n">
        <f>18130</f>
        <v>18130.0</v>
      </c>
      <c r="AC66" s="23"/>
      <c r="AD66" s="26" t="n">
        <f>48068</f>
        <v>48068.0</v>
      </c>
    </row>
    <row r="67">
      <c r="A67" s="30" t="s">
        <v>56</v>
      </c>
      <c r="B67" s="22" t="s">
        <v>61</v>
      </c>
      <c r="C67" s="22" t="s">
        <v>62</v>
      </c>
      <c r="D67" s="24"/>
      <c r="E67" s="25" t="n">
        <f>17786</f>
        <v>17786.0</v>
      </c>
      <c r="F67" s="23"/>
      <c r="G67" s="25" t="n">
        <f>13423</f>
        <v>13423.0</v>
      </c>
      <c r="H67" s="23"/>
      <c r="I67" s="26" t="n">
        <f>31209</f>
        <v>31209.0</v>
      </c>
      <c r="J67" s="24"/>
      <c r="K67" s="25" t="n">
        <f>237433060</f>
        <v>2.3743306E8</v>
      </c>
      <c r="L67" s="23"/>
      <c r="M67" s="25" t="n">
        <f>207093400</f>
        <v>2.070934E8</v>
      </c>
      <c r="N67" s="23"/>
      <c r="O67" s="26" t="n">
        <f>444526460</f>
        <v>4.4452646E8</v>
      </c>
      <c r="P67" s="27" t="str">
        <f>"－"</f>
        <v>－</v>
      </c>
      <c r="Q67" s="28" t="str">
        <f>"－"</f>
        <v>－</v>
      </c>
      <c r="R67" s="29" t="str">
        <f>"－"</f>
        <v>－</v>
      </c>
      <c r="S67" s="24"/>
      <c r="T67" s="25" t="n">
        <f>1540</f>
        <v>1540.0</v>
      </c>
      <c r="U67" s="23"/>
      <c r="V67" s="25" t="n">
        <f>3305</f>
        <v>3305.0</v>
      </c>
      <c r="W67" s="23"/>
      <c r="X67" s="26" t="n">
        <f>4845</f>
        <v>4845.0</v>
      </c>
      <c r="Y67" s="24"/>
      <c r="Z67" s="25" t="n">
        <f>33761</f>
        <v>33761.0</v>
      </c>
      <c r="AA67" s="23"/>
      <c r="AB67" s="25" t="n">
        <f>23334</f>
        <v>23334.0</v>
      </c>
      <c r="AC67" s="23"/>
      <c r="AD67" s="26" t="n">
        <f>57095</f>
        <v>57095.0</v>
      </c>
    </row>
    <row r="68">
      <c r="A68" s="30" t="s">
        <v>57</v>
      </c>
      <c r="B68" s="22" t="s">
        <v>61</v>
      </c>
      <c r="C68" s="22" t="s">
        <v>62</v>
      </c>
      <c r="D68" s="24"/>
      <c r="E68" s="25" t="n">
        <f>20021</f>
        <v>20021.0</v>
      </c>
      <c r="F68" s="23"/>
      <c r="G68" s="25" t="n">
        <f>12619</f>
        <v>12619.0</v>
      </c>
      <c r="H68" s="23"/>
      <c r="I68" s="26" t="n">
        <f>32640</f>
        <v>32640.0</v>
      </c>
      <c r="J68" s="24" t="s">
        <v>38</v>
      </c>
      <c r="K68" s="25" t="n">
        <f>189281500</f>
        <v>1.892815E8</v>
      </c>
      <c r="L68" s="23"/>
      <c r="M68" s="25" t="n">
        <f>195424180</f>
        <v>1.9542418E8</v>
      </c>
      <c r="N68" s="23"/>
      <c r="O68" s="26" t="n">
        <f>384705680</f>
        <v>3.8470568E8</v>
      </c>
      <c r="P68" s="27" t="str">
        <f>"－"</f>
        <v>－</v>
      </c>
      <c r="Q68" s="28" t="str">
        <f>"－"</f>
        <v>－</v>
      </c>
      <c r="R68" s="29" t="str">
        <f>"－"</f>
        <v>－</v>
      </c>
      <c r="S68" s="24"/>
      <c r="T68" s="25" t="n">
        <f>2870</f>
        <v>2870.0</v>
      </c>
      <c r="U68" s="23"/>
      <c r="V68" s="25" t="n">
        <f>1150</f>
        <v>1150.0</v>
      </c>
      <c r="W68" s="23"/>
      <c r="X68" s="26" t="n">
        <f>4020</f>
        <v>4020.0</v>
      </c>
      <c r="Y68" s="24"/>
      <c r="Z68" s="25" t="n">
        <f>36250</f>
        <v>36250.0</v>
      </c>
      <c r="AA68" s="23"/>
      <c r="AB68" s="25" t="n">
        <f>24144</f>
        <v>24144.0</v>
      </c>
      <c r="AC68" s="23"/>
      <c r="AD68" s="26" t="n">
        <f>60394</f>
        <v>60394.0</v>
      </c>
    </row>
    <row r="69">
      <c r="A69" s="30" t="s">
        <v>58</v>
      </c>
      <c r="B69" s="22" t="s">
        <v>61</v>
      </c>
      <c r="C69" s="22" t="s">
        <v>62</v>
      </c>
      <c r="D69" s="24"/>
      <c r="E69" s="25" t="n">
        <f>29290</f>
        <v>29290.0</v>
      </c>
      <c r="F69" s="23"/>
      <c r="G69" s="25" t="n">
        <f>25095</f>
        <v>25095.0</v>
      </c>
      <c r="H69" s="23"/>
      <c r="I69" s="26" t="n">
        <f>54385</f>
        <v>54385.0</v>
      </c>
      <c r="J69" s="24"/>
      <c r="K69" s="25" t="n">
        <f>277825010</f>
        <v>2.7782501E8</v>
      </c>
      <c r="L69" s="23"/>
      <c r="M69" s="25" t="n">
        <f>217089910</f>
        <v>2.1708991E8</v>
      </c>
      <c r="N69" s="23"/>
      <c r="O69" s="26" t="n">
        <f>494914920</f>
        <v>4.9491492E8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3940</f>
        <v>3940.0</v>
      </c>
      <c r="U69" s="23"/>
      <c r="V69" s="25" t="n">
        <f>5850</f>
        <v>5850.0</v>
      </c>
      <c r="W69" s="23"/>
      <c r="X69" s="26" t="n">
        <f>9790</f>
        <v>9790.0</v>
      </c>
      <c r="Y69" s="24"/>
      <c r="Z69" s="25" t="n">
        <f>40442</f>
        <v>40442.0</v>
      </c>
      <c r="AA69" s="23"/>
      <c r="AB69" s="25" t="n">
        <f>27545</f>
        <v>27545.0</v>
      </c>
      <c r="AC69" s="23"/>
      <c r="AD69" s="26" t="n">
        <f>67987</f>
        <v>67987.0</v>
      </c>
    </row>
    <row r="70">
      <c r="A70" s="30" t="s">
        <v>59</v>
      </c>
      <c r="B70" s="22" t="s">
        <v>61</v>
      </c>
      <c r="C70" s="22" t="s">
        <v>62</v>
      </c>
      <c r="D70" s="24"/>
      <c r="E70" s="25" t="n">
        <f>11800</f>
        <v>11800.0</v>
      </c>
      <c r="F70" s="23" t="s">
        <v>38</v>
      </c>
      <c r="G70" s="25" t="n">
        <f>8074</f>
        <v>8074.0</v>
      </c>
      <c r="H70" s="23" t="s">
        <v>38</v>
      </c>
      <c r="I70" s="26" t="n">
        <f>19874</f>
        <v>19874.0</v>
      </c>
      <c r="J70" s="24"/>
      <c r="K70" s="25" t="n">
        <f>196891560</f>
        <v>1.9689156E8</v>
      </c>
      <c r="L70" s="23" t="s">
        <v>38</v>
      </c>
      <c r="M70" s="25" t="n">
        <f>157844900</f>
        <v>1.578449E8</v>
      </c>
      <c r="N70" s="23" t="s">
        <v>38</v>
      </c>
      <c r="O70" s="26" t="n">
        <f>354736460</f>
        <v>3.5473646E8</v>
      </c>
      <c r="P70" s="27" t="n">
        <f>37</f>
        <v>37.0</v>
      </c>
      <c r="Q70" s="28" t="n">
        <f>750</f>
        <v>750.0</v>
      </c>
      <c r="R70" s="29" t="n">
        <f>787</f>
        <v>787.0</v>
      </c>
      <c r="S70" s="24"/>
      <c r="T70" s="25" t="n">
        <f>420</f>
        <v>420.0</v>
      </c>
      <c r="U70" s="23"/>
      <c r="V70" s="25" t="n">
        <f>360</f>
        <v>360.0</v>
      </c>
      <c r="W70" s="23"/>
      <c r="X70" s="26" t="n">
        <f>780</f>
        <v>780.0</v>
      </c>
      <c r="Y70" s="24"/>
      <c r="Z70" s="25" t="n">
        <f>19014</f>
        <v>19014.0</v>
      </c>
      <c r="AA70" s="23"/>
      <c r="AB70" s="25" t="n">
        <f>11999</f>
        <v>11999.0</v>
      </c>
      <c r="AC70" s="23"/>
      <c r="AD70" s="26" t="n">
        <f>31013</f>
        <v>31013.0</v>
      </c>
    </row>
    <row r="71">
      <c r="A71" s="30" t="s">
        <v>60</v>
      </c>
      <c r="B71" s="22" t="s">
        <v>61</v>
      </c>
      <c r="C71" s="22" t="s">
        <v>62</v>
      </c>
      <c r="D71" s="24"/>
      <c r="E71" s="25"/>
      <c r="F71" s="23"/>
      <c r="G71" s="25"/>
      <c r="H71" s="23"/>
      <c r="I71" s="26"/>
      <c r="J71" s="24"/>
      <c r="K71" s="25"/>
      <c r="L71" s="23"/>
      <c r="M71" s="25"/>
      <c r="N71" s="23"/>
      <c r="O71" s="26"/>
      <c r="P71" s="27"/>
      <c r="Q71" s="28"/>
      <c r="R71" s="29"/>
      <c r="S71" s="24"/>
      <c r="T71" s="25"/>
      <c r="U71" s="23"/>
      <c r="V71" s="25"/>
      <c r="W71" s="23"/>
      <c r="X71" s="26"/>
      <c r="Y71" s="24"/>
      <c r="Z71" s="25"/>
      <c r="AA71" s="23"/>
      <c r="AB71" s="25"/>
      <c r="AC71" s="23"/>
      <c r="AD71" s="26"/>
    </row>
    <row r="72">
      <c r="A72" s="30" t="s">
        <v>26</v>
      </c>
      <c r="B72" s="22" t="s">
        <v>63</v>
      </c>
      <c r="C72" s="22" t="s">
        <v>64</v>
      </c>
      <c r="D72" s="24"/>
      <c r="E72" s="25" t="n">
        <f>1771</f>
        <v>1771.0</v>
      </c>
      <c r="F72" s="23"/>
      <c r="G72" s="25" t="n">
        <f>2789</f>
        <v>2789.0</v>
      </c>
      <c r="H72" s="23"/>
      <c r="I72" s="26" t="n">
        <f>4560</f>
        <v>4560.0</v>
      </c>
      <c r="J72" s="24"/>
      <c r="K72" s="25" t="n">
        <f>518470000</f>
        <v>5.1847E8</v>
      </c>
      <c r="L72" s="23"/>
      <c r="M72" s="25" t="n">
        <f>774375340</f>
        <v>7.7437534E8</v>
      </c>
      <c r="N72" s="23"/>
      <c r="O72" s="26" t="n">
        <f>1292845340</f>
        <v>1.29284534E9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/>
      <c r="T72" s="25" t="n">
        <f>1130</f>
        <v>1130.0</v>
      </c>
      <c r="U72" s="23"/>
      <c r="V72" s="25" t="n">
        <f>2073</f>
        <v>2073.0</v>
      </c>
      <c r="W72" s="23"/>
      <c r="X72" s="26" t="n">
        <f>3203</f>
        <v>3203.0</v>
      </c>
      <c r="Y72" s="24"/>
      <c r="Z72" s="25" t="n">
        <f>130244</f>
        <v>130244.0</v>
      </c>
      <c r="AA72" s="23"/>
      <c r="AB72" s="25" t="n">
        <f>97407</f>
        <v>97407.0</v>
      </c>
      <c r="AC72" s="23"/>
      <c r="AD72" s="26" t="n">
        <f>227651</f>
        <v>227651.0</v>
      </c>
    </row>
    <row r="73">
      <c r="A73" s="30" t="s">
        <v>29</v>
      </c>
      <c r="B73" s="22" t="s">
        <v>63</v>
      </c>
      <c r="C73" s="22" t="s">
        <v>64</v>
      </c>
      <c r="D73" s="24"/>
      <c r="E73" s="25" t="n">
        <f>2571</f>
        <v>2571.0</v>
      </c>
      <c r="F73" s="23"/>
      <c r="G73" s="25" t="n">
        <f>1850</f>
        <v>1850.0</v>
      </c>
      <c r="H73" s="23"/>
      <c r="I73" s="26" t="n">
        <f>4421</f>
        <v>4421.0</v>
      </c>
      <c r="J73" s="24"/>
      <c r="K73" s="25" t="n">
        <f>742540345</f>
        <v>7.42540345E8</v>
      </c>
      <c r="L73" s="23"/>
      <c r="M73" s="25" t="n">
        <f>208750000</f>
        <v>2.0875E8</v>
      </c>
      <c r="N73" s="23"/>
      <c r="O73" s="26" t="n">
        <f>951290345</f>
        <v>9.51290345E8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 t="s">
        <v>38</v>
      </c>
      <c r="T73" s="25" t="str">
        <f>"－"</f>
        <v>－</v>
      </c>
      <c r="U73" s="23" t="s">
        <v>38</v>
      </c>
      <c r="V73" s="25" t="str">
        <f>"－"</f>
        <v>－</v>
      </c>
      <c r="W73" s="23" t="s">
        <v>38</v>
      </c>
      <c r="X73" s="26" t="str">
        <f>"－"</f>
        <v>－</v>
      </c>
      <c r="Y73" s="24"/>
      <c r="Z73" s="25" t="n">
        <f>131323</f>
        <v>131323.0</v>
      </c>
      <c r="AA73" s="23"/>
      <c r="AB73" s="25" t="n">
        <f>98732</f>
        <v>98732.0</v>
      </c>
      <c r="AC73" s="23"/>
      <c r="AD73" s="26" t="n">
        <f>230055</f>
        <v>230055.0</v>
      </c>
    </row>
    <row r="74">
      <c r="A74" s="30" t="s">
        <v>31</v>
      </c>
      <c r="B74" s="22" t="s">
        <v>63</v>
      </c>
      <c r="C74" s="22" t="s">
        <v>64</v>
      </c>
      <c r="D74" s="24"/>
      <c r="E74" s="25"/>
      <c r="F74" s="23"/>
      <c r="G74" s="25"/>
      <c r="H74" s="23"/>
      <c r="I74" s="26"/>
      <c r="J74" s="24"/>
      <c r="K74" s="25"/>
      <c r="L74" s="23"/>
      <c r="M74" s="25"/>
      <c r="N74" s="23"/>
      <c r="O74" s="26"/>
      <c r="P74" s="27"/>
      <c r="Q74" s="28"/>
      <c r="R74" s="29"/>
      <c r="S74" s="24"/>
      <c r="T74" s="25"/>
      <c r="U74" s="23"/>
      <c r="V74" s="25"/>
      <c r="W74" s="23"/>
      <c r="X74" s="26"/>
      <c r="Y74" s="24"/>
      <c r="Z74" s="25"/>
      <c r="AA74" s="23"/>
      <c r="AB74" s="25"/>
      <c r="AC74" s="23"/>
      <c r="AD74" s="26"/>
    </row>
    <row r="75">
      <c r="A75" s="30" t="s">
        <v>32</v>
      </c>
      <c r="B75" s="22" t="s">
        <v>63</v>
      </c>
      <c r="C75" s="22" t="s">
        <v>64</v>
      </c>
      <c r="D75" s="24"/>
      <c r="E75" s="25"/>
      <c r="F75" s="23"/>
      <c r="G75" s="25"/>
      <c r="H75" s="23"/>
      <c r="I75" s="26"/>
      <c r="J75" s="24"/>
      <c r="K75" s="25"/>
      <c r="L75" s="23"/>
      <c r="M75" s="25"/>
      <c r="N75" s="23"/>
      <c r="O75" s="26"/>
      <c r="P75" s="27"/>
      <c r="Q75" s="28"/>
      <c r="R75" s="29"/>
      <c r="S75" s="24"/>
      <c r="T75" s="25"/>
      <c r="U75" s="23"/>
      <c r="V75" s="25"/>
      <c r="W75" s="23"/>
      <c r="X75" s="26"/>
      <c r="Y75" s="24"/>
      <c r="Z75" s="25"/>
      <c r="AA75" s="23"/>
      <c r="AB75" s="25"/>
      <c r="AC75" s="23"/>
      <c r="AD75" s="26"/>
    </row>
    <row r="76">
      <c r="A76" s="30" t="s">
        <v>33</v>
      </c>
      <c r="B76" s="22" t="s">
        <v>63</v>
      </c>
      <c r="C76" s="22" t="s">
        <v>64</v>
      </c>
      <c r="D76" s="24"/>
      <c r="E76" s="25" t="n">
        <f>13529</f>
        <v>13529.0</v>
      </c>
      <c r="F76" s="23"/>
      <c r="G76" s="25" t="n">
        <f>2409</f>
        <v>2409.0</v>
      </c>
      <c r="H76" s="23"/>
      <c r="I76" s="26" t="n">
        <f>15938</f>
        <v>15938.0</v>
      </c>
      <c r="J76" s="24" t="s">
        <v>30</v>
      </c>
      <c r="K76" s="25" t="n">
        <f>15652993680</f>
        <v>1.565299368E10</v>
      </c>
      <c r="L76" s="23"/>
      <c r="M76" s="25" t="n">
        <f>370401781</f>
        <v>3.70401781E8</v>
      </c>
      <c r="N76" s="23" t="s">
        <v>30</v>
      </c>
      <c r="O76" s="26" t="n">
        <f>16023395461</f>
        <v>1.6023395461E10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 t="s">
        <v>30</v>
      </c>
      <c r="T76" s="25" t="n">
        <f>12009</f>
        <v>12009.0</v>
      </c>
      <c r="U76" s="23"/>
      <c r="V76" s="25" t="n">
        <f>689</f>
        <v>689.0</v>
      </c>
      <c r="W76" s="23"/>
      <c r="X76" s="26" t="n">
        <f>12698</f>
        <v>12698.0</v>
      </c>
      <c r="Y76" s="24"/>
      <c r="Z76" s="25" t="n">
        <f>142852</f>
        <v>142852.0</v>
      </c>
      <c r="AA76" s="23"/>
      <c r="AB76" s="25" t="n">
        <f>101004</f>
        <v>101004.0</v>
      </c>
      <c r="AC76" s="23"/>
      <c r="AD76" s="26" t="n">
        <f>243856</f>
        <v>243856.0</v>
      </c>
    </row>
    <row r="77">
      <c r="A77" s="30" t="s">
        <v>34</v>
      </c>
      <c r="B77" s="22" t="s">
        <v>63</v>
      </c>
      <c r="C77" s="22" t="s">
        <v>64</v>
      </c>
      <c r="D77" s="24"/>
      <c r="E77" s="25" t="n">
        <f>2039</f>
        <v>2039.0</v>
      </c>
      <c r="F77" s="23"/>
      <c r="G77" s="25" t="n">
        <f>1731</f>
        <v>1731.0</v>
      </c>
      <c r="H77" s="23"/>
      <c r="I77" s="26" t="n">
        <f>3770</f>
        <v>3770.0</v>
      </c>
      <c r="J77" s="24"/>
      <c r="K77" s="25" t="n">
        <f>2176207141</f>
        <v>2.176207141E9</v>
      </c>
      <c r="L77" s="23"/>
      <c r="M77" s="25" t="n">
        <f>478095041</f>
        <v>4.78095041E8</v>
      </c>
      <c r="N77" s="23"/>
      <c r="O77" s="26" t="n">
        <f>2654302182</f>
        <v>2.654302182E9</v>
      </c>
      <c r="P77" s="27" t="str">
        <f>"－"</f>
        <v>－</v>
      </c>
      <c r="Q77" s="28" t="str">
        <f>"－"</f>
        <v>－</v>
      </c>
      <c r="R77" s="29" t="str">
        <f>"－"</f>
        <v>－</v>
      </c>
      <c r="S77" s="24"/>
      <c r="T77" s="25" t="n">
        <f>1468</f>
        <v>1468.0</v>
      </c>
      <c r="U77" s="23"/>
      <c r="V77" s="25" t="n">
        <f>552</f>
        <v>552.0</v>
      </c>
      <c r="W77" s="23"/>
      <c r="X77" s="26" t="n">
        <f>2020</f>
        <v>2020.0</v>
      </c>
      <c r="Y77" s="24"/>
      <c r="Z77" s="25" t="n">
        <f>140347</f>
        <v>140347.0</v>
      </c>
      <c r="AA77" s="23"/>
      <c r="AB77" s="25" t="n">
        <f>102097</f>
        <v>102097.0</v>
      </c>
      <c r="AC77" s="23"/>
      <c r="AD77" s="26" t="n">
        <f>242444</f>
        <v>242444.0</v>
      </c>
    </row>
    <row r="78">
      <c r="A78" s="30" t="s">
        <v>35</v>
      </c>
      <c r="B78" s="22" t="s">
        <v>63</v>
      </c>
      <c r="C78" s="22" t="s">
        <v>64</v>
      </c>
      <c r="D78" s="24" t="s">
        <v>30</v>
      </c>
      <c r="E78" s="25" t="n">
        <f>16333</f>
        <v>16333.0</v>
      </c>
      <c r="F78" s="23"/>
      <c r="G78" s="25" t="n">
        <f>8075</f>
        <v>8075.0</v>
      </c>
      <c r="H78" s="23"/>
      <c r="I78" s="26" t="n">
        <f>24408</f>
        <v>24408.0</v>
      </c>
      <c r="J78" s="24"/>
      <c r="K78" s="25" t="n">
        <f>13574960610</f>
        <v>1.357496061E10</v>
      </c>
      <c r="L78" s="23"/>
      <c r="M78" s="25" t="n">
        <f>976992142</f>
        <v>9.76992142E8</v>
      </c>
      <c r="N78" s="23"/>
      <c r="O78" s="26" t="n">
        <f>14551952752</f>
        <v>1.4551952752E10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n">
        <f>4133</f>
        <v>4133.0</v>
      </c>
      <c r="U78" s="23"/>
      <c r="V78" s="25" t="n">
        <f>1000</f>
        <v>1000.0</v>
      </c>
      <c r="W78" s="23"/>
      <c r="X78" s="26" t="n">
        <f>5133</f>
        <v>5133.0</v>
      </c>
      <c r="Y78" s="24"/>
      <c r="Z78" s="25" t="n">
        <f>153221</f>
        <v>153221.0</v>
      </c>
      <c r="AA78" s="23"/>
      <c r="AB78" s="25" t="n">
        <f>108567</f>
        <v>108567.0</v>
      </c>
      <c r="AC78" s="23"/>
      <c r="AD78" s="26" t="n">
        <f>261788</f>
        <v>261788.0</v>
      </c>
    </row>
    <row r="79">
      <c r="A79" s="30" t="s">
        <v>36</v>
      </c>
      <c r="B79" s="22" t="s">
        <v>63</v>
      </c>
      <c r="C79" s="22" t="s">
        <v>64</v>
      </c>
      <c r="D79" s="24"/>
      <c r="E79" s="25" t="n">
        <f>15986</f>
        <v>15986.0</v>
      </c>
      <c r="F79" s="23" t="s">
        <v>30</v>
      </c>
      <c r="G79" s="25" t="n">
        <f>16137</f>
        <v>16137.0</v>
      </c>
      <c r="H79" s="23" t="s">
        <v>30</v>
      </c>
      <c r="I79" s="26" t="n">
        <f>32123</f>
        <v>32123.0</v>
      </c>
      <c r="J79" s="24"/>
      <c r="K79" s="25" t="n">
        <f>4056583000</f>
        <v>4.056583E9</v>
      </c>
      <c r="L79" s="23" t="s">
        <v>30</v>
      </c>
      <c r="M79" s="25" t="n">
        <f>4043109400</f>
        <v>4.0431094E9</v>
      </c>
      <c r="N79" s="23"/>
      <c r="O79" s="26" t="n">
        <f>8099692400</f>
        <v>8.0996924E9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n">
        <f>11853</f>
        <v>11853.0</v>
      </c>
      <c r="U79" s="23" t="s">
        <v>30</v>
      </c>
      <c r="V79" s="25" t="n">
        <f>11853</f>
        <v>11853.0</v>
      </c>
      <c r="W79" s="23" t="s">
        <v>30</v>
      </c>
      <c r="X79" s="26" t="n">
        <f>23706</f>
        <v>23706.0</v>
      </c>
      <c r="Y79" s="24" t="s">
        <v>30</v>
      </c>
      <c r="Z79" s="25" t="n">
        <f>164760</f>
        <v>164760.0</v>
      </c>
      <c r="AA79" s="23" t="s">
        <v>30</v>
      </c>
      <c r="AB79" s="25" t="n">
        <f>123623</f>
        <v>123623.0</v>
      </c>
      <c r="AC79" s="23" t="s">
        <v>30</v>
      </c>
      <c r="AD79" s="26" t="n">
        <f>288383</f>
        <v>288383.0</v>
      </c>
    </row>
    <row r="80">
      <c r="A80" s="30" t="s">
        <v>37</v>
      </c>
      <c r="B80" s="22" t="s">
        <v>63</v>
      </c>
      <c r="C80" s="22" t="s">
        <v>64</v>
      </c>
      <c r="D80" s="24"/>
      <c r="E80" s="25" t="n">
        <f>1044</f>
        <v>1044.0</v>
      </c>
      <c r="F80" s="23"/>
      <c r="G80" s="25" t="n">
        <f>774</f>
        <v>774.0</v>
      </c>
      <c r="H80" s="23"/>
      <c r="I80" s="26" t="n">
        <f>1818</f>
        <v>1818.0</v>
      </c>
      <c r="J80" s="24"/>
      <c r="K80" s="25" t="n">
        <f>1273612500</f>
        <v>1.2736125E9</v>
      </c>
      <c r="L80" s="23"/>
      <c r="M80" s="25" t="n">
        <f>1148170500</f>
        <v>1.1481705E9</v>
      </c>
      <c r="N80" s="23"/>
      <c r="O80" s="26" t="n">
        <f>2421783000</f>
        <v>2.421783E9</v>
      </c>
      <c r="P80" s="27" t="n">
        <f>20074</f>
        <v>20074.0</v>
      </c>
      <c r="Q80" s="28" t="n">
        <f>22619</f>
        <v>22619.0</v>
      </c>
      <c r="R80" s="29" t="n">
        <f>42693</f>
        <v>42693.0</v>
      </c>
      <c r="S80" s="24"/>
      <c r="T80" s="25" t="n">
        <f>422</f>
        <v>422.0</v>
      </c>
      <c r="U80" s="23"/>
      <c r="V80" s="25" t="n">
        <f>212</f>
        <v>212.0</v>
      </c>
      <c r="W80" s="23"/>
      <c r="X80" s="26" t="n">
        <f>634</f>
        <v>634.0</v>
      </c>
      <c r="Y80" s="24" t="s">
        <v>38</v>
      </c>
      <c r="Z80" s="25" t="n">
        <f>117659</f>
        <v>117659.0</v>
      </c>
      <c r="AA80" s="23" t="s">
        <v>38</v>
      </c>
      <c r="AB80" s="25" t="n">
        <f>81824</f>
        <v>81824.0</v>
      </c>
      <c r="AC80" s="23" t="s">
        <v>38</v>
      </c>
      <c r="AD80" s="26" t="n">
        <f>199483</f>
        <v>199483.0</v>
      </c>
    </row>
    <row r="81">
      <c r="A81" s="30" t="s">
        <v>39</v>
      </c>
      <c r="B81" s="22" t="s">
        <v>63</v>
      </c>
      <c r="C81" s="22" t="s">
        <v>64</v>
      </c>
      <c r="D81" s="24"/>
      <c r="E81" s="25"/>
      <c r="F81" s="23"/>
      <c r="G81" s="25"/>
      <c r="H81" s="23"/>
      <c r="I81" s="26"/>
      <c r="J81" s="24"/>
      <c r="K81" s="25"/>
      <c r="L81" s="23"/>
      <c r="M81" s="25"/>
      <c r="N81" s="23"/>
      <c r="O81" s="26"/>
      <c r="P81" s="27"/>
      <c r="Q81" s="28"/>
      <c r="R81" s="29"/>
      <c r="S81" s="24"/>
      <c r="T81" s="25"/>
      <c r="U81" s="23"/>
      <c r="V81" s="25"/>
      <c r="W81" s="23"/>
      <c r="X81" s="26"/>
      <c r="Y81" s="24"/>
      <c r="Z81" s="25"/>
      <c r="AA81" s="23"/>
      <c r="AB81" s="25"/>
      <c r="AC81" s="23"/>
      <c r="AD81" s="26"/>
    </row>
    <row r="82">
      <c r="A82" s="30" t="s">
        <v>40</v>
      </c>
      <c r="B82" s="22" t="s">
        <v>63</v>
      </c>
      <c r="C82" s="22" t="s">
        <v>64</v>
      </c>
      <c r="D82" s="24"/>
      <c r="E82" s="25"/>
      <c r="F82" s="23"/>
      <c r="G82" s="25"/>
      <c r="H82" s="23"/>
      <c r="I82" s="26"/>
      <c r="J82" s="24"/>
      <c r="K82" s="25"/>
      <c r="L82" s="23"/>
      <c r="M82" s="25"/>
      <c r="N82" s="23"/>
      <c r="O82" s="26"/>
      <c r="P82" s="27"/>
      <c r="Q82" s="28"/>
      <c r="R82" s="29"/>
      <c r="S82" s="24"/>
      <c r="T82" s="25"/>
      <c r="U82" s="23"/>
      <c r="V82" s="25"/>
      <c r="W82" s="23"/>
      <c r="X82" s="26"/>
      <c r="Y82" s="24"/>
      <c r="Z82" s="25"/>
      <c r="AA82" s="23"/>
      <c r="AB82" s="25"/>
      <c r="AC82" s="23"/>
      <c r="AD82" s="26"/>
    </row>
    <row r="83">
      <c r="A83" s="30" t="s">
        <v>41</v>
      </c>
      <c r="B83" s="22" t="s">
        <v>63</v>
      </c>
      <c r="C83" s="22" t="s">
        <v>64</v>
      </c>
      <c r="D83" s="24"/>
      <c r="E83" s="25"/>
      <c r="F83" s="23"/>
      <c r="G83" s="25"/>
      <c r="H83" s="23"/>
      <c r="I83" s="26"/>
      <c r="J83" s="24"/>
      <c r="K83" s="25"/>
      <c r="L83" s="23"/>
      <c r="M83" s="25"/>
      <c r="N83" s="23"/>
      <c r="O83" s="26"/>
      <c r="P83" s="27"/>
      <c r="Q83" s="28"/>
      <c r="R83" s="29"/>
      <c r="S83" s="24"/>
      <c r="T83" s="25"/>
      <c r="U83" s="23"/>
      <c r="V83" s="25"/>
      <c r="W83" s="23"/>
      <c r="X83" s="26"/>
      <c r="Y83" s="24"/>
      <c r="Z83" s="25"/>
      <c r="AA83" s="23"/>
      <c r="AB83" s="25"/>
      <c r="AC83" s="23"/>
      <c r="AD83" s="26"/>
    </row>
    <row r="84">
      <c r="A84" s="30" t="s">
        <v>42</v>
      </c>
      <c r="B84" s="22" t="s">
        <v>63</v>
      </c>
      <c r="C84" s="22" t="s">
        <v>64</v>
      </c>
      <c r="D84" s="24"/>
      <c r="E84" s="25" t="n">
        <f>5948</f>
        <v>5948.0</v>
      </c>
      <c r="F84" s="23"/>
      <c r="G84" s="25" t="n">
        <f>1860</f>
        <v>1860.0</v>
      </c>
      <c r="H84" s="23"/>
      <c r="I84" s="26" t="n">
        <f>7808</f>
        <v>7808.0</v>
      </c>
      <c r="J84" s="24"/>
      <c r="K84" s="25" t="n">
        <f>4206389325</f>
        <v>4.206389325E9</v>
      </c>
      <c r="L84" s="23"/>
      <c r="M84" s="25" t="n">
        <f>786227000</f>
        <v>7.86227E8</v>
      </c>
      <c r="N84" s="23"/>
      <c r="O84" s="26" t="n">
        <f>4992616325</f>
        <v>4.992616325E9</v>
      </c>
      <c r="P84" s="27" t="str">
        <f>"－"</f>
        <v>－</v>
      </c>
      <c r="Q84" s="28" t="str">
        <f>"－"</f>
        <v>－</v>
      </c>
      <c r="R84" s="29" t="str">
        <f>"－"</f>
        <v>－</v>
      </c>
      <c r="S84" s="24"/>
      <c r="T84" s="25" t="n">
        <f>1160</f>
        <v>1160.0</v>
      </c>
      <c r="U84" s="23"/>
      <c r="V84" s="25" t="n">
        <f>1160</f>
        <v>1160.0</v>
      </c>
      <c r="W84" s="23"/>
      <c r="X84" s="26" t="n">
        <f>2320</f>
        <v>2320.0</v>
      </c>
      <c r="Y84" s="24"/>
      <c r="Z84" s="25" t="n">
        <f>121067</f>
        <v>121067.0</v>
      </c>
      <c r="AA84" s="23"/>
      <c r="AB84" s="25" t="n">
        <f>83579</f>
        <v>83579.0</v>
      </c>
      <c r="AC84" s="23"/>
      <c r="AD84" s="26" t="n">
        <f>204646</f>
        <v>204646.0</v>
      </c>
    </row>
    <row r="85">
      <c r="A85" s="30" t="s">
        <v>43</v>
      </c>
      <c r="B85" s="22" t="s">
        <v>63</v>
      </c>
      <c r="C85" s="22" t="s">
        <v>64</v>
      </c>
      <c r="D85" s="24"/>
      <c r="E85" s="25" t="n">
        <f>1436</f>
        <v>1436.0</v>
      </c>
      <c r="F85" s="23"/>
      <c r="G85" s="25" t="n">
        <f>1837</f>
        <v>1837.0</v>
      </c>
      <c r="H85" s="23"/>
      <c r="I85" s="26" t="n">
        <f>3273</f>
        <v>3273.0</v>
      </c>
      <c r="J85" s="24"/>
      <c r="K85" s="25" t="n">
        <f>1926698000</f>
        <v>1.926698E9</v>
      </c>
      <c r="L85" s="23"/>
      <c r="M85" s="25" t="n">
        <f>2179942500</f>
        <v>2.1799425E9</v>
      </c>
      <c r="N85" s="23"/>
      <c r="O85" s="26" t="n">
        <f>4106640500</f>
        <v>4.1066405E9</v>
      </c>
      <c r="P85" s="27" t="str">
        <f>"－"</f>
        <v>－</v>
      </c>
      <c r="Q85" s="28" t="str">
        <f>"－"</f>
        <v>－</v>
      </c>
      <c r="R85" s="29" t="str">
        <f>"－"</f>
        <v>－</v>
      </c>
      <c r="S85" s="24"/>
      <c r="T85" s="25" t="n">
        <f>835</f>
        <v>835.0</v>
      </c>
      <c r="U85" s="23"/>
      <c r="V85" s="25" t="n">
        <f>835</f>
        <v>835.0</v>
      </c>
      <c r="W85" s="23"/>
      <c r="X85" s="26" t="n">
        <f>1670</f>
        <v>1670.0</v>
      </c>
      <c r="Y85" s="24"/>
      <c r="Z85" s="25" t="n">
        <f>122503</f>
        <v>122503.0</v>
      </c>
      <c r="AA85" s="23"/>
      <c r="AB85" s="25" t="n">
        <f>85416</f>
        <v>85416.0</v>
      </c>
      <c r="AC85" s="23"/>
      <c r="AD85" s="26" t="n">
        <f>207919</f>
        <v>207919.0</v>
      </c>
    </row>
    <row r="86">
      <c r="A86" s="30" t="s">
        <v>44</v>
      </c>
      <c r="B86" s="22" t="s">
        <v>63</v>
      </c>
      <c r="C86" s="22" t="s">
        <v>64</v>
      </c>
      <c r="D86" s="24"/>
      <c r="E86" s="25" t="n">
        <f>550</f>
        <v>550.0</v>
      </c>
      <c r="F86" s="23"/>
      <c r="G86" s="25" t="n">
        <f>750</f>
        <v>750.0</v>
      </c>
      <c r="H86" s="23"/>
      <c r="I86" s="26" t="n">
        <f>1300</f>
        <v>1300.0</v>
      </c>
      <c r="J86" s="24"/>
      <c r="K86" s="25" t="n">
        <f>410000000</f>
        <v>4.1E8</v>
      </c>
      <c r="L86" s="23"/>
      <c r="M86" s="25" t="n">
        <f>594500000</f>
        <v>5.945E8</v>
      </c>
      <c r="N86" s="23"/>
      <c r="O86" s="26" t="n">
        <f>1004500000</f>
        <v>1.0045E9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str">
        <f>"－"</f>
        <v>－</v>
      </c>
      <c r="U86" s="23"/>
      <c r="V86" s="25" t="str">
        <f>"－"</f>
        <v>－</v>
      </c>
      <c r="W86" s="23"/>
      <c r="X86" s="26" t="str">
        <f>"－"</f>
        <v>－</v>
      </c>
      <c r="Y86" s="24"/>
      <c r="Z86" s="25" t="n">
        <f>122663</f>
        <v>122663.0</v>
      </c>
      <c r="AA86" s="23"/>
      <c r="AB86" s="25" t="n">
        <f>85731</f>
        <v>85731.0</v>
      </c>
      <c r="AC86" s="23"/>
      <c r="AD86" s="26" t="n">
        <f>208394</f>
        <v>208394.0</v>
      </c>
    </row>
    <row r="87">
      <c r="A87" s="30" t="s">
        <v>45</v>
      </c>
      <c r="B87" s="22" t="s">
        <v>63</v>
      </c>
      <c r="C87" s="22" t="s">
        <v>64</v>
      </c>
      <c r="D87" s="24"/>
      <c r="E87" s="25" t="n">
        <f>2450</f>
        <v>2450.0</v>
      </c>
      <c r="F87" s="23"/>
      <c r="G87" s="25" t="n">
        <f>1352</f>
        <v>1352.0</v>
      </c>
      <c r="H87" s="23"/>
      <c r="I87" s="26" t="n">
        <f>3802</f>
        <v>3802.0</v>
      </c>
      <c r="J87" s="24"/>
      <c r="K87" s="25" t="n">
        <f>1258738000</f>
        <v>1.258738E9</v>
      </c>
      <c r="L87" s="23"/>
      <c r="M87" s="25" t="n">
        <f>799980000</f>
        <v>7.9998E8</v>
      </c>
      <c r="N87" s="23"/>
      <c r="O87" s="26" t="n">
        <f>2058718000</f>
        <v>2.058718E9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150</f>
        <v>150.0</v>
      </c>
      <c r="U87" s="23"/>
      <c r="V87" s="25" t="n">
        <f>150</f>
        <v>150.0</v>
      </c>
      <c r="W87" s="23"/>
      <c r="X87" s="26" t="n">
        <f>300</f>
        <v>300.0</v>
      </c>
      <c r="Y87" s="24"/>
      <c r="Z87" s="25" t="n">
        <f>124123</f>
        <v>124123.0</v>
      </c>
      <c r="AA87" s="23"/>
      <c r="AB87" s="25" t="n">
        <f>85859</f>
        <v>85859.0</v>
      </c>
      <c r="AC87" s="23"/>
      <c r="AD87" s="26" t="n">
        <f>209982</f>
        <v>209982.0</v>
      </c>
    </row>
    <row r="88">
      <c r="A88" s="30" t="s">
        <v>46</v>
      </c>
      <c r="B88" s="22" t="s">
        <v>63</v>
      </c>
      <c r="C88" s="22" t="s">
        <v>64</v>
      </c>
      <c r="D88" s="24"/>
      <c r="E88" s="25"/>
      <c r="F88" s="23"/>
      <c r="G88" s="25"/>
      <c r="H88" s="23"/>
      <c r="I88" s="26"/>
      <c r="J88" s="24"/>
      <c r="K88" s="25"/>
      <c r="L88" s="23"/>
      <c r="M88" s="25"/>
      <c r="N88" s="23"/>
      <c r="O88" s="26"/>
      <c r="P88" s="27"/>
      <c r="Q88" s="28"/>
      <c r="R88" s="29"/>
      <c r="S88" s="24"/>
      <c r="T88" s="25"/>
      <c r="U88" s="23"/>
      <c r="V88" s="25"/>
      <c r="W88" s="23"/>
      <c r="X88" s="26"/>
      <c r="Y88" s="24"/>
      <c r="Z88" s="25"/>
      <c r="AA88" s="23"/>
      <c r="AB88" s="25"/>
      <c r="AC88" s="23"/>
      <c r="AD88" s="26"/>
    </row>
    <row r="89">
      <c r="A89" s="30" t="s">
        <v>47</v>
      </c>
      <c r="B89" s="22" t="s">
        <v>63</v>
      </c>
      <c r="C89" s="22" t="s">
        <v>64</v>
      </c>
      <c r="D89" s="24"/>
      <c r="E89" s="25"/>
      <c r="F89" s="23"/>
      <c r="G89" s="25"/>
      <c r="H89" s="23"/>
      <c r="I89" s="26"/>
      <c r="J89" s="24"/>
      <c r="K89" s="25"/>
      <c r="L89" s="23"/>
      <c r="M89" s="25"/>
      <c r="N89" s="23"/>
      <c r="O89" s="26"/>
      <c r="P89" s="27"/>
      <c r="Q89" s="28"/>
      <c r="R89" s="29"/>
      <c r="S89" s="24"/>
      <c r="T89" s="25"/>
      <c r="U89" s="23"/>
      <c r="V89" s="25"/>
      <c r="W89" s="23"/>
      <c r="X89" s="26"/>
      <c r="Y89" s="24"/>
      <c r="Z89" s="25"/>
      <c r="AA89" s="23"/>
      <c r="AB89" s="25"/>
      <c r="AC89" s="23"/>
      <c r="AD89" s="26"/>
    </row>
    <row r="90">
      <c r="A90" s="30" t="s">
        <v>48</v>
      </c>
      <c r="B90" s="22" t="s">
        <v>63</v>
      </c>
      <c r="C90" s="22" t="s">
        <v>64</v>
      </c>
      <c r="D90" s="24"/>
      <c r="E90" s="25" t="n">
        <f>7529</f>
        <v>7529.0</v>
      </c>
      <c r="F90" s="23"/>
      <c r="G90" s="25" t="n">
        <f>3800</f>
        <v>3800.0</v>
      </c>
      <c r="H90" s="23"/>
      <c r="I90" s="26" t="n">
        <f>11329</f>
        <v>11329.0</v>
      </c>
      <c r="J90" s="24"/>
      <c r="K90" s="25" t="n">
        <f>3029975100</f>
        <v>3.0299751E9</v>
      </c>
      <c r="L90" s="23"/>
      <c r="M90" s="25" t="n">
        <f>1771765560</f>
        <v>1.77176556E9</v>
      </c>
      <c r="N90" s="23"/>
      <c r="O90" s="26" t="n">
        <f>4801740660</f>
        <v>4.80174066E9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/>
      <c r="T90" s="25" t="n">
        <f>7529</f>
        <v>7529.0</v>
      </c>
      <c r="U90" s="23"/>
      <c r="V90" s="25" t="n">
        <f>3520</f>
        <v>3520.0</v>
      </c>
      <c r="W90" s="23"/>
      <c r="X90" s="26" t="n">
        <f>11049</f>
        <v>11049.0</v>
      </c>
      <c r="Y90" s="24"/>
      <c r="Z90" s="25" t="n">
        <f>127287</f>
        <v>127287.0</v>
      </c>
      <c r="AA90" s="23"/>
      <c r="AB90" s="25" t="n">
        <f>87604</f>
        <v>87604.0</v>
      </c>
      <c r="AC90" s="23"/>
      <c r="AD90" s="26" t="n">
        <f>214891</f>
        <v>214891.0</v>
      </c>
    </row>
    <row r="91">
      <c r="A91" s="30" t="s">
        <v>49</v>
      </c>
      <c r="B91" s="22" t="s">
        <v>63</v>
      </c>
      <c r="C91" s="22" t="s">
        <v>64</v>
      </c>
      <c r="D91" s="24"/>
      <c r="E91" s="25" t="n">
        <f>440</f>
        <v>440.0</v>
      </c>
      <c r="F91" s="23"/>
      <c r="G91" s="25" t="n">
        <f>720</f>
        <v>720.0</v>
      </c>
      <c r="H91" s="23"/>
      <c r="I91" s="26" t="n">
        <f>1160</f>
        <v>1160.0</v>
      </c>
      <c r="J91" s="24" t="s">
        <v>38</v>
      </c>
      <c r="K91" s="25" t="n">
        <f>81400000</f>
        <v>8.14E7</v>
      </c>
      <c r="L91" s="23"/>
      <c r="M91" s="25" t="n">
        <f>110950000</f>
        <v>1.1095E8</v>
      </c>
      <c r="N91" s="23" t="s">
        <v>38</v>
      </c>
      <c r="O91" s="26" t="n">
        <f>192350000</f>
        <v>1.9235E8</v>
      </c>
      <c r="P91" s="27" t="str">
        <f>"－"</f>
        <v>－</v>
      </c>
      <c r="Q91" s="28" t="str">
        <f>"－"</f>
        <v>－</v>
      </c>
      <c r="R91" s="29" t="str">
        <f>"－"</f>
        <v>－</v>
      </c>
      <c r="S91" s="24"/>
      <c r="T91" s="25" t="str">
        <f>"－"</f>
        <v>－</v>
      </c>
      <c r="U91" s="23"/>
      <c r="V91" s="25" t="str">
        <f>"－"</f>
        <v>－</v>
      </c>
      <c r="W91" s="23"/>
      <c r="X91" s="26" t="str">
        <f>"－"</f>
        <v>－</v>
      </c>
      <c r="Y91" s="24"/>
      <c r="Z91" s="25" t="n">
        <f>127587</f>
        <v>127587.0</v>
      </c>
      <c r="AA91" s="23"/>
      <c r="AB91" s="25" t="n">
        <f>87874</f>
        <v>87874.0</v>
      </c>
      <c r="AC91" s="23"/>
      <c r="AD91" s="26" t="n">
        <f>215461</f>
        <v>215461.0</v>
      </c>
    </row>
    <row r="92">
      <c r="A92" s="30" t="s">
        <v>50</v>
      </c>
      <c r="B92" s="22" t="s">
        <v>63</v>
      </c>
      <c r="C92" s="22" t="s">
        <v>64</v>
      </c>
      <c r="D92" s="24"/>
      <c r="E92" s="25" t="n">
        <f>821</f>
        <v>821.0</v>
      </c>
      <c r="F92" s="23"/>
      <c r="G92" s="25" t="n">
        <f>621</f>
        <v>621.0</v>
      </c>
      <c r="H92" s="23"/>
      <c r="I92" s="26" t="n">
        <f>1442</f>
        <v>1442.0</v>
      </c>
      <c r="J92" s="24"/>
      <c r="K92" s="25" t="n">
        <f>354027887</f>
        <v>3.54027887E8</v>
      </c>
      <c r="L92" s="23"/>
      <c r="M92" s="25" t="n">
        <f>135841500</f>
        <v>1.358415E8</v>
      </c>
      <c r="N92" s="23"/>
      <c r="O92" s="26" t="n">
        <f>489869387</f>
        <v>4.89869387E8</v>
      </c>
      <c r="P92" s="27" t="str">
        <f>"－"</f>
        <v>－</v>
      </c>
      <c r="Q92" s="28" t="str">
        <f>"－"</f>
        <v>－</v>
      </c>
      <c r="R92" s="29" t="str">
        <f>"－"</f>
        <v>－</v>
      </c>
      <c r="S92" s="24"/>
      <c r="T92" s="25" t="n">
        <f>621</f>
        <v>621.0</v>
      </c>
      <c r="U92" s="23"/>
      <c r="V92" s="25" t="n">
        <f>621</f>
        <v>621.0</v>
      </c>
      <c r="W92" s="23"/>
      <c r="X92" s="26" t="n">
        <f>1242</f>
        <v>1242.0</v>
      </c>
      <c r="Y92" s="24"/>
      <c r="Z92" s="25" t="n">
        <f>128333</f>
        <v>128333.0</v>
      </c>
      <c r="AA92" s="23"/>
      <c r="AB92" s="25" t="n">
        <f>88345</f>
        <v>88345.0</v>
      </c>
      <c r="AC92" s="23"/>
      <c r="AD92" s="26" t="n">
        <f>216678</f>
        <v>216678.0</v>
      </c>
    </row>
    <row r="93">
      <c r="A93" s="30" t="s">
        <v>51</v>
      </c>
      <c r="B93" s="22" t="s">
        <v>63</v>
      </c>
      <c r="C93" s="22" t="s">
        <v>64</v>
      </c>
      <c r="D93" s="24"/>
      <c r="E93" s="25" t="n">
        <f>2548</f>
        <v>2548.0</v>
      </c>
      <c r="F93" s="23"/>
      <c r="G93" s="25" t="n">
        <f>1525</f>
        <v>1525.0</v>
      </c>
      <c r="H93" s="23"/>
      <c r="I93" s="26" t="n">
        <f>4073</f>
        <v>4073.0</v>
      </c>
      <c r="J93" s="24"/>
      <c r="K93" s="25" t="n">
        <f>1805964272</f>
        <v>1.805964272E9</v>
      </c>
      <c r="L93" s="23"/>
      <c r="M93" s="25" t="n">
        <f>423850000</f>
        <v>4.2385E8</v>
      </c>
      <c r="N93" s="23"/>
      <c r="O93" s="26" t="n">
        <f>2229814272</f>
        <v>2.229814272E9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248</f>
        <v>248.0</v>
      </c>
      <c r="U93" s="23"/>
      <c r="V93" s="25" t="n">
        <f>575</f>
        <v>575.0</v>
      </c>
      <c r="W93" s="23"/>
      <c r="X93" s="26" t="n">
        <f>823</f>
        <v>823.0</v>
      </c>
      <c r="Y93" s="24"/>
      <c r="Z93" s="25" t="n">
        <f>128831</f>
        <v>128831.0</v>
      </c>
      <c r="AA93" s="23"/>
      <c r="AB93" s="25" t="n">
        <f>88140</f>
        <v>88140.0</v>
      </c>
      <c r="AC93" s="23"/>
      <c r="AD93" s="26" t="n">
        <f>216971</f>
        <v>216971.0</v>
      </c>
    </row>
    <row r="94">
      <c r="A94" s="30" t="s">
        <v>52</v>
      </c>
      <c r="B94" s="22" t="s">
        <v>63</v>
      </c>
      <c r="C94" s="22" t="s">
        <v>64</v>
      </c>
      <c r="D94" s="24"/>
      <c r="E94" s="25" t="n">
        <f>500</f>
        <v>500.0</v>
      </c>
      <c r="F94" s="23"/>
      <c r="G94" s="25" t="n">
        <f>3138</f>
        <v>3138.0</v>
      </c>
      <c r="H94" s="23"/>
      <c r="I94" s="26" t="n">
        <f>3638</f>
        <v>3638.0</v>
      </c>
      <c r="J94" s="24"/>
      <c r="K94" s="25" t="n">
        <f>1476500000</f>
        <v>1.4765E9</v>
      </c>
      <c r="L94" s="23"/>
      <c r="M94" s="25" t="n">
        <f>2813150000</f>
        <v>2.81315E9</v>
      </c>
      <c r="N94" s="23"/>
      <c r="O94" s="26" t="n">
        <f>4289650000</f>
        <v>4.28965E9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str">
        <f>"－"</f>
        <v>－</v>
      </c>
      <c r="W94" s="23"/>
      <c r="X94" s="26" t="str">
        <f>"－"</f>
        <v>－</v>
      </c>
      <c r="Y94" s="24"/>
      <c r="Z94" s="25" t="n">
        <f>128981</f>
        <v>128981.0</v>
      </c>
      <c r="AA94" s="23"/>
      <c r="AB94" s="25" t="n">
        <f>90253</f>
        <v>90253.0</v>
      </c>
      <c r="AC94" s="23"/>
      <c r="AD94" s="26" t="n">
        <f>219234</f>
        <v>219234.0</v>
      </c>
    </row>
    <row r="95">
      <c r="A95" s="30" t="s">
        <v>53</v>
      </c>
      <c r="B95" s="22" t="s">
        <v>63</v>
      </c>
      <c r="C95" s="22" t="s">
        <v>64</v>
      </c>
      <c r="D95" s="24"/>
      <c r="E95" s="25"/>
      <c r="F95" s="23"/>
      <c r="G95" s="25"/>
      <c r="H95" s="23"/>
      <c r="I95" s="26"/>
      <c r="J95" s="24"/>
      <c r="K95" s="25"/>
      <c r="L95" s="23"/>
      <c r="M95" s="25"/>
      <c r="N95" s="23"/>
      <c r="O95" s="26"/>
      <c r="P95" s="27"/>
      <c r="Q95" s="28"/>
      <c r="R95" s="29"/>
      <c r="S95" s="24"/>
      <c r="T95" s="25"/>
      <c r="U95" s="23"/>
      <c r="V95" s="25"/>
      <c r="W95" s="23"/>
      <c r="X95" s="26"/>
      <c r="Y95" s="24"/>
      <c r="Z95" s="25"/>
      <c r="AA95" s="23"/>
      <c r="AB95" s="25"/>
      <c r="AC95" s="23"/>
      <c r="AD95" s="26"/>
    </row>
    <row r="96">
      <c r="A96" s="30" t="s">
        <v>54</v>
      </c>
      <c r="B96" s="22" t="s">
        <v>63</v>
      </c>
      <c r="C96" s="22" t="s">
        <v>64</v>
      </c>
      <c r="D96" s="24"/>
      <c r="E96" s="25"/>
      <c r="F96" s="23"/>
      <c r="G96" s="25"/>
      <c r="H96" s="23"/>
      <c r="I96" s="26"/>
      <c r="J96" s="24"/>
      <c r="K96" s="25"/>
      <c r="L96" s="23"/>
      <c r="M96" s="25"/>
      <c r="N96" s="23"/>
      <c r="O96" s="26"/>
      <c r="P96" s="27"/>
      <c r="Q96" s="28"/>
      <c r="R96" s="29"/>
      <c r="S96" s="24"/>
      <c r="T96" s="25"/>
      <c r="U96" s="23"/>
      <c r="V96" s="25"/>
      <c r="W96" s="23"/>
      <c r="X96" s="26"/>
      <c r="Y96" s="24"/>
      <c r="Z96" s="25"/>
      <c r="AA96" s="23"/>
      <c r="AB96" s="25"/>
      <c r="AC96" s="23"/>
      <c r="AD96" s="26"/>
    </row>
    <row r="97">
      <c r="A97" s="30" t="s">
        <v>55</v>
      </c>
      <c r="B97" s="22" t="s">
        <v>63</v>
      </c>
      <c r="C97" s="22" t="s">
        <v>64</v>
      </c>
      <c r="D97" s="24" t="s">
        <v>38</v>
      </c>
      <c r="E97" s="25" t="n">
        <f>82</f>
        <v>82.0</v>
      </c>
      <c r="F97" s="23"/>
      <c r="G97" s="25" t="n">
        <f>1175</f>
        <v>1175.0</v>
      </c>
      <c r="H97" s="23"/>
      <c r="I97" s="26" t="n">
        <f>1257</f>
        <v>1257.0</v>
      </c>
      <c r="J97" s="24"/>
      <c r="K97" s="25" t="n">
        <f>82171400</f>
        <v>8.21714E7</v>
      </c>
      <c r="L97" s="23"/>
      <c r="M97" s="25" t="n">
        <f>825250000</f>
        <v>8.2525E8</v>
      </c>
      <c r="N97" s="23"/>
      <c r="O97" s="26" t="n">
        <f>907421400</f>
        <v>9.074214E8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n">
        <f>82</f>
        <v>82.0</v>
      </c>
      <c r="U97" s="23"/>
      <c r="V97" s="25" t="n">
        <f>175</f>
        <v>175.0</v>
      </c>
      <c r="W97" s="23"/>
      <c r="X97" s="26" t="n">
        <f>257</f>
        <v>257.0</v>
      </c>
      <c r="Y97" s="24"/>
      <c r="Z97" s="25" t="n">
        <f>129063</f>
        <v>129063.0</v>
      </c>
      <c r="AA97" s="23"/>
      <c r="AB97" s="25" t="n">
        <f>90628</f>
        <v>90628.0</v>
      </c>
      <c r="AC97" s="23"/>
      <c r="AD97" s="26" t="n">
        <f>219691</f>
        <v>219691.0</v>
      </c>
    </row>
    <row r="98">
      <c r="A98" s="30" t="s">
        <v>56</v>
      </c>
      <c r="B98" s="22" t="s">
        <v>63</v>
      </c>
      <c r="C98" s="22" t="s">
        <v>64</v>
      </c>
      <c r="D98" s="24"/>
      <c r="E98" s="25" t="n">
        <f>215</f>
        <v>215.0</v>
      </c>
      <c r="F98" s="23" t="s">
        <v>38</v>
      </c>
      <c r="G98" s="25" t="n">
        <f>225</f>
        <v>225.0</v>
      </c>
      <c r="H98" s="23" t="s">
        <v>38</v>
      </c>
      <c r="I98" s="26" t="n">
        <f>440</f>
        <v>440.0</v>
      </c>
      <c r="J98" s="24"/>
      <c r="K98" s="25" t="n">
        <f>189550000</f>
        <v>1.8955E8</v>
      </c>
      <c r="L98" s="23" t="s">
        <v>38</v>
      </c>
      <c r="M98" s="25" t="n">
        <f>44245000</f>
        <v>4.4245E7</v>
      </c>
      <c r="N98" s="23"/>
      <c r="O98" s="26" t="n">
        <f>233795000</f>
        <v>2.33795E8</v>
      </c>
      <c r="P98" s="27" t="str">
        <f>"－"</f>
        <v>－</v>
      </c>
      <c r="Q98" s="28" t="str">
        <f>"－"</f>
        <v>－</v>
      </c>
      <c r="R98" s="29" t="str">
        <f>"－"</f>
        <v>－</v>
      </c>
      <c r="S98" s="24"/>
      <c r="T98" s="25" t="str">
        <f>"－"</f>
        <v>－</v>
      </c>
      <c r="U98" s="23"/>
      <c r="V98" s="25" t="n">
        <f>100</f>
        <v>100.0</v>
      </c>
      <c r="W98" s="23"/>
      <c r="X98" s="26" t="n">
        <f>100</f>
        <v>100.0</v>
      </c>
      <c r="Y98" s="24"/>
      <c r="Z98" s="25" t="n">
        <f>129203</f>
        <v>129203.0</v>
      </c>
      <c r="AA98" s="23"/>
      <c r="AB98" s="25" t="n">
        <f>90653</f>
        <v>90653.0</v>
      </c>
      <c r="AC98" s="23"/>
      <c r="AD98" s="26" t="n">
        <f>219856</f>
        <v>219856.0</v>
      </c>
    </row>
    <row r="99">
      <c r="A99" s="30" t="s">
        <v>57</v>
      </c>
      <c r="B99" s="22" t="s">
        <v>63</v>
      </c>
      <c r="C99" s="22" t="s">
        <v>64</v>
      </c>
      <c r="D99" s="24"/>
      <c r="E99" s="25" t="n">
        <f>450</f>
        <v>450.0</v>
      </c>
      <c r="F99" s="23"/>
      <c r="G99" s="25" t="n">
        <f>777</f>
        <v>777.0</v>
      </c>
      <c r="H99" s="23"/>
      <c r="I99" s="26" t="n">
        <f>1227</f>
        <v>1227.0</v>
      </c>
      <c r="J99" s="24"/>
      <c r="K99" s="25" t="n">
        <f>159500000</f>
        <v>1.595E8</v>
      </c>
      <c r="L99" s="23"/>
      <c r="M99" s="25" t="n">
        <f>429885000</f>
        <v>4.29885E8</v>
      </c>
      <c r="N99" s="23"/>
      <c r="O99" s="26" t="n">
        <f>589385000</f>
        <v>5.89385E8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str">
        <f>"－"</f>
        <v>－</v>
      </c>
      <c r="U99" s="23"/>
      <c r="V99" s="25" t="str">
        <f>"－"</f>
        <v>－</v>
      </c>
      <c r="W99" s="23"/>
      <c r="X99" s="26" t="str">
        <f>"－"</f>
        <v>－</v>
      </c>
      <c r="Y99" s="24"/>
      <c r="Z99" s="25" t="n">
        <f>129058</f>
        <v>129058.0</v>
      </c>
      <c r="AA99" s="23"/>
      <c r="AB99" s="25" t="n">
        <f>91130</f>
        <v>91130.0</v>
      </c>
      <c r="AC99" s="23"/>
      <c r="AD99" s="26" t="n">
        <f>220188</f>
        <v>220188.0</v>
      </c>
    </row>
    <row r="100">
      <c r="A100" s="30" t="s">
        <v>58</v>
      </c>
      <c r="B100" s="22" t="s">
        <v>63</v>
      </c>
      <c r="C100" s="22" t="s">
        <v>64</v>
      </c>
      <c r="D100" s="24"/>
      <c r="E100" s="25" t="n">
        <f>1430</f>
        <v>1430.0</v>
      </c>
      <c r="F100" s="23"/>
      <c r="G100" s="25" t="n">
        <f>900</f>
        <v>900.0</v>
      </c>
      <c r="H100" s="23"/>
      <c r="I100" s="26" t="n">
        <f>2330</f>
        <v>2330.0</v>
      </c>
      <c r="J100" s="24"/>
      <c r="K100" s="25" t="n">
        <f>150691720</f>
        <v>1.5069172E8</v>
      </c>
      <c r="L100" s="23"/>
      <c r="M100" s="25" t="n">
        <f>93850000</f>
        <v>9.385E7</v>
      </c>
      <c r="N100" s="23"/>
      <c r="O100" s="26" t="n">
        <f>244541720</f>
        <v>2.4454172E8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n">
        <f>1130</f>
        <v>1130.0</v>
      </c>
      <c r="U100" s="23"/>
      <c r="V100" s="25" t="str">
        <f>"－"</f>
        <v>－</v>
      </c>
      <c r="W100" s="23"/>
      <c r="X100" s="26" t="n">
        <f>1130</f>
        <v>1130.0</v>
      </c>
      <c r="Y100" s="24"/>
      <c r="Z100" s="25" t="n">
        <f>129558</f>
        <v>129558.0</v>
      </c>
      <c r="AA100" s="23"/>
      <c r="AB100" s="25" t="n">
        <f>91080</f>
        <v>91080.0</v>
      </c>
      <c r="AC100" s="23"/>
      <c r="AD100" s="26" t="n">
        <f>220638</f>
        <v>220638.0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340</f>
        <v>340.0</v>
      </c>
      <c r="F101" s="23"/>
      <c r="G101" s="25" t="n">
        <f>647</f>
        <v>647.0</v>
      </c>
      <c r="H101" s="23"/>
      <c r="I101" s="26" t="n">
        <f>987</f>
        <v>987.0</v>
      </c>
      <c r="J101" s="24"/>
      <c r="K101" s="25" t="n">
        <f>851200000</f>
        <v>8.512E8</v>
      </c>
      <c r="L101" s="23"/>
      <c r="M101" s="25" t="n">
        <f>1166470652</f>
        <v>1.166470652E9</v>
      </c>
      <c r="N101" s="23"/>
      <c r="O101" s="26" t="n">
        <f>2017670652</f>
        <v>2.017670652E9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n">
        <f>200</f>
        <v>200.0</v>
      </c>
      <c r="W101" s="23"/>
      <c r="X101" s="26" t="n">
        <f>200</f>
        <v>200.0</v>
      </c>
      <c r="Y101" s="24"/>
      <c r="Z101" s="25" t="n">
        <f>128768</f>
        <v>128768.0</v>
      </c>
      <c r="AA101" s="23"/>
      <c r="AB101" s="25" t="n">
        <f>91644</f>
        <v>91644.0</v>
      </c>
      <c r="AC101" s="23"/>
      <c r="AD101" s="26" t="n">
        <f>220412</f>
        <v>220412.0</v>
      </c>
    </row>
    <row r="102">
      <c r="A102" s="30" t="s">
        <v>60</v>
      </c>
      <c r="B102" s="22" t="s">
        <v>63</v>
      </c>
      <c r="C102" s="22" t="s">
        <v>64</v>
      </c>
      <c r="D102" s="24"/>
      <c r="E102" s="25"/>
      <c r="F102" s="23"/>
      <c r="G102" s="25"/>
      <c r="H102" s="23"/>
      <c r="I102" s="26"/>
      <c r="J102" s="24"/>
      <c r="K102" s="25"/>
      <c r="L102" s="23"/>
      <c r="M102" s="25"/>
      <c r="N102" s="23"/>
      <c r="O102" s="26"/>
      <c r="P102" s="27"/>
      <c r="Q102" s="28"/>
      <c r="R102" s="29"/>
      <c r="S102" s="24"/>
      <c r="T102" s="25"/>
      <c r="U102" s="23"/>
      <c r="V102" s="25"/>
      <c r="W102" s="23"/>
      <c r="X102" s="26"/>
      <c r="Y102" s="24"/>
      <c r="Z102" s="25"/>
      <c r="AA102" s="23"/>
      <c r="AB102" s="25"/>
      <c r="AC102" s="23"/>
      <c r="AD102" s="26"/>
    </row>
    <row r="103">
      <c r="A103" s="30" t="s">
        <v>26</v>
      </c>
      <c r="B103" s="22" t="s">
        <v>65</v>
      </c>
      <c r="C103" s="22" t="s">
        <v>66</v>
      </c>
      <c r="D103" s="24" t="s">
        <v>67</v>
      </c>
      <c r="E103" s="25" t="str">
        <f>"－"</f>
        <v>－</v>
      </c>
      <c r="F103" s="23" t="s">
        <v>67</v>
      </c>
      <c r="G103" s="25" t="str">
        <f>"－"</f>
        <v>－</v>
      </c>
      <c r="H103" s="23" t="s">
        <v>67</v>
      </c>
      <c r="I103" s="26" t="str">
        <f>"－"</f>
        <v>－</v>
      </c>
      <c r="J103" s="24" t="s">
        <v>67</v>
      </c>
      <c r="K103" s="25" t="str">
        <f>"－"</f>
        <v>－</v>
      </c>
      <c r="L103" s="23" t="s">
        <v>67</v>
      </c>
      <c r="M103" s="25" t="str">
        <f>"－"</f>
        <v>－</v>
      </c>
      <c r="N103" s="23" t="s">
        <v>67</v>
      </c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 t="s">
        <v>67</v>
      </c>
      <c r="T103" s="25" t="str">
        <f>"－"</f>
        <v>－</v>
      </c>
      <c r="U103" s="23" t="s">
        <v>67</v>
      </c>
      <c r="V103" s="25" t="str">
        <f>"－"</f>
        <v>－</v>
      </c>
      <c r="W103" s="23" t="s">
        <v>67</v>
      </c>
      <c r="X103" s="26" t="str">
        <f>"－"</f>
        <v>－</v>
      </c>
      <c r="Y103" s="24" t="s">
        <v>67</v>
      </c>
      <c r="Z103" s="25" t="str">
        <f>"－"</f>
        <v>－</v>
      </c>
      <c r="AA103" s="23" t="s">
        <v>67</v>
      </c>
      <c r="AB103" s="25" t="str">
        <f>"－"</f>
        <v>－</v>
      </c>
      <c r="AC103" s="23" t="s">
        <v>67</v>
      </c>
      <c r="AD103" s="26" t="str">
        <f>"－"</f>
        <v>－</v>
      </c>
    </row>
    <row r="104">
      <c r="A104" s="30" t="s">
        <v>29</v>
      </c>
      <c r="B104" s="22" t="s">
        <v>65</v>
      </c>
      <c r="C104" s="22" t="s">
        <v>66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31</v>
      </c>
      <c r="B105" s="22" t="s">
        <v>65</v>
      </c>
      <c r="C105" s="22" t="s">
        <v>66</v>
      </c>
      <c r="D105" s="24"/>
      <c r="E105" s="25"/>
      <c r="F105" s="23"/>
      <c r="G105" s="25"/>
      <c r="H105" s="23"/>
      <c r="I105" s="26"/>
      <c r="J105" s="24"/>
      <c r="K105" s="25"/>
      <c r="L105" s="23"/>
      <c r="M105" s="25"/>
      <c r="N105" s="23"/>
      <c r="O105" s="26"/>
      <c r="P105" s="27"/>
      <c r="Q105" s="28"/>
      <c r="R105" s="29"/>
      <c r="S105" s="24"/>
      <c r="T105" s="25"/>
      <c r="U105" s="23"/>
      <c r="V105" s="25"/>
      <c r="W105" s="23"/>
      <c r="X105" s="26"/>
      <c r="Y105" s="24"/>
      <c r="Z105" s="25"/>
      <c r="AA105" s="23"/>
      <c r="AB105" s="25"/>
      <c r="AC105" s="23"/>
      <c r="AD105" s="26"/>
    </row>
    <row r="106">
      <c r="A106" s="30" t="s">
        <v>32</v>
      </c>
      <c r="B106" s="22" t="s">
        <v>65</v>
      </c>
      <c r="C106" s="22" t="s">
        <v>66</v>
      </c>
      <c r="D106" s="24"/>
      <c r="E106" s="25"/>
      <c r="F106" s="23"/>
      <c r="G106" s="25"/>
      <c r="H106" s="23"/>
      <c r="I106" s="26"/>
      <c r="J106" s="24"/>
      <c r="K106" s="25"/>
      <c r="L106" s="23"/>
      <c r="M106" s="25"/>
      <c r="N106" s="23"/>
      <c r="O106" s="26"/>
      <c r="P106" s="27"/>
      <c r="Q106" s="28"/>
      <c r="R106" s="29"/>
      <c r="S106" s="24"/>
      <c r="T106" s="25"/>
      <c r="U106" s="23"/>
      <c r="V106" s="25"/>
      <c r="W106" s="23"/>
      <c r="X106" s="26"/>
      <c r="Y106" s="24"/>
      <c r="Z106" s="25"/>
      <c r="AA106" s="23"/>
      <c r="AB106" s="25"/>
      <c r="AC106" s="23"/>
      <c r="AD106" s="26"/>
    </row>
    <row r="107">
      <c r="A107" s="30" t="s">
        <v>33</v>
      </c>
      <c r="B107" s="22" t="s">
        <v>65</v>
      </c>
      <c r="C107" s="22" t="s">
        <v>66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34</v>
      </c>
      <c r="B108" s="22" t="s">
        <v>65</v>
      </c>
      <c r="C108" s="22" t="s">
        <v>66</v>
      </c>
      <c r="D108" s="24"/>
      <c r="E108" s="25" t="str">
        <f>"－"</f>
        <v>－</v>
      </c>
      <c r="F108" s="23"/>
      <c r="G108" s="25" t="str">
        <f>"－"</f>
        <v>－</v>
      </c>
      <c r="H108" s="23"/>
      <c r="I108" s="26" t="str">
        <f>"－"</f>
        <v>－</v>
      </c>
      <c r="J108" s="24"/>
      <c r="K108" s="25" t="str">
        <f>"－"</f>
        <v>－</v>
      </c>
      <c r="L108" s="23"/>
      <c r="M108" s="25" t="str">
        <f>"－"</f>
        <v>－</v>
      </c>
      <c r="N108" s="23"/>
      <c r="O108" s="26" t="str">
        <f>"－"</f>
        <v>－</v>
      </c>
      <c r="P108" s="27" t="str">
        <f>"－"</f>
        <v>－</v>
      </c>
      <c r="Q108" s="28" t="str">
        <f>"－"</f>
        <v>－</v>
      </c>
      <c r="R108" s="29" t="str">
        <f>"－"</f>
        <v>－</v>
      </c>
      <c r="S108" s="24"/>
      <c r="T108" s="25" t="str">
        <f>"－"</f>
        <v>－</v>
      </c>
      <c r="U108" s="23"/>
      <c r="V108" s="25" t="str">
        <f>"－"</f>
        <v>－</v>
      </c>
      <c r="W108" s="23"/>
      <c r="X108" s="26" t="str">
        <f>"－"</f>
        <v>－</v>
      </c>
      <c r="Y108" s="24"/>
      <c r="Z108" s="25" t="str">
        <f>"－"</f>
        <v>－</v>
      </c>
      <c r="AA108" s="23"/>
      <c r="AB108" s="25" t="str">
        <f>"－"</f>
        <v>－</v>
      </c>
      <c r="AC108" s="23"/>
      <c r="AD108" s="26" t="str">
        <f>"－"</f>
        <v>－</v>
      </c>
    </row>
    <row r="109">
      <c r="A109" s="30" t="s">
        <v>35</v>
      </c>
      <c r="B109" s="22" t="s">
        <v>65</v>
      </c>
      <c r="C109" s="22" t="s">
        <v>66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36</v>
      </c>
      <c r="B110" s="22" t="s">
        <v>65</v>
      </c>
      <c r="C110" s="22" t="s">
        <v>66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37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39</v>
      </c>
      <c r="B112" s="22" t="s">
        <v>65</v>
      </c>
      <c r="C112" s="22" t="s">
        <v>66</v>
      </c>
      <c r="D112" s="24"/>
      <c r="E112" s="25"/>
      <c r="F112" s="23"/>
      <c r="G112" s="25"/>
      <c r="H112" s="23"/>
      <c r="I112" s="26"/>
      <c r="J112" s="24"/>
      <c r="K112" s="25"/>
      <c r="L112" s="23"/>
      <c r="M112" s="25"/>
      <c r="N112" s="23"/>
      <c r="O112" s="26"/>
      <c r="P112" s="27"/>
      <c r="Q112" s="28"/>
      <c r="R112" s="29"/>
      <c r="S112" s="24"/>
      <c r="T112" s="25"/>
      <c r="U112" s="23"/>
      <c r="V112" s="25"/>
      <c r="W112" s="23"/>
      <c r="X112" s="26"/>
      <c r="Y112" s="24"/>
      <c r="Z112" s="25"/>
      <c r="AA112" s="23"/>
      <c r="AB112" s="25"/>
      <c r="AC112" s="23"/>
      <c r="AD112" s="26"/>
    </row>
    <row r="113">
      <c r="A113" s="30" t="s">
        <v>40</v>
      </c>
      <c r="B113" s="22" t="s">
        <v>65</v>
      </c>
      <c r="C113" s="22" t="s">
        <v>66</v>
      </c>
      <c r="D113" s="24"/>
      <c r="E113" s="25"/>
      <c r="F113" s="23"/>
      <c r="G113" s="25"/>
      <c r="H113" s="23"/>
      <c r="I113" s="26"/>
      <c r="J113" s="24"/>
      <c r="K113" s="25"/>
      <c r="L113" s="23"/>
      <c r="M113" s="25"/>
      <c r="N113" s="23"/>
      <c r="O113" s="26"/>
      <c r="P113" s="27"/>
      <c r="Q113" s="28"/>
      <c r="R113" s="29"/>
      <c r="S113" s="24"/>
      <c r="T113" s="25"/>
      <c r="U113" s="23"/>
      <c r="V113" s="25"/>
      <c r="W113" s="23"/>
      <c r="X113" s="26"/>
      <c r="Y113" s="24"/>
      <c r="Z113" s="25"/>
      <c r="AA113" s="23"/>
      <c r="AB113" s="25"/>
      <c r="AC113" s="23"/>
      <c r="AD113" s="26"/>
    </row>
    <row r="114">
      <c r="A114" s="30" t="s">
        <v>41</v>
      </c>
      <c r="B114" s="22" t="s">
        <v>65</v>
      </c>
      <c r="C114" s="22" t="s">
        <v>66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42</v>
      </c>
      <c r="B115" s="22" t="s">
        <v>65</v>
      </c>
      <c r="C115" s="22" t="s">
        <v>66</v>
      </c>
      <c r="D115" s="24"/>
      <c r="E115" s="25" t="str">
        <f>"－"</f>
        <v>－</v>
      </c>
      <c r="F115" s="23"/>
      <c r="G115" s="25" t="str">
        <f>"－"</f>
        <v>－</v>
      </c>
      <c r="H115" s="23"/>
      <c r="I115" s="26" t="str">
        <f>"－"</f>
        <v>－</v>
      </c>
      <c r="J115" s="24"/>
      <c r="K115" s="25" t="str">
        <f>"－"</f>
        <v>－</v>
      </c>
      <c r="L115" s="23"/>
      <c r="M115" s="25" t="str">
        <f>"－"</f>
        <v>－</v>
      </c>
      <c r="N115" s="23"/>
      <c r="O115" s="26" t="str">
        <f>"－"</f>
        <v>－</v>
      </c>
      <c r="P115" s="27" t="str">
        <f>"－"</f>
        <v>－</v>
      </c>
      <c r="Q115" s="28" t="str">
        <f>"－"</f>
        <v>－</v>
      </c>
      <c r="R115" s="29" t="str">
        <f>"－"</f>
        <v>－</v>
      </c>
      <c r="S115" s="24"/>
      <c r="T115" s="25" t="str">
        <f>"－"</f>
        <v>－</v>
      </c>
      <c r="U115" s="23"/>
      <c r="V115" s="25" t="str">
        <f>"－"</f>
        <v>－</v>
      </c>
      <c r="W115" s="23"/>
      <c r="X115" s="26" t="str">
        <f>"－"</f>
        <v>－</v>
      </c>
      <c r="Y115" s="24"/>
      <c r="Z115" s="25" t="str">
        <f>"－"</f>
        <v>－</v>
      </c>
      <c r="AA115" s="23"/>
      <c r="AB115" s="25" t="str">
        <f>"－"</f>
        <v>－</v>
      </c>
      <c r="AC115" s="23"/>
      <c r="AD115" s="26" t="str">
        <f>"－"</f>
        <v>－</v>
      </c>
    </row>
    <row r="116">
      <c r="A116" s="30" t="s">
        <v>43</v>
      </c>
      <c r="B116" s="22" t="s">
        <v>65</v>
      </c>
      <c r="C116" s="22" t="s">
        <v>66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44</v>
      </c>
      <c r="B117" s="22" t="s">
        <v>65</v>
      </c>
      <c r="C117" s="22" t="s">
        <v>66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/>
      <c r="F119" s="23"/>
      <c r="G119" s="25"/>
      <c r="H119" s="23"/>
      <c r="I119" s="26"/>
      <c r="J119" s="24"/>
      <c r="K119" s="25"/>
      <c r="L119" s="23"/>
      <c r="M119" s="25"/>
      <c r="N119" s="23"/>
      <c r="O119" s="26"/>
      <c r="P119" s="27"/>
      <c r="Q119" s="28"/>
      <c r="R119" s="29"/>
      <c r="S119" s="24"/>
      <c r="T119" s="25"/>
      <c r="U119" s="23"/>
      <c r="V119" s="25"/>
      <c r="W119" s="23"/>
      <c r="X119" s="26"/>
      <c r="Y119" s="24"/>
      <c r="Z119" s="25"/>
      <c r="AA119" s="23"/>
      <c r="AB119" s="25"/>
      <c r="AC119" s="23"/>
      <c r="AD119" s="26"/>
    </row>
    <row r="120">
      <c r="A120" s="30" t="s">
        <v>47</v>
      </c>
      <c r="B120" s="22" t="s">
        <v>65</v>
      </c>
      <c r="C120" s="22" t="s">
        <v>66</v>
      </c>
      <c r="D120" s="24"/>
      <c r="E120" s="25"/>
      <c r="F120" s="23"/>
      <c r="G120" s="25"/>
      <c r="H120" s="23"/>
      <c r="I120" s="26"/>
      <c r="J120" s="24"/>
      <c r="K120" s="25"/>
      <c r="L120" s="23"/>
      <c r="M120" s="25"/>
      <c r="N120" s="23"/>
      <c r="O120" s="26"/>
      <c r="P120" s="27"/>
      <c r="Q120" s="28"/>
      <c r="R120" s="29"/>
      <c r="S120" s="24"/>
      <c r="T120" s="25"/>
      <c r="U120" s="23"/>
      <c r="V120" s="25"/>
      <c r="W120" s="23"/>
      <c r="X120" s="26"/>
      <c r="Y120" s="24"/>
      <c r="Z120" s="25"/>
      <c r="AA120" s="23"/>
      <c r="AB120" s="25"/>
      <c r="AC120" s="23"/>
      <c r="AD120" s="26"/>
    </row>
    <row r="121">
      <c r="A121" s="30" t="s">
        <v>48</v>
      </c>
      <c r="B121" s="22" t="s">
        <v>65</v>
      </c>
      <c r="C121" s="22" t="s">
        <v>66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49</v>
      </c>
      <c r="B122" s="22" t="s">
        <v>65</v>
      </c>
      <c r="C122" s="22" t="s">
        <v>66</v>
      </c>
      <c r="D122" s="24"/>
      <c r="E122" s="25" t="str">
        <f>"－"</f>
        <v>－</v>
      </c>
      <c r="F122" s="23"/>
      <c r="G122" s="25" t="str">
        <f>"－"</f>
        <v>－</v>
      </c>
      <c r="H122" s="23"/>
      <c r="I122" s="26" t="str">
        <f>"－"</f>
        <v>－</v>
      </c>
      <c r="J122" s="24"/>
      <c r="K122" s="25" t="str">
        <f>"－"</f>
        <v>－</v>
      </c>
      <c r="L122" s="23"/>
      <c r="M122" s="25" t="str">
        <f>"－"</f>
        <v>－</v>
      </c>
      <c r="N122" s="23"/>
      <c r="O122" s="26" t="str">
        <f>"－"</f>
        <v>－</v>
      </c>
      <c r="P122" s="27" t="str">
        <f>"－"</f>
        <v>－</v>
      </c>
      <c r="Q122" s="28" t="str">
        <f>"－"</f>
        <v>－</v>
      </c>
      <c r="R122" s="29" t="str">
        <f>"－"</f>
        <v>－</v>
      </c>
      <c r="S122" s="24"/>
      <c r="T122" s="25" t="str">
        <f>"－"</f>
        <v>－</v>
      </c>
      <c r="U122" s="23"/>
      <c r="V122" s="25" t="str">
        <f>"－"</f>
        <v>－</v>
      </c>
      <c r="W122" s="23"/>
      <c r="X122" s="26" t="str">
        <f>"－"</f>
        <v>－</v>
      </c>
      <c r="Y122" s="24"/>
      <c r="Z122" s="25" t="str">
        <f>"－"</f>
        <v>－</v>
      </c>
      <c r="AA122" s="23"/>
      <c r="AB122" s="25" t="str">
        <f>"－"</f>
        <v>－</v>
      </c>
      <c r="AC122" s="23"/>
      <c r="AD122" s="26" t="str">
        <f>"－"</f>
        <v>－</v>
      </c>
    </row>
    <row r="123">
      <c r="A123" s="30" t="s">
        <v>50</v>
      </c>
      <c r="B123" s="22" t="s">
        <v>65</v>
      </c>
      <c r="C123" s="22" t="s">
        <v>66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/>
      <c r="F126" s="23"/>
      <c r="G126" s="25"/>
      <c r="H126" s="23"/>
      <c r="I126" s="26"/>
      <c r="J126" s="24"/>
      <c r="K126" s="25"/>
      <c r="L126" s="23"/>
      <c r="M126" s="25"/>
      <c r="N126" s="23"/>
      <c r="O126" s="26"/>
      <c r="P126" s="27"/>
      <c r="Q126" s="28"/>
      <c r="R126" s="29"/>
      <c r="S126" s="24"/>
      <c r="T126" s="25"/>
      <c r="U126" s="23"/>
      <c r="V126" s="25"/>
      <c r="W126" s="23"/>
      <c r="X126" s="26"/>
      <c r="Y126" s="24"/>
      <c r="Z126" s="25"/>
      <c r="AA126" s="23"/>
      <c r="AB126" s="25"/>
      <c r="AC126" s="23"/>
      <c r="AD126" s="26"/>
    </row>
    <row r="127">
      <c r="A127" s="30" t="s">
        <v>54</v>
      </c>
      <c r="B127" s="22" t="s">
        <v>65</v>
      </c>
      <c r="C127" s="22" t="s">
        <v>66</v>
      </c>
      <c r="D127" s="24"/>
      <c r="E127" s="25"/>
      <c r="F127" s="23"/>
      <c r="G127" s="25"/>
      <c r="H127" s="23"/>
      <c r="I127" s="26"/>
      <c r="J127" s="24"/>
      <c r="K127" s="25"/>
      <c r="L127" s="23"/>
      <c r="M127" s="25"/>
      <c r="N127" s="23"/>
      <c r="O127" s="26"/>
      <c r="P127" s="27"/>
      <c r="Q127" s="28"/>
      <c r="R127" s="29"/>
      <c r="S127" s="24"/>
      <c r="T127" s="25"/>
      <c r="U127" s="23"/>
      <c r="V127" s="25"/>
      <c r="W127" s="23"/>
      <c r="X127" s="26"/>
      <c r="Y127" s="24"/>
      <c r="Z127" s="25"/>
      <c r="AA127" s="23"/>
      <c r="AB127" s="25"/>
      <c r="AC127" s="23"/>
      <c r="AD127" s="26"/>
    </row>
    <row r="128">
      <c r="A128" s="30" t="s">
        <v>55</v>
      </c>
      <c r="B128" s="22" t="s">
        <v>65</v>
      </c>
      <c r="C128" s="22" t="s">
        <v>66</v>
      </c>
      <c r="D128" s="24"/>
      <c r="E128" s="25" t="str">
        <f>"－"</f>
        <v>－</v>
      </c>
      <c r="F128" s="23"/>
      <c r="G128" s="25" t="str">
        <f>"－"</f>
        <v>－</v>
      </c>
      <c r="H128" s="23"/>
      <c r="I128" s="26" t="str">
        <f>"－"</f>
        <v>－</v>
      </c>
      <c r="J128" s="24"/>
      <c r="K128" s="25" t="str">
        <f>"－"</f>
        <v>－</v>
      </c>
      <c r="L128" s="23"/>
      <c r="M128" s="25" t="str">
        <f>"－"</f>
        <v>－</v>
      </c>
      <c r="N128" s="23"/>
      <c r="O128" s="26" t="str">
        <f>"－"</f>
        <v>－</v>
      </c>
      <c r="P128" s="27" t="str">
        <f>"－"</f>
        <v>－</v>
      </c>
      <c r="Q128" s="28" t="str">
        <f>"－"</f>
        <v>－</v>
      </c>
      <c r="R128" s="29" t="str">
        <f>"－"</f>
        <v>－</v>
      </c>
      <c r="S128" s="24"/>
      <c r="T128" s="25" t="str">
        <f>"－"</f>
        <v>－</v>
      </c>
      <c r="U128" s="23"/>
      <c r="V128" s="25" t="str">
        <f>"－"</f>
        <v>－</v>
      </c>
      <c r="W128" s="23"/>
      <c r="X128" s="26" t="str">
        <f>"－"</f>
        <v>－</v>
      </c>
      <c r="Y128" s="24"/>
      <c r="Z128" s="25" t="str">
        <f>"－"</f>
        <v>－</v>
      </c>
      <c r="AA128" s="23"/>
      <c r="AB128" s="25" t="str">
        <f>"－"</f>
        <v>－</v>
      </c>
      <c r="AC128" s="23"/>
      <c r="AD128" s="26" t="str">
        <f>"－"</f>
        <v>－</v>
      </c>
    </row>
    <row r="129">
      <c r="A129" s="30" t="s">
        <v>56</v>
      </c>
      <c r="B129" s="22" t="s">
        <v>65</v>
      </c>
      <c r="C129" s="22" t="s">
        <v>66</v>
      </c>
      <c r="D129" s="24"/>
      <c r="E129" s="25" t="str">
        <f>"－"</f>
        <v>－</v>
      </c>
      <c r="F129" s="23"/>
      <c r="G129" s="25" t="str">
        <f>"－"</f>
        <v>－</v>
      </c>
      <c r="H129" s="23"/>
      <c r="I129" s="26" t="str">
        <f>"－"</f>
        <v>－</v>
      </c>
      <c r="J129" s="24"/>
      <c r="K129" s="25" t="str">
        <f>"－"</f>
        <v>－</v>
      </c>
      <c r="L129" s="23"/>
      <c r="M129" s="25" t="str">
        <f>"－"</f>
        <v>－</v>
      </c>
      <c r="N129" s="23"/>
      <c r="O129" s="26" t="str">
        <f>"－"</f>
        <v>－</v>
      </c>
      <c r="P129" s="27" t="str">
        <f>"－"</f>
        <v>－</v>
      </c>
      <c r="Q129" s="28" t="str">
        <f>"－"</f>
        <v>－</v>
      </c>
      <c r="R129" s="29" t="str">
        <f>"－"</f>
        <v>－</v>
      </c>
      <c r="S129" s="24"/>
      <c r="T129" s="25" t="str">
        <f>"－"</f>
        <v>－</v>
      </c>
      <c r="U129" s="23"/>
      <c r="V129" s="25" t="str">
        <f>"－"</f>
        <v>－</v>
      </c>
      <c r="W129" s="23"/>
      <c r="X129" s="26" t="str">
        <f>"－"</f>
        <v>－</v>
      </c>
      <c r="Y129" s="24"/>
      <c r="Z129" s="25" t="str">
        <f>"－"</f>
        <v>－</v>
      </c>
      <c r="AA129" s="23"/>
      <c r="AB129" s="25" t="str">
        <f>"－"</f>
        <v>－</v>
      </c>
      <c r="AC129" s="23"/>
      <c r="AD129" s="26" t="str">
        <f>"－"</f>
        <v>－</v>
      </c>
    </row>
    <row r="130">
      <c r="A130" s="30" t="s">
        <v>57</v>
      </c>
      <c r="B130" s="22" t="s">
        <v>65</v>
      </c>
      <c r="C130" s="22" t="s">
        <v>66</v>
      </c>
      <c r="D130" s="24"/>
      <c r="E130" s="25" t="str">
        <f>"－"</f>
        <v>－</v>
      </c>
      <c r="F130" s="23"/>
      <c r="G130" s="25" t="str">
        <f>"－"</f>
        <v>－</v>
      </c>
      <c r="H130" s="23"/>
      <c r="I130" s="26" t="str">
        <f>"－"</f>
        <v>－</v>
      </c>
      <c r="J130" s="24"/>
      <c r="K130" s="25" t="str">
        <f>"－"</f>
        <v>－</v>
      </c>
      <c r="L130" s="23"/>
      <c r="M130" s="25" t="str">
        <f>"－"</f>
        <v>－</v>
      </c>
      <c r="N130" s="23"/>
      <c r="O130" s="26" t="str">
        <f>"－"</f>
        <v>－</v>
      </c>
      <c r="P130" s="27" t="str">
        <f>"－"</f>
        <v>－</v>
      </c>
      <c r="Q130" s="28" t="str">
        <f>"－"</f>
        <v>－</v>
      </c>
      <c r="R130" s="29" t="str">
        <f>"－"</f>
        <v>－</v>
      </c>
      <c r="S130" s="24"/>
      <c r="T130" s="25" t="str">
        <f>"－"</f>
        <v>－</v>
      </c>
      <c r="U130" s="23"/>
      <c r="V130" s="25" t="str">
        <f>"－"</f>
        <v>－</v>
      </c>
      <c r="W130" s="23"/>
      <c r="X130" s="26" t="str">
        <f>"－"</f>
        <v>－</v>
      </c>
      <c r="Y130" s="24"/>
      <c r="Z130" s="25" t="str">
        <f>"－"</f>
        <v>－</v>
      </c>
      <c r="AA130" s="23"/>
      <c r="AB130" s="25" t="str">
        <f>"－"</f>
        <v>－</v>
      </c>
      <c r="AC130" s="23"/>
      <c r="AD130" s="26" t="str">
        <f>"－"</f>
        <v>－</v>
      </c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31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32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33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34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35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36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37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39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40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31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32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33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34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35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36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37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39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40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