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<sst xmlns="http://schemas.openxmlformats.org/spreadsheetml/2006/main" count="698" uniqueCount="72">
  <si>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</si>
  <si>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</si>
  <si>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</si>
  <si>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</si>
  <si>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</si>
  <si>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</si>
  <si>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</si>
  <si>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</si>
  <si>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</si>
  <si>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</si>
  <si>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</si>
  <si>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</si>
  <si>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</si>
  <si>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</si>
  <si>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</si>
  <si>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</si>
  <si>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</si>
  <si>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</si>
  <si>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</si>
  <si>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</si>
  <si>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</si>
  <si>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</si>
  <si>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</si>
  <si>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</si>
  <si>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</si>
  <si>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</si>
  <si>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10.1</t>
  </si>
  <si>
    <t>日経225オプション</t>
  </si>
  <si>
    <t>Nikkei 225 Options</t>
  </si>
  <si>
    <t>2</t>
  </si>
  <si>
    <t>3</t>
  </si>
  <si>
    <t>4</t>
  </si>
  <si>
    <t>5</t>
  </si>
  <si>
    <t>6</t>
  </si>
  <si>
    <t>7</t>
  </si>
  <si>
    <t>◎</t>
  </si>
  <si>
    <t>8</t>
  </si>
  <si>
    <t>●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</si>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</sst>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31890</f>
        <v>31890.0</v>
      </c>
      <c r="F10" s="23"/>
      <c r="G10" s="25" t="n">
        <f>27264</f>
        <v>27264.0</v>
      </c>
      <c r="H10" s="23"/>
      <c r="I10" s="26" t="n">
        <f>59154</f>
        <v>59154.0</v>
      </c>
      <c r="J10" s="24"/>
      <c r="K10" s="25" t="n">
        <f>17530927580</f>
        <v>1.753092758E10</v>
      </c>
      <c r="L10" s="23"/>
      <c r="M10" s="25" t="n">
        <f>10480417820</f>
        <v>1.048041782E10</v>
      </c>
      <c r="N10" s="23"/>
      <c r="O10" s="26" t="n">
        <f>28011345400</f>
        <v>2.80113454E10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4907</f>
        <v>4907.0</v>
      </c>
      <c r="U10" s="23"/>
      <c r="V10" s="25" t="n">
        <f>7164</f>
        <v>7164.0</v>
      </c>
      <c r="W10" s="23"/>
      <c r="X10" s="26" t="n">
        <f>12071</f>
        <v>12071.0</v>
      </c>
      <c r="Y10" s="24"/>
      <c r="Z10" s="25" t="n">
        <f>648742</f>
        <v>648742.0</v>
      </c>
      <c r="AA10" s="23"/>
      <c r="AB10" s="25" t="n">
        <f>419584</f>
        <v>419584.0</v>
      </c>
      <c r="AC10" s="23"/>
      <c r="AD10" s="26" t="n">
        <f>1068326</f>
        <v>1068326.0</v>
      </c>
    </row>
    <row r="11">
      <c r="A11" s="30" t="s">
        <v>29</v>
      </c>
      <c r="B11" s="22" t="s">
        <v>27</v>
      </c>
      <c r="C11" s="22" t="s">
        <v>28</v>
      </c>
      <c r="D11" s="24"/>
      <c r="E11" s="25" t="n">
        <f>27318</f>
        <v>27318.0</v>
      </c>
      <c r="F11" s="23"/>
      <c r="G11" s="25" t="n">
        <f>22013</f>
        <v>22013.0</v>
      </c>
      <c r="H11" s="23"/>
      <c r="I11" s="26" t="n">
        <f>49331</f>
        <v>49331.0</v>
      </c>
      <c r="J11" s="24"/>
      <c r="K11" s="25" t="n">
        <f>9735165715</f>
        <v>9.735165715E9</v>
      </c>
      <c r="L11" s="23"/>
      <c r="M11" s="25" t="n">
        <f>6428488620</f>
        <v>6.42848862E9</v>
      </c>
      <c r="N11" s="23"/>
      <c r="O11" s="26" t="n">
        <f>16163654335</f>
        <v>1.6163654335E10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4"/>
      <c r="T11" s="25" t="n">
        <f>4536</f>
        <v>4536.0</v>
      </c>
      <c r="U11" s="23"/>
      <c r="V11" s="25" t="n">
        <f>7544</f>
        <v>7544.0</v>
      </c>
      <c r="W11" s="23"/>
      <c r="X11" s="26" t="n">
        <f>12080</f>
        <v>12080.0</v>
      </c>
      <c r="Y11" s="24"/>
      <c r="Z11" s="25" t="n">
        <f>651421</f>
        <v>651421.0</v>
      </c>
      <c r="AA11" s="23"/>
      <c r="AB11" s="25" t="n">
        <f>422166</f>
        <v>422166.0</v>
      </c>
      <c r="AC11" s="23"/>
      <c r="AD11" s="26" t="n">
        <f>1073587</f>
        <v>1073587.0</v>
      </c>
    </row>
    <row r="12">
      <c r="A12" s="30" t="s">
        <v>30</v>
      </c>
      <c r="B12" s="22" t="s">
        <v>27</v>
      </c>
      <c r="C12" s="22" t="s">
        <v>28</v>
      </c>
      <c r="D12" s="24"/>
      <c r="E12" s="25" t="n">
        <f>29155</f>
        <v>29155.0</v>
      </c>
      <c r="F12" s="23"/>
      <c r="G12" s="25" t="n">
        <f>25762</f>
        <v>25762.0</v>
      </c>
      <c r="H12" s="23"/>
      <c r="I12" s="26" t="n">
        <f>54917</f>
        <v>54917.0</v>
      </c>
      <c r="J12" s="24"/>
      <c r="K12" s="25" t="n">
        <f>9467368301</f>
        <v>9.467368301E9</v>
      </c>
      <c r="L12" s="23"/>
      <c r="M12" s="25" t="n">
        <f>8024865630</f>
        <v>8.02486563E9</v>
      </c>
      <c r="N12" s="23"/>
      <c r="O12" s="26" t="n">
        <f>17492233931</f>
        <v>1.7492233931E10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4"/>
      <c r="T12" s="25" t="n">
        <f>4331</f>
        <v>4331.0</v>
      </c>
      <c r="U12" s="23"/>
      <c r="V12" s="25" t="n">
        <f>6831</f>
        <v>6831.0</v>
      </c>
      <c r="W12" s="23"/>
      <c r="X12" s="26" t="n">
        <f>11162</f>
        <v>11162.0</v>
      </c>
      <c r="Y12" s="24"/>
      <c r="Z12" s="25" t="n">
        <f>657140</f>
        <v>657140.0</v>
      </c>
      <c r="AA12" s="23"/>
      <c r="AB12" s="25" t="n">
        <f>420880</f>
        <v>420880.0</v>
      </c>
      <c r="AC12" s="23"/>
      <c r="AD12" s="26" t="n">
        <f>1078020</f>
        <v>1078020.0</v>
      </c>
    </row>
    <row r="13">
      <c r="A13" s="30" t="s">
        <v>31</v>
      </c>
      <c r="B13" s="22" t="s">
        <v>27</v>
      </c>
      <c r="C13" s="22" t="s">
        <v>28</v>
      </c>
      <c r="D13" s="24"/>
      <c r="E13" s="25" t="n">
        <f>25780</f>
        <v>25780.0</v>
      </c>
      <c r="F13" s="23"/>
      <c r="G13" s="25" t="n">
        <f>15913</f>
        <v>15913.0</v>
      </c>
      <c r="H13" s="23"/>
      <c r="I13" s="26" t="n">
        <f>41693</f>
        <v>41693.0</v>
      </c>
      <c r="J13" s="24"/>
      <c r="K13" s="25" t="n">
        <f>10331709549</f>
        <v>1.0331709549E10</v>
      </c>
      <c r="L13" s="23"/>
      <c r="M13" s="25" t="n">
        <f>5112474100</f>
        <v>5.1124741E9</v>
      </c>
      <c r="N13" s="23"/>
      <c r="O13" s="26" t="n">
        <f>15444183649</f>
        <v>1.5444183649E10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/>
      <c r="T13" s="25" t="n">
        <f>4013</f>
        <v>4013.0</v>
      </c>
      <c r="U13" s="23"/>
      <c r="V13" s="25" t="n">
        <f>2254</f>
        <v>2254.0</v>
      </c>
      <c r="W13" s="23"/>
      <c r="X13" s="26" t="n">
        <f>6267</f>
        <v>6267.0</v>
      </c>
      <c r="Y13" s="24"/>
      <c r="Z13" s="25" t="n">
        <f>661508</f>
        <v>661508.0</v>
      </c>
      <c r="AA13" s="23"/>
      <c r="AB13" s="25" t="n">
        <f>421506</f>
        <v>421506.0</v>
      </c>
      <c r="AC13" s="23"/>
      <c r="AD13" s="26" t="n">
        <f>1083014</f>
        <v>1083014.0</v>
      </c>
    </row>
    <row r="14">
      <c r="A14" s="30" t="s">
        <v>32</v>
      </c>
      <c r="B14" s="22" t="s">
        <v>27</v>
      </c>
      <c r="C14" s="22" t="s">
        <v>28</v>
      </c>
      <c r="D14" s="24"/>
      <c r="E14" s="25"/>
      <c r="F14" s="23"/>
      <c r="G14" s="25"/>
      <c r="H14" s="23"/>
      <c r="I14" s="26"/>
      <c r="J14" s="24"/>
      <c r="K14" s="25"/>
      <c r="L14" s="23"/>
      <c r="M14" s="25"/>
      <c r="N14" s="23"/>
      <c r="O14" s="26"/>
      <c r="P14" s="27"/>
      <c r="Q14" s="28"/>
      <c r="R14" s="29"/>
      <c r="S14" s="24"/>
      <c r="T14" s="25"/>
      <c r="U14" s="23"/>
      <c r="V14" s="25"/>
      <c r="W14" s="23"/>
      <c r="X14" s="26"/>
      <c r="Y14" s="24"/>
      <c r="Z14" s="25"/>
      <c r="AA14" s="23"/>
      <c r="AB14" s="25"/>
      <c r="AC14" s="23"/>
      <c r="AD14" s="26"/>
    </row>
    <row r="15">
      <c r="A15" s="30" t="s">
        <v>33</v>
      </c>
      <c r="B15" s="22" t="s">
        <v>27</v>
      </c>
      <c r="C15" s="22" t="s">
        <v>28</v>
      </c>
      <c r="D15" s="24"/>
      <c r="E15" s="25"/>
      <c r="F15" s="23"/>
      <c r="G15" s="25"/>
      <c r="H15" s="23"/>
      <c r="I15" s="26"/>
      <c r="J15" s="24"/>
      <c r="K15" s="25"/>
      <c r="L15" s="23"/>
      <c r="M15" s="25"/>
      <c r="N15" s="23"/>
      <c r="O15" s="26"/>
      <c r="P15" s="27"/>
      <c r="Q15" s="28"/>
      <c r="R15" s="29"/>
      <c r="S15" s="24"/>
      <c r="T15" s="25"/>
      <c r="U15" s="23"/>
      <c r="V15" s="25"/>
      <c r="W15" s="23"/>
      <c r="X15" s="26"/>
      <c r="Y15" s="24"/>
      <c r="Z15" s="25"/>
      <c r="AA15" s="23"/>
      <c r="AB15" s="25"/>
      <c r="AC15" s="23"/>
      <c r="AD15" s="26"/>
    </row>
    <row r="16">
      <c r="A16" s="30" t="s">
        <v>34</v>
      </c>
      <c r="B16" s="22" t="s">
        <v>27</v>
      </c>
      <c r="C16" s="22" t="s">
        <v>28</v>
      </c>
      <c r="D16" s="24"/>
      <c r="E16" s="25" t="n">
        <f>31934</f>
        <v>31934.0</v>
      </c>
      <c r="F16" s="23" t="s">
        <v>35</v>
      </c>
      <c r="G16" s="25" t="n">
        <f>35228</f>
        <v>35228.0</v>
      </c>
      <c r="H16" s="23"/>
      <c r="I16" s="26" t="n">
        <f>67162</f>
        <v>67162.0</v>
      </c>
      <c r="J16" s="24"/>
      <c r="K16" s="25" t="n">
        <f>11324346242</f>
        <v>1.1324346242E10</v>
      </c>
      <c r="L16" s="23" t="s">
        <v>35</v>
      </c>
      <c r="M16" s="25" t="n">
        <f>18188731723</f>
        <v>1.8188731723E10</v>
      </c>
      <c r="N16" s="23" t="s">
        <v>35</v>
      </c>
      <c r="O16" s="26" t="n">
        <f>29513077965</f>
        <v>2.9513077965E10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/>
      <c r="T16" s="25" t="n">
        <f>6066</f>
        <v>6066.0</v>
      </c>
      <c r="U16" s="23"/>
      <c r="V16" s="25" t="n">
        <f>8986</f>
        <v>8986.0</v>
      </c>
      <c r="W16" s="23" t="s">
        <v>35</v>
      </c>
      <c r="X16" s="26" t="n">
        <f>15052</f>
        <v>15052.0</v>
      </c>
      <c r="Y16" s="24"/>
      <c r="Z16" s="25" t="n">
        <f>665801</f>
        <v>665801.0</v>
      </c>
      <c r="AA16" s="23"/>
      <c r="AB16" s="25" t="n">
        <f>426929</f>
        <v>426929.0</v>
      </c>
      <c r="AC16" s="23"/>
      <c r="AD16" s="26" t="n">
        <f>1092730</f>
        <v>1092730.0</v>
      </c>
    </row>
    <row r="17">
      <c r="A17" s="30" t="s">
        <v>36</v>
      </c>
      <c r="B17" s="22" t="s">
        <v>27</v>
      </c>
      <c r="C17" s="22" t="s">
        <v>28</v>
      </c>
      <c r="D17" s="24"/>
      <c r="E17" s="25" t="n">
        <f>30792</f>
        <v>30792.0</v>
      </c>
      <c r="F17" s="23"/>
      <c r="G17" s="25" t="n">
        <f>22773</f>
        <v>22773.0</v>
      </c>
      <c r="H17" s="23"/>
      <c r="I17" s="26" t="n">
        <f>53565</f>
        <v>53565.0</v>
      </c>
      <c r="J17" s="24" t="s">
        <v>37</v>
      </c>
      <c r="K17" s="25" t="n">
        <f>5785460190</f>
        <v>5.78546019E9</v>
      </c>
      <c r="L17" s="23"/>
      <c r="M17" s="25" t="n">
        <f>4481914908</f>
        <v>4.481914908E9</v>
      </c>
      <c r="N17" s="23" t="s">
        <v>37</v>
      </c>
      <c r="O17" s="26" t="n">
        <f>10267375098</f>
        <v>1.0267375098E10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4"/>
      <c r="T17" s="25" t="n">
        <f>4552</f>
        <v>4552.0</v>
      </c>
      <c r="U17" s="23"/>
      <c r="V17" s="25" t="n">
        <f>3376</f>
        <v>3376.0</v>
      </c>
      <c r="W17" s="23"/>
      <c r="X17" s="26" t="n">
        <f>7928</f>
        <v>7928.0</v>
      </c>
      <c r="Y17" s="24"/>
      <c r="Z17" s="25" t="n">
        <f>667723</f>
        <v>667723.0</v>
      </c>
      <c r="AA17" s="23"/>
      <c r="AB17" s="25" t="n">
        <f>425673</f>
        <v>425673.0</v>
      </c>
      <c r="AC17" s="23"/>
      <c r="AD17" s="26" t="n">
        <f>1093396</f>
        <v>1093396.0</v>
      </c>
    </row>
    <row r="18">
      <c r="A18" s="30" t="s">
        <v>38</v>
      </c>
      <c r="B18" s="22" t="s">
        <v>27</v>
      </c>
      <c r="C18" s="22" t="s">
        <v>28</v>
      </c>
      <c r="D18" s="24"/>
      <c r="E18" s="25" t="n">
        <f>30362</f>
        <v>30362.0</v>
      </c>
      <c r="F18" s="23"/>
      <c r="G18" s="25" t="n">
        <f>25960</f>
        <v>25960.0</v>
      </c>
      <c r="H18" s="23"/>
      <c r="I18" s="26" t="n">
        <f>56322</f>
        <v>56322.0</v>
      </c>
      <c r="J18" s="24"/>
      <c r="K18" s="25" t="n">
        <f>7413312680</f>
        <v>7.41331268E9</v>
      </c>
      <c r="L18" s="23"/>
      <c r="M18" s="25" t="n">
        <f>7536384200</f>
        <v>7.5363842E9</v>
      </c>
      <c r="N18" s="23"/>
      <c r="O18" s="26" t="n">
        <f>14949696880</f>
        <v>1.494969688E10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4"/>
      <c r="T18" s="25" t="n">
        <f>5121</f>
        <v>5121.0</v>
      </c>
      <c r="U18" s="23"/>
      <c r="V18" s="25" t="n">
        <f>5615</f>
        <v>5615.0</v>
      </c>
      <c r="W18" s="23"/>
      <c r="X18" s="26" t="n">
        <f>10736</f>
        <v>10736.0</v>
      </c>
      <c r="Y18" s="24"/>
      <c r="Z18" s="25" t="n">
        <f>676551</f>
        <v>676551.0</v>
      </c>
      <c r="AA18" s="23"/>
      <c r="AB18" s="25" t="n">
        <f>424448</f>
        <v>424448.0</v>
      </c>
      <c r="AC18" s="23"/>
      <c r="AD18" s="26" t="n">
        <f>1100999</f>
        <v>1100999.0</v>
      </c>
    </row>
    <row r="19">
      <c r="A19" s="30" t="s">
        <v>39</v>
      </c>
      <c r="B19" s="22" t="s">
        <v>27</v>
      </c>
      <c r="C19" s="22" t="s">
        <v>28</v>
      </c>
      <c r="D19" s="24" t="s">
        <v>35</v>
      </c>
      <c r="E19" s="25" t="n">
        <f>34028</f>
        <v>34028.0</v>
      </c>
      <c r="F19" s="23"/>
      <c r="G19" s="25" t="n">
        <f>34948</f>
        <v>34948.0</v>
      </c>
      <c r="H19" s="23" t="s">
        <v>35</v>
      </c>
      <c r="I19" s="26" t="n">
        <f>68976</f>
        <v>68976.0</v>
      </c>
      <c r="J19" s="24"/>
      <c r="K19" s="25" t="n">
        <f>10659335292</f>
        <v>1.0659335292E10</v>
      </c>
      <c r="L19" s="23"/>
      <c r="M19" s="25" t="n">
        <f>13039944041</f>
        <v>1.3039944041E10</v>
      </c>
      <c r="N19" s="23"/>
      <c r="O19" s="26" t="n">
        <f>23699279333</f>
        <v>2.3699279333E10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4"/>
      <c r="T19" s="25" t="n">
        <f>4372</f>
        <v>4372.0</v>
      </c>
      <c r="U19" s="23"/>
      <c r="V19" s="25" t="n">
        <f>5957</f>
        <v>5957.0</v>
      </c>
      <c r="W19" s="23"/>
      <c r="X19" s="26" t="n">
        <f>10329</f>
        <v>10329.0</v>
      </c>
      <c r="Y19" s="24" t="s">
        <v>35</v>
      </c>
      <c r="Z19" s="25" t="n">
        <f>682715</f>
        <v>682715.0</v>
      </c>
      <c r="AA19" s="23" t="s">
        <v>35</v>
      </c>
      <c r="AB19" s="25" t="n">
        <f>430309</f>
        <v>430309.0</v>
      </c>
      <c r="AC19" s="23" t="s">
        <v>35</v>
      </c>
      <c r="AD19" s="26" t="n">
        <f>1113024</f>
        <v>1113024.0</v>
      </c>
    </row>
    <row r="20">
      <c r="A20" s="30" t="s">
        <v>40</v>
      </c>
      <c r="B20" s="22" t="s">
        <v>27</v>
      </c>
      <c r="C20" s="22" t="s">
        <v>28</v>
      </c>
      <c r="D20" s="24"/>
      <c r="E20" s="25" t="n">
        <f>21835</f>
        <v>21835.0</v>
      </c>
      <c r="F20" s="23"/>
      <c r="G20" s="25" t="n">
        <f>18220</f>
        <v>18220.0</v>
      </c>
      <c r="H20" s="23"/>
      <c r="I20" s="26" t="n">
        <f>40055</f>
        <v>40055.0</v>
      </c>
      <c r="J20" s="24"/>
      <c r="K20" s="25" t="n">
        <f>12704284038</f>
        <v>1.2704284038E10</v>
      </c>
      <c r="L20" s="23"/>
      <c r="M20" s="25" t="n">
        <f>12682259590</f>
        <v>1.268225959E10</v>
      </c>
      <c r="N20" s="23"/>
      <c r="O20" s="26" t="n">
        <f>25386543628</f>
        <v>2.5386543628E10</v>
      </c>
      <c r="P20" s="27" t="n">
        <f>1518</f>
        <v>1518.0</v>
      </c>
      <c r="Q20" s="28" t="n">
        <f>31856</f>
        <v>31856.0</v>
      </c>
      <c r="R20" s="29" t="n">
        <f>33374</f>
        <v>33374.0</v>
      </c>
      <c r="S20" s="24"/>
      <c r="T20" s="25" t="n">
        <f>2569</f>
        <v>2569.0</v>
      </c>
      <c r="U20" s="23"/>
      <c r="V20" s="25" t="n">
        <f>3835</f>
        <v>3835.0</v>
      </c>
      <c r="W20" s="23"/>
      <c r="X20" s="26" t="n">
        <f>6404</f>
        <v>6404.0</v>
      </c>
      <c r="Y20" s="24" t="s">
        <v>37</v>
      </c>
      <c r="Z20" s="25" t="n">
        <f>590959</f>
        <v>590959.0</v>
      </c>
      <c r="AA20" s="23" t="s">
        <v>37</v>
      </c>
      <c r="AB20" s="25" t="n">
        <f>367210</f>
        <v>367210.0</v>
      </c>
      <c r="AC20" s="23" t="s">
        <v>37</v>
      </c>
      <c r="AD20" s="26" t="n">
        <f>958169</f>
        <v>958169.0</v>
      </c>
    </row>
    <row r="21">
      <c r="A21" s="30" t="s">
        <v>41</v>
      </c>
      <c r="B21" s="22" t="s">
        <v>27</v>
      </c>
      <c r="C21" s="22" t="s">
        <v>28</v>
      </c>
      <c r="D21" s="24"/>
      <c r="E21" s="25"/>
      <c r="F21" s="23"/>
      <c r="G21" s="25"/>
      <c r="H21" s="23"/>
      <c r="I21" s="26"/>
      <c r="J21" s="24"/>
      <c r="K21" s="25"/>
      <c r="L21" s="23"/>
      <c r="M21" s="25"/>
      <c r="N21" s="23"/>
      <c r="O21" s="26"/>
      <c r="P21" s="27"/>
      <c r="Q21" s="28"/>
      <c r="R21" s="29"/>
      <c r="S21" s="24"/>
      <c r="T21" s="25"/>
      <c r="U21" s="23"/>
      <c r="V21" s="25"/>
      <c r="W21" s="23"/>
      <c r="X21" s="26"/>
      <c r="Y21" s="24"/>
      <c r="Z21" s="25"/>
      <c r="AA21" s="23"/>
      <c r="AB21" s="25"/>
      <c r="AC21" s="23"/>
      <c r="AD21" s="26"/>
    </row>
    <row r="22">
      <c r="A22" s="30" t="s">
        <v>42</v>
      </c>
      <c r="B22" s="22" t="s">
        <v>27</v>
      </c>
      <c r="C22" s="22" t="s">
        <v>28</v>
      </c>
      <c r="D22" s="24"/>
      <c r="E22" s="25"/>
      <c r="F22" s="23"/>
      <c r="G22" s="25"/>
      <c r="H22" s="23"/>
      <c r="I22" s="26"/>
      <c r="J22" s="24"/>
      <c r="K22" s="25"/>
      <c r="L22" s="23"/>
      <c r="M22" s="25"/>
      <c r="N22" s="23"/>
      <c r="O22" s="26"/>
      <c r="P22" s="27"/>
      <c r="Q22" s="28"/>
      <c r="R22" s="29"/>
      <c r="S22" s="24"/>
      <c r="T22" s="25"/>
      <c r="U22" s="23"/>
      <c r="V22" s="25"/>
      <c r="W22" s="23"/>
      <c r="X22" s="26"/>
      <c r="Y22" s="24"/>
      <c r="Z22" s="25"/>
      <c r="AA22" s="23"/>
      <c r="AB22" s="25"/>
      <c r="AC22" s="23"/>
      <c r="AD22" s="26"/>
    </row>
    <row r="23">
      <c r="A23" s="30" t="s">
        <v>43</v>
      </c>
      <c r="B23" s="22" t="s">
        <v>27</v>
      </c>
      <c r="C23" s="22" t="s">
        <v>28</v>
      </c>
      <c r="D23" s="24"/>
      <c r="E23" s="25"/>
      <c r="F23" s="23"/>
      <c r="G23" s="25"/>
      <c r="H23" s="23"/>
      <c r="I23" s="26"/>
      <c r="J23" s="24"/>
      <c r="K23" s="25"/>
      <c r="L23" s="23"/>
      <c r="M23" s="25"/>
      <c r="N23" s="23"/>
      <c r="O23" s="26"/>
      <c r="P23" s="27"/>
      <c r="Q23" s="28"/>
      <c r="R23" s="29"/>
      <c r="S23" s="24"/>
      <c r="T23" s="25"/>
      <c r="U23" s="23"/>
      <c r="V23" s="25"/>
      <c r="W23" s="23"/>
      <c r="X23" s="26"/>
      <c r="Y23" s="24"/>
      <c r="Z23" s="25"/>
      <c r="AA23" s="23"/>
      <c r="AB23" s="25"/>
      <c r="AC23" s="23"/>
      <c r="AD23" s="26"/>
    </row>
    <row r="24">
      <c r="A24" s="30" t="s">
        <v>44</v>
      </c>
      <c r="B24" s="22" t="s">
        <v>27</v>
      </c>
      <c r="C24" s="22" t="s">
        <v>28</v>
      </c>
      <c r="D24" s="24"/>
      <c r="E24" s="25" t="n">
        <f>28017</f>
        <v>28017.0</v>
      </c>
      <c r="F24" s="23"/>
      <c r="G24" s="25" t="n">
        <f>21224</f>
        <v>21224.0</v>
      </c>
      <c r="H24" s="23"/>
      <c r="I24" s="26" t="n">
        <f>49241</f>
        <v>49241.0</v>
      </c>
      <c r="J24" s="24"/>
      <c r="K24" s="25" t="n">
        <f>8294883930</f>
        <v>8.29488393E9</v>
      </c>
      <c r="L24" s="23"/>
      <c r="M24" s="25" t="n">
        <f>10249663350</f>
        <v>1.024966335E10</v>
      </c>
      <c r="N24" s="23"/>
      <c r="O24" s="26" t="n">
        <f>18544547280</f>
        <v>1.854454728E10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3369</f>
        <v>3369.0</v>
      </c>
      <c r="U24" s="23"/>
      <c r="V24" s="25" t="n">
        <f>6497</f>
        <v>6497.0</v>
      </c>
      <c r="W24" s="23"/>
      <c r="X24" s="26" t="n">
        <f>9866</f>
        <v>9866.0</v>
      </c>
      <c r="Y24" s="24"/>
      <c r="Z24" s="25" t="n">
        <f>591746</f>
        <v>591746.0</v>
      </c>
      <c r="AA24" s="23"/>
      <c r="AB24" s="25" t="n">
        <f>370129</f>
        <v>370129.0</v>
      </c>
      <c r="AC24" s="23"/>
      <c r="AD24" s="26" t="n">
        <f>961875</f>
        <v>961875.0</v>
      </c>
    </row>
    <row r="25">
      <c r="A25" s="30" t="s">
        <v>45</v>
      </c>
      <c r="B25" s="22" t="s">
        <v>27</v>
      </c>
      <c r="C25" s="22" t="s">
        <v>28</v>
      </c>
      <c r="D25" s="24"/>
      <c r="E25" s="25" t="n">
        <f>20685</f>
        <v>20685.0</v>
      </c>
      <c r="F25" s="23"/>
      <c r="G25" s="25" t="n">
        <f>12582</f>
        <v>12582.0</v>
      </c>
      <c r="H25" s="23"/>
      <c r="I25" s="26" t="n">
        <f>33267</f>
        <v>33267.0</v>
      </c>
      <c r="J25" s="24"/>
      <c r="K25" s="25" t="n">
        <f>8176411630</f>
        <v>8.17641163E9</v>
      </c>
      <c r="L25" s="23"/>
      <c r="M25" s="25" t="n">
        <f>7002837270</f>
        <v>7.00283727E9</v>
      </c>
      <c r="N25" s="23"/>
      <c r="O25" s="26" t="n">
        <f>15179248900</f>
        <v>1.51792489E10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4"/>
      <c r="T25" s="25" t="n">
        <f>2781</f>
        <v>2781.0</v>
      </c>
      <c r="U25" s="23"/>
      <c r="V25" s="25" t="n">
        <f>2788</f>
        <v>2788.0</v>
      </c>
      <c r="W25" s="23"/>
      <c r="X25" s="26" t="n">
        <f>5569</f>
        <v>5569.0</v>
      </c>
      <c r="Y25" s="24"/>
      <c r="Z25" s="25" t="n">
        <f>596028</f>
        <v>596028.0</v>
      </c>
      <c r="AA25" s="23"/>
      <c r="AB25" s="25" t="n">
        <f>372638</f>
        <v>372638.0</v>
      </c>
      <c r="AC25" s="23"/>
      <c r="AD25" s="26" t="n">
        <f>968666</f>
        <v>968666.0</v>
      </c>
    </row>
    <row r="26">
      <c r="A26" s="30" t="s">
        <v>46</v>
      </c>
      <c r="B26" s="22" t="s">
        <v>27</v>
      </c>
      <c r="C26" s="22" t="s">
        <v>28</v>
      </c>
      <c r="D26" s="24" t="s">
        <v>37</v>
      </c>
      <c r="E26" s="25" t="n">
        <f>17297</f>
        <v>17297.0</v>
      </c>
      <c r="F26" s="23"/>
      <c r="G26" s="25" t="n">
        <f>12593</f>
        <v>12593.0</v>
      </c>
      <c r="H26" s="23"/>
      <c r="I26" s="26" t="n">
        <f>29890</f>
        <v>29890.0</v>
      </c>
      <c r="J26" s="24"/>
      <c r="K26" s="25" t="n">
        <f>9109730445</f>
        <v>9.109730445E9</v>
      </c>
      <c r="L26" s="23"/>
      <c r="M26" s="25" t="n">
        <f>6040296068</f>
        <v>6.040296068E9</v>
      </c>
      <c r="N26" s="23"/>
      <c r="O26" s="26" t="n">
        <f>15150026513</f>
        <v>1.5150026513E10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4" t="s">
        <v>37</v>
      </c>
      <c r="T26" s="25" t="n">
        <f>1484</f>
        <v>1484.0</v>
      </c>
      <c r="U26" s="23"/>
      <c r="V26" s="25" t="n">
        <f>2965</f>
        <v>2965.0</v>
      </c>
      <c r="W26" s="23" t="s">
        <v>37</v>
      </c>
      <c r="X26" s="26" t="n">
        <f>4449</f>
        <v>4449.0</v>
      </c>
      <c r="Y26" s="24"/>
      <c r="Z26" s="25" t="n">
        <f>602466</f>
        <v>602466.0</v>
      </c>
      <c r="AA26" s="23"/>
      <c r="AB26" s="25" t="n">
        <f>376284</f>
        <v>376284.0</v>
      </c>
      <c r="AC26" s="23"/>
      <c r="AD26" s="26" t="n">
        <f>978750</f>
        <v>978750.0</v>
      </c>
    </row>
    <row r="27">
      <c r="A27" s="30" t="s">
        <v>47</v>
      </c>
      <c r="B27" s="22" t="s">
        <v>27</v>
      </c>
      <c r="C27" s="22" t="s">
        <v>28</v>
      </c>
      <c r="D27" s="24"/>
      <c r="E27" s="25" t="n">
        <f>23022</f>
        <v>23022.0</v>
      </c>
      <c r="F27" s="23"/>
      <c r="G27" s="25" t="n">
        <f>10144</f>
        <v>10144.0</v>
      </c>
      <c r="H27" s="23"/>
      <c r="I27" s="26" t="n">
        <f>33166</f>
        <v>33166.0</v>
      </c>
      <c r="J27" s="24"/>
      <c r="K27" s="25" t="n">
        <f>13592092430</f>
        <v>1.359209243E10</v>
      </c>
      <c r="L27" s="23"/>
      <c r="M27" s="25" t="n">
        <f>3977576390</f>
        <v>3.97757639E9</v>
      </c>
      <c r="N27" s="23"/>
      <c r="O27" s="26" t="n">
        <f>17569668820</f>
        <v>1.756966882E10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4336</f>
        <v>4336.0</v>
      </c>
      <c r="U27" s="23" t="s">
        <v>37</v>
      </c>
      <c r="V27" s="25" t="n">
        <f>1607</f>
        <v>1607.0</v>
      </c>
      <c r="W27" s="23"/>
      <c r="X27" s="26" t="n">
        <f>5943</f>
        <v>5943.0</v>
      </c>
      <c r="Y27" s="24"/>
      <c r="Z27" s="25" t="n">
        <f>608670</f>
        <v>608670.0</v>
      </c>
      <c r="AA27" s="23"/>
      <c r="AB27" s="25" t="n">
        <f>375743</f>
        <v>375743.0</v>
      </c>
      <c r="AC27" s="23"/>
      <c r="AD27" s="26" t="n">
        <f>984413</f>
        <v>984413.0</v>
      </c>
    </row>
    <row r="28">
      <c r="A28" s="30" t="s">
        <v>48</v>
      </c>
      <c r="B28" s="22" t="s">
        <v>27</v>
      </c>
      <c r="C28" s="22" t="s">
        <v>28</v>
      </c>
      <c r="D28" s="24"/>
      <c r="E28" s="25"/>
      <c r="F28" s="23"/>
      <c r="G28" s="25"/>
      <c r="H28" s="23"/>
      <c r="I28" s="26"/>
      <c r="J28" s="24"/>
      <c r="K28" s="25"/>
      <c r="L28" s="23"/>
      <c r="M28" s="25"/>
      <c r="N28" s="23"/>
      <c r="O28" s="26"/>
      <c r="P28" s="27"/>
      <c r="Q28" s="28"/>
      <c r="R28" s="29"/>
      <c r="S28" s="24"/>
      <c r="T28" s="25"/>
      <c r="U28" s="23"/>
      <c r="V28" s="25"/>
      <c r="W28" s="23"/>
      <c r="X28" s="26"/>
      <c r="Y28" s="24"/>
      <c r="Z28" s="25"/>
      <c r="AA28" s="23"/>
      <c r="AB28" s="25"/>
      <c r="AC28" s="23"/>
      <c r="AD28" s="26"/>
    </row>
    <row r="29">
      <c r="A29" s="30" t="s">
        <v>49</v>
      </c>
      <c r="B29" s="22" t="s">
        <v>27</v>
      </c>
      <c r="C29" s="22" t="s">
        <v>28</v>
      </c>
      <c r="D29" s="24"/>
      <c r="E29" s="25"/>
      <c r="F29" s="23"/>
      <c r="G29" s="25"/>
      <c r="H29" s="23"/>
      <c r="I29" s="26"/>
      <c r="J29" s="24"/>
      <c r="K29" s="25"/>
      <c r="L29" s="23"/>
      <c r="M29" s="25"/>
      <c r="N29" s="23"/>
      <c r="O29" s="26"/>
      <c r="P29" s="27"/>
      <c r="Q29" s="28"/>
      <c r="R29" s="29"/>
      <c r="S29" s="24"/>
      <c r="T29" s="25"/>
      <c r="U29" s="23"/>
      <c r="V29" s="25"/>
      <c r="W29" s="23"/>
      <c r="X29" s="26"/>
      <c r="Y29" s="24"/>
      <c r="Z29" s="25"/>
      <c r="AA29" s="23"/>
      <c r="AB29" s="25"/>
      <c r="AC29" s="23"/>
      <c r="AD29" s="26"/>
    </row>
    <row r="30">
      <c r="A30" s="30" t="s">
        <v>50</v>
      </c>
      <c r="B30" s="22" t="s">
        <v>27</v>
      </c>
      <c r="C30" s="22" t="s">
        <v>28</v>
      </c>
      <c r="D30" s="24"/>
      <c r="E30" s="25" t="n">
        <f>19682</f>
        <v>19682.0</v>
      </c>
      <c r="F30" s="23" t="s">
        <v>37</v>
      </c>
      <c r="G30" s="25" t="n">
        <f>9461</f>
        <v>9461.0</v>
      </c>
      <c r="H30" s="23" t="s">
        <v>37</v>
      </c>
      <c r="I30" s="26" t="n">
        <f>29143</f>
        <v>29143.0</v>
      </c>
      <c r="J30" s="24"/>
      <c r="K30" s="25" t="n">
        <f>8392129030</f>
        <v>8.39212903E9</v>
      </c>
      <c r="L30" s="23" t="s">
        <v>37</v>
      </c>
      <c r="M30" s="25" t="n">
        <f>3603940730</f>
        <v>3.60394073E9</v>
      </c>
      <c r="N30" s="23"/>
      <c r="O30" s="26" t="n">
        <f>11996069760</f>
        <v>1.199606976E10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2664</f>
        <v>2664.0</v>
      </c>
      <c r="U30" s="23"/>
      <c r="V30" s="25" t="n">
        <f>2119</f>
        <v>2119.0</v>
      </c>
      <c r="W30" s="23"/>
      <c r="X30" s="26" t="n">
        <f>4783</f>
        <v>4783.0</v>
      </c>
      <c r="Y30" s="24"/>
      <c r="Z30" s="25" t="n">
        <f>614998</f>
        <v>614998.0</v>
      </c>
      <c r="AA30" s="23"/>
      <c r="AB30" s="25" t="n">
        <f>377364</f>
        <v>377364.0</v>
      </c>
      <c r="AC30" s="23"/>
      <c r="AD30" s="26" t="n">
        <f>992362</f>
        <v>992362.0</v>
      </c>
    </row>
    <row r="31">
      <c r="A31" s="30" t="s">
        <v>51</v>
      </c>
      <c r="B31" s="22" t="s">
        <v>27</v>
      </c>
      <c r="C31" s="22" t="s">
        <v>28</v>
      </c>
      <c r="D31" s="24"/>
      <c r="E31" s="25" t="n">
        <f>23925</f>
        <v>23925.0</v>
      </c>
      <c r="F31" s="23"/>
      <c r="G31" s="25" t="n">
        <f>17890</f>
        <v>17890.0</v>
      </c>
      <c r="H31" s="23"/>
      <c r="I31" s="26" t="n">
        <f>41815</f>
        <v>41815.0</v>
      </c>
      <c r="J31" s="24" t="s">
        <v>35</v>
      </c>
      <c r="K31" s="25" t="n">
        <f>17954818218</f>
        <v>1.7954818218E10</v>
      </c>
      <c r="L31" s="23"/>
      <c r="M31" s="25" t="n">
        <f>5698953611</f>
        <v>5.698953611E9</v>
      </c>
      <c r="N31" s="23"/>
      <c r="O31" s="26" t="n">
        <f>23653771829</f>
        <v>2.3653771829E10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3557</f>
        <v>3557.0</v>
      </c>
      <c r="U31" s="23"/>
      <c r="V31" s="25" t="n">
        <f>4338</f>
        <v>4338.0</v>
      </c>
      <c r="W31" s="23"/>
      <c r="X31" s="26" t="n">
        <f>7895</f>
        <v>7895.0</v>
      </c>
      <c r="Y31" s="24"/>
      <c r="Z31" s="25" t="n">
        <f>620899</f>
        <v>620899.0</v>
      </c>
      <c r="AA31" s="23"/>
      <c r="AB31" s="25" t="n">
        <f>378924</f>
        <v>378924.0</v>
      </c>
      <c r="AC31" s="23"/>
      <c r="AD31" s="26" t="n">
        <f>999823</f>
        <v>999823.0</v>
      </c>
    </row>
    <row r="32">
      <c r="A32" s="30" t="s">
        <v>52</v>
      </c>
      <c r="B32" s="22" t="s">
        <v>27</v>
      </c>
      <c r="C32" s="22" t="s">
        <v>28</v>
      </c>
      <c r="D32" s="24"/>
      <c r="E32" s="25" t="n">
        <f>22220</f>
        <v>22220.0</v>
      </c>
      <c r="F32" s="23"/>
      <c r="G32" s="25" t="n">
        <f>14605</f>
        <v>14605.0</v>
      </c>
      <c r="H32" s="23"/>
      <c r="I32" s="26" t="n">
        <f>36825</f>
        <v>36825.0</v>
      </c>
      <c r="J32" s="24"/>
      <c r="K32" s="25" t="n">
        <f>16709510770</f>
        <v>1.670951077E10</v>
      </c>
      <c r="L32" s="23"/>
      <c r="M32" s="25" t="n">
        <f>5699757284</f>
        <v>5.699757284E9</v>
      </c>
      <c r="N32" s="23"/>
      <c r="O32" s="26" t="n">
        <f>22409268054</f>
        <v>2.2409268054E10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4"/>
      <c r="T32" s="25" t="n">
        <f>4796</f>
        <v>4796.0</v>
      </c>
      <c r="U32" s="23"/>
      <c r="V32" s="25" t="n">
        <f>3400</f>
        <v>3400.0</v>
      </c>
      <c r="W32" s="23"/>
      <c r="X32" s="26" t="n">
        <f>8196</f>
        <v>8196.0</v>
      </c>
      <c r="Y32" s="24"/>
      <c r="Z32" s="25" t="n">
        <f>629260</f>
        <v>629260.0</v>
      </c>
      <c r="AA32" s="23"/>
      <c r="AB32" s="25" t="n">
        <f>382221</f>
        <v>382221.0</v>
      </c>
      <c r="AC32" s="23"/>
      <c r="AD32" s="26" t="n">
        <f>1011481</f>
        <v>1011481.0</v>
      </c>
    </row>
    <row r="33">
      <c r="A33" s="30" t="s">
        <v>53</v>
      </c>
      <c r="B33" s="22" t="s">
        <v>27</v>
      </c>
      <c r="C33" s="22" t="s">
        <v>28</v>
      </c>
      <c r="D33" s="24"/>
      <c r="E33" s="25" t="n">
        <f>25495</f>
        <v>25495.0</v>
      </c>
      <c r="F33" s="23"/>
      <c r="G33" s="25" t="n">
        <f>25859</f>
        <v>25859.0</v>
      </c>
      <c r="H33" s="23"/>
      <c r="I33" s="26" t="n">
        <f>51354</f>
        <v>51354.0</v>
      </c>
      <c r="J33" s="24"/>
      <c r="K33" s="25" t="n">
        <f>16319992455</f>
        <v>1.6319992455E10</v>
      </c>
      <c r="L33" s="23"/>
      <c r="M33" s="25" t="n">
        <f>8335522530</f>
        <v>8.33552253E9</v>
      </c>
      <c r="N33" s="23"/>
      <c r="O33" s="26" t="n">
        <f>24655514985</f>
        <v>2.4655514985E10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4"/>
      <c r="T33" s="25" t="n">
        <f>4315</f>
        <v>4315.0</v>
      </c>
      <c r="U33" s="23" t="s">
        <v>35</v>
      </c>
      <c r="V33" s="25" t="n">
        <f>9835</f>
        <v>9835.0</v>
      </c>
      <c r="W33" s="23"/>
      <c r="X33" s="26" t="n">
        <f>14150</f>
        <v>14150.0</v>
      </c>
      <c r="Y33" s="24"/>
      <c r="Z33" s="25" t="n">
        <f>633714</f>
        <v>633714.0</v>
      </c>
      <c r="AA33" s="23"/>
      <c r="AB33" s="25" t="n">
        <f>386144</f>
        <v>386144.0</v>
      </c>
      <c r="AC33" s="23"/>
      <c r="AD33" s="26" t="n">
        <f>1019858</f>
        <v>1019858.0</v>
      </c>
    </row>
    <row r="34">
      <c r="A34" s="30" t="s">
        <v>54</v>
      </c>
      <c r="B34" s="22" t="s">
        <v>27</v>
      </c>
      <c r="C34" s="22" t="s">
        <v>28</v>
      </c>
      <c r="D34" s="24"/>
      <c r="E34" s="25" t="n">
        <f>25200</f>
        <v>25200.0</v>
      </c>
      <c r="F34" s="23"/>
      <c r="G34" s="25" t="n">
        <f>17663</f>
        <v>17663.0</v>
      </c>
      <c r="H34" s="23"/>
      <c r="I34" s="26" t="n">
        <f>42863</f>
        <v>42863.0</v>
      </c>
      <c r="J34" s="24"/>
      <c r="K34" s="25" t="n">
        <f>11306712449</f>
        <v>1.1306712449E10</v>
      </c>
      <c r="L34" s="23"/>
      <c r="M34" s="25" t="n">
        <f>6084473220</f>
        <v>6.08447322E9</v>
      </c>
      <c r="N34" s="23"/>
      <c r="O34" s="26" t="n">
        <f>17391185669</f>
        <v>1.7391185669E10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 t="s">
        <v>35</v>
      </c>
      <c r="T34" s="25" t="n">
        <f>6643</f>
        <v>6643.0</v>
      </c>
      <c r="U34" s="23"/>
      <c r="V34" s="25" t="n">
        <f>3571</f>
        <v>3571.0</v>
      </c>
      <c r="W34" s="23"/>
      <c r="X34" s="26" t="n">
        <f>10214</f>
        <v>10214.0</v>
      </c>
      <c r="Y34" s="24"/>
      <c r="Z34" s="25" t="n">
        <f>639748</f>
        <v>639748.0</v>
      </c>
      <c r="AA34" s="23"/>
      <c r="AB34" s="25" t="n">
        <f>390366</f>
        <v>390366.0</v>
      </c>
      <c r="AC34" s="23"/>
      <c r="AD34" s="26" t="n">
        <f>1030114</f>
        <v>1030114.0</v>
      </c>
    </row>
    <row r="35">
      <c r="A35" s="30" t="s">
        <v>55</v>
      </c>
      <c r="B35" s="22" t="s">
        <v>27</v>
      </c>
      <c r="C35" s="22" t="s">
        <v>28</v>
      </c>
      <c r="D35" s="24"/>
      <c r="E35" s="25"/>
      <c r="F35" s="23"/>
      <c r="G35" s="25"/>
      <c r="H35" s="23"/>
      <c r="I35" s="26"/>
      <c r="J35" s="24"/>
      <c r="K35" s="25"/>
      <c r="L35" s="23"/>
      <c r="M35" s="25"/>
      <c r="N35" s="23"/>
      <c r="O35" s="26"/>
      <c r="P35" s="27"/>
      <c r="Q35" s="28"/>
      <c r="R35" s="29"/>
      <c r="S35" s="24"/>
      <c r="T35" s="25"/>
      <c r="U35" s="23"/>
      <c r="V35" s="25"/>
      <c r="W35" s="23"/>
      <c r="X35" s="26"/>
      <c r="Y35" s="24"/>
      <c r="Z35" s="25"/>
      <c r="AA35" s="23"/>
      <c r="AB35" s="25"/>
      <c r="AC35" s="23"/>
      <c r="AD35" s="26"/>
    </row>
    <row r="36">
      <c r="A36" s="30" t="s">
        <v>56</v>
      </c>
      <c r="B36" s="22" t="s">
        <v>27</v>
      </c>
      <c r="C36" s="22" t="s">
        <v>28</v>
      </c>
      <c r="D36" s="24"/>
      <c r="E36" s="25"/>
      <c r="F36" s="23"/>
      <c r="G36" s="25"/>
      <c r="H36" s="23"/>
      <c r="I36" s="26"/>
      <c r="J36" s="24"/>
      <c r="K36" s="25"/>
      <c r="L36" s="23"/>
      <c r="M36" s="25"/>
      <c r="N36" s="23"/>
      <c r="O36" s="26"/>
      <c r="P36" s="27"/>
      <c r="Q36" s="28"/>
      <c r="R36" s="29"/>
      <c r="S36" s="24"/>
      <c r="T36" s="25"/>
      <c r="U36" s="23"/>
      <c r="V36" s="25"/>
      <c r="W36" s="23"/>
      <c r="X36" s="26"/>
      <c r="Y36" s="24"/>
      <c r="Z36" s="25"/>
      <c r="AA36" s="23"/>
      <c r="AB36" s="25"/>
      <c r="AC36" s="23"/>
      <c r="AD36" s="26"/>
    </row>
    <row r="37">
      <c r="A37" s="30" t="s">
        <v>57</v>
      </c>
      <c r="B37" s="22" t="s">
        <v>27</v>
      </c>
      <c r="C37" s="22" t="s">
        <v>28</v>
      </c>
      <c r="D37" s="24"/>
      <c r="E37" s="25" t="n">
        <f>27103</f>
        <v>27103.0</v>
      </c>
      <c r="F37" s="23"/>
      <c r="G37" s="25" t="n">
        <f>18935</f>
        <v>18935.0</v>
      </c>
      <c r="H37" s="23"/>
      <c r="I37" s="26" t="n">
        <f>46038</f>
        <v>46038.0</v>
      </c>
      <c r="J37" s="24"/>
      <c r="K37" s="25" t="n">
        <f>7794917455</f>
        <v>7.794917455E9</v>
      </c>
      <c r="L37" s="23"/>
      <c r="M37" s="25" t="n">
        <f>5913325186</f>
        <v>5.913325186E9</v>
      </c>
      <c r="N37" s="23"/>
      <c r="O37" s="26" t="n">
        <f>13708242641</f>
        <v>1.3708242641E10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5426</f>
        <v>5426.0</v>
      </c>
      <c r="U37" s="23"/>
      <c r="V37" s="25" t="n">
        <f>4327</f>
        <v>4327.0</v>
      </c>
      <c r="W37" s="23"/>
      <c r="X37" s="26" t="n">
        <f>9753</f>
        <v>9753.0</v>
      </c>
      <c r="Y37" s="24"/>
      <c r="Z37" s="25" t="n">
        <f>642761</f>
        <v>642761.0</v>
      </c>
      <c r="AA37" s="23"/>
      <c r="AB37" s="25" t="n">
        <f>392595</f>
        <v>392595.0</v>
      </c>
      <c r="AC37" s="23"/>
      <c r="AD37" s="26" t="n">
        <f>1035356</f>
        <v>1035356.0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19205</f>
        <v>19205.0</v>
      </c>
      <c r="F38" s="23"/>
      <c r="G38" s="25" t="n">
        <f>16058</f>
        <v>16058.0</v>
      </c>
      <c r="H38" s="23"/>
      <c r="I38" s="26" t="n">
        <f>35263</f>
        <v>35263.0</v>
      </c>
      <c r="J38" s="24"/>
      <c r="K38" s="25" t="n">
        <f>8297258519</f>
        <v>8.297258519E9</v>
      </c>
      <c r="L38" s="23"/>
      <c r="M38" s="25" t="n">
        <f>6592484940</f>
        <v>6.59248494E9</v>
      </c>
      <c r="N38" s="23"/>
      <c r="O38" s="26" t="n">
        <f>14889743459</f>
        <v>1.4889743459E10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5220</f>
        <v>5220.0</v>
      </c>
      <c r="U38" s="23"/>
      <c r="V38" s="25" t="n">
        <f>3833</f>
        <v>3833.0</v>
      </c>
      <c r="W38" s="23"/>
      <c r="X38" s="26" t="n">
        <f>9053</f>
        <v>9053.0</v>
      </c>
      <c r="Y38" s="24"/>
      <c r="Z38" s="25" t="n">
        <f>647807</f>
        <v>647807.0</v>
      </c>
      <c r="AA38" s="23"/>
      <c r="AB38" s="25" t="n">
        <f>395783</f>
        <v>395783.0</v>
      </c>
      <c r="AC38" s="23"/>
      <c r="AD38" s="26" t="n">
        <f>1043590</f>
        <v>1043590.0</v>
      </c>
    </row>
    <row r="39">
      <c r="A39" s="30" t="s">
        <v>59</v>
      </c>
      <c r="B39" s="22" t="s">
        <v>27</v>
      </c>
      <c r="C39" s="22" t="s">
        <v>28</v>
      </c>
      <c r="D39" s="24"/>
      <c r="E39" s="25" t="n">
        <f>22582</f>
        <v>22582.0</v>
      </c>
      <c r="F39" s="23"/>
      <c r="G39" s="25" t="n">
        <f>16237</f>
        <v>16237.0</v>
      </c>
      <c r="H39" s="23"/>
      <c r="I39" s="26" t="n">
        <f>38819</f>
        <v>38819.0</v>
      </c>
      <c r="J39" s="24"/>
      <c r="K39" s="25" t="n">
        <f>7104219782</f>
        <v>7.104219782E9</v>
      </c>
      <c r="L39" s="23"/>
      <c r="M39" s="25" t="n">
        <f>6716331440</f>
        <v>6.71633144E9</v>
      </c>
      <c r="N39" s="23"/>
      <c r="O39" s="26" t="n">
        <f>13820551222</f>
        <v>1.3820551222E10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4"/>
      <c r="T39" s="25" t="n">
        <f>3471</f>
        <v>3471.0</v>
      </c>
      <c r="U39" s="23"/>
      <c r="V39" s="25" t="n">
        <f>3071</f>
        <v>3071.0</v>
      </c>
      <c r="W39" s="23"/>
      <c r="X39" s="26" t="n">
        <f>6542</f>
        <v>6542.0</v>
      </c>
      <c r="Y39" s="24"/>
      <c r="Z39" s="25" t="n">
        <f>652892</f>
        <v>652892.0</v>
      </c>
      <c r="AA39" s="23"/>
      <c r="AB39" s="25" t="n">
        <f>396367</f>
        <v>396367.0</v>
      </c>
      <c r="AC39" s="23"/>
      <c r="AD39" s="26" t="n">
        <f>1049259</f>
        <v>1049259.0</v>
      </c>
    </row>
    <row r="40">
      <c r="A40" s="30" t="s">
        <v>60</v>
      </c>
      <c r="B40" s="22" t="s">
        <v>27</v>
      </c>
      <c r="C40" s="22" t="s">
        <v>28</v>
      </c>
      <c r="D40" s="24"/>
      <c r="E40" s="25" t="n">
        <f>21044</f>
        <v>21044.0</v>
      </c>
      <c r="F40" s="23"/>
      <c r="G40" s="25" t="n">
        <f>15860</f>
        <v>15860.0</v>
      </c>
      <c r="H40" s="23"/>
      <c r="I40" s="26" t="n">
        <f>36904</f>
        <v>36904.0</v>
      </c>
      <c r="J40" s="24"/>
      <c r="K40" s="25" t="n">
        <f>7073717722</f>
        <v>7.073717722E9</v>
      </c>
      <c r="L40" s="23"/>
      <c r="M40" s="25" t="n">
        <f>4472244120</f>
        <v>4.47224412E9</v>
      </c>
      <c r="N40" s="23"/>
      <c r="O40" s="26" t="n">
        <f>11545961842</f>
        <v>1.1545961842E10</v>
      </c>
      <c r="P40" s="27" t="str">
        <f>"－"</f>
        <v>－</v>
      </c>
      <c r="Q40" s="28" t="str">
        <f>"－"</f>
        <v>－</v>
      </c>
      <c r="R40" s="29" t="str">
        <f>"－"</f>
        <v>－</v>
      </c>
      <c r="S40" s="24"/>
      <c r="T40" s="25" t="n">
        <f>3303</f>
        <v>3303.0</v>
      </c>
      <c r="U40" s="23"/>
      <c r="V40" s="25" t="n">
        <f>2409</f>
        <v>2409.0</v>
      </c>
      <c r="W40" s="23"/>
      <c r="X40" s="26" t="n">
        <f>5712</f>
        <v>5712.0</v>
      </c>
      <c r="Y40" s="24"/>
      <c r="Z40" s="25" t="n">
        <f>655636</f>
        <v>655636.0</v>
      </c>
      <c r="AA40" s="23"/>
      <c r="AB40" s="25" t="n">
        <f>397444</f>
        <v>397444.0</v>
      </c>
      <c r="AC40" s="23"/>
      <c r="AD40" s="26" t="n">
        <f>1053080</f>
        <v>1053080.0</v>
      </c>
    </row>
    <row r="41">
      <c r="A41" s="30" t="s">
        <v>26</v>
      </c>
      <c r="B41" s="22" t="s">
        <v>61</v>
      </c>
      <c r="C41" s="22" t="s">
        <v>62</v>
      </c>
      <c r="D41" s="24"/>
      <c r="E41" s="25" t="n">
        <f>20841</f>
        <v>20841.0</v>
      </c>
      <c r="F41" s="23"/>
      <c r="G41" s="25" t="n">
        <f>15630</f>
        <v>15630.0</v>
      </c>
      <c r="H41" s="23"/>
      <c r="I41" s="26" t="n">
        <f>36471</f>
        <v>36471.0</v>
      </c>
      <c r="J41" s="24"/>
      <c r="K41" s="25" t="n">
        <f>308395650</f>
        <v>3.0839565E8</v>
      </c>
      <c r="L41" s="23"/>
      <c r="M41" s="25" t="n">
        <f>256965090</f>
        <v>2.5696509E8</v>
      </c>
      <c r="N41" s="23"/>
      <c r="O41" s="26" t="n">
        <f>565360740</f>
        <v>5.6536074E8</v>
      </c>
      <c r="P41" s="27" t="str">
        <f>"－"</f>
        <v>－</v>
      </c>
      <c r="Q41" s="28" t="str">
        <f>"－"</f>
        <v>－</v>
      </c>
      <c r="R41" s="29" t="str">
        <f>"－"</f>
        <v>－</v>
      </c>
      <c r="S41" s="24"/>
      <c r="T41" s="25" t="n">
        <f>2020</f>
        <v>2020.0</v>
      </c>
      <c r="U41" s="23"/>
      <c r="V41" s="25" t="n">
        <f>1190</f>
        <v>1190.0</v>
      </c>
      <c r="W41" s="23"/>
      <c r="X41" s="26" t="n">
        <f>3210</f>
        <v>3210.0</v>
      </c>
      <c r="Y41" s="24"/>
      <c r="Z41" s="25" t="n">
        <f>21878</f>
        <v>21878.0</v>
      </c>
      <c r="AA41" s="23"/>
      <c r="AB41" s="25" t="n">
        <f>18322</f>
        <v>18322.0</v>
      </c>
      <c r="AC41" s="23"/>
      <c r="AD41" s="26" t="n">
        <f>40200</f>
        <v>40200.0</v>
      </c>
    </row>
    <row r="42">
      <c r="A42" s="30" t="s">
        <v>29</v>
      </c>
      <c r="B42" s="22" t="s">
        <v>61</v>
      </c>
      <c r="C42" s="22" t="s">
        <v>62</v>
      </c>
      <c r="D42" s="24"/>
      <c r="E42" s="25" t="n">
        <f>25587</f>
        <v>25587.0</v>
      </c>
      <c r="F42" s="23"/>
      <c r="G42" s="25" t="n">
        <f>24534</f>
        <v>24534.0</v>
      </c>
      <c r="H42" s="23"/>
      <c r="I42" s="26" t="n">
        <f>50121</f>
        <v>50121.0</v>
      </c>
      <c r="J42" s="24"/>
      <c r="K42" s="25" t="n">
        <f>377083610</f>
        <v>3.7708361E8</v>
      </c>
      <c r="L42" s="23"/>
      <c r="M42" s="25" t="n">
        <f>252425420</f>
        <v>2.5242542E8</v>
      </c>
      <c r="N42" s="23"/>
      <c r="O42" s="26" t="n">
        <f>629509030</f>
        <v>6.2950903E8</v>
      </c>
      <c r="P42" s="27" t="str">
        <f>"－"</f>
        <v>－</v>
      </c>
      <c r="Q42" s="28" t="str">
        <f>"－"</f>
        <v>－</v>
      </c>
      <c r="R42" s="29" t="str">
        <f>"－"</f>
        <v>－</v>
      </c>
      <c r="S42" s="24"/>
      <c r="T42" s="25" t="n">
        <f>2620</f>
        <v>2620.0</v>
      </c>
      <c r="U42" s="23"/>
      <c r="V42" s="25" t="n">
        <f>2980</f>
        <v>2980.0</v>
      </c>
      <c r="W42" s="23"/>
      <c r="X42" s="26" t="n">
        <f>5600</f>
        <v>5600.0</v>
      </c>
      <c r="Y42" s="24"/>
      <c r="Z42" s="25" t="n">
        <f>25417</f>
        <v>25417.0</v>
      </c>
      <c r="AA42" s="23"/>
      <c r="AB42" s="25" t="n">
        <f>25903</f>
        <v>25903.0</v>
      </c>
      <c r="AC42" s="23"/>
      <c r="AD42" s="26" t="n">
        <f>51320</f>
        <v>51320.0</v>
      </c>
    </row>
    <row r="43">
      <c r="A43" s="30" t="s">
        <v>30</v>
      </c>
      <c r="B43" s="22" t="s">
        <v>61</v>
      </c>
      <c r="C43" s="22" t="s">
        <v>62</v>
      </c>
      <c r="D43" s="24" t="s">
        <v>35</v>
      </c>
      <c r="E43" s="25" t="n">
        <f>44038</f>
        <v>44038.0</v>
      </c>
      <c r="F43" s="23"/>
      <c r="G43" s="25" t="n">
        <f>37108</f>
        <v>37108.0</v>
      </c>
      <c r="H43" s="23" t="s">
        <v>35</v>
      </c>
      <c r="I43" s="26" t="n">
        <f>81146</f>
        <v>81146.0</v>
      </c>
      <c r="J43" s="24"/>
      <c r="K43" s="25" t="n">
        <f>336571600</f>
        <v>3.365716E8</v>
      </c>
      <c r="L43" s="23"/>
      <c r="M43" s="25" t="n">
        <f>411505780</f>
        <v>4.1150578E8</v>
      </c>
      <c r="N43" s="23"/>
      <c r="O43" s="26" t="n">
        <f>748077380</f>
        <v>7.4807738E8</v>
      </c>
      <c r="P43" s="27" t="str">
        <f>"－"</f>
        <v>－</v>
      </c>
      <c r="Q43" s="28" t="str">
        <f>"－"</f>
        <v>－</v>
      </c>
      <c r="R43" s="29" t="str">
        <f>"－"</f>
        <v>－</v>
      </c>
      <c r="S43" s="24"/>
      <c r="T43" s="25" t="n">
        <f>3190</f>
        <v>3190.0</v>
      </c>
      <c r="U43" s="23"/>
      <c r="V43" s="25" t="n">
        <f>5510</f>
        <v>5510.0</v>
      </c>
      <c r="W43" s="23"/>
      <c r="X43" s="26" t="n">
        <f>8700</f>
        <v>8700.0</v>
      </c>
      <c r="Y43" s="24" t="s">
        <v>35</v>
      </c>
      <c r="Z43" s="25" t="n">
        <f>42675</f>
        <v>42675.0</v>
      </c>
      <c r="AA43" s="23"/>
      <c r="AB43" s="25" t="n">
        <f>39174</f>
        <v>39174.0</v>
      </c>
      <c r="AC43" s="23"/>
      <c r="AD43" s="26" t="n">
        <f>81849</f>
        <v>81849.0</v>
      </c>
    </row>
    <row r="44">
      <c r="A44" s="30" t="s">
        <v>31</v>
      </c>
      <c r="B44" s="22" t="s">
        <v>61</v>
      </c>
      <c r="C44" s="22" t="s">
        <v>62</v>
      </c>
      <c r="D44" s="24" t="s">
        <v>37</v>
      </c>
      <c r="E44" s="25" t="n">
        <f>8174</f>
        <v>8174.0</v>
      </c>
      <c r="F44" s="23" t="s">
        <v>37</v>
      </c>
      <c r="G44" s="25" t="n">
        <f>6782</f>
        <v>6782.0</v>
      </c>
      <c r="H44" s="23" t="s">
        <v>37</v>
      </c>
      <c r="I44" s="26" t="n">
        <f>14956</f>
        <v>14956.0</v>
      </c>
      <c r="J44" s="24"/>
      <c r="K44" s="25" t="n">
        <f>230333550</f>
        <v>2.3033355E8</v>
      </c>
      <c r="L44" s="23" t="s">
        <v>37</v>
      </c>
      <c r="M44" s="25" t="n">
        <f>171393410</f>
        <v>1.7139341E8</v>
      </c>
      <c r="N44" s="23"/>
      <c r="O44" s="26" t="n">
        <f>401726960</f>
        <v>4.0172696E8</v>
      </c>
      <c r="P44" s="27" t="n">
        <f>480</f>
        <v>480.0</v>
      </c>
      <c r="Q44" s="28" t="n">
        <f>688</f>
        <v>688.0</v>
      </c>
      <c r="R44" s="29" t="n">
        <f>1168</f>
        <v>1168.0</v>
      </c>
      <c r="S44" s="24" t="s">
        <v>37</v>
      </c>
      <c r="T44" s="25" t="n">
        <f>70</f>
        <v>70.0</v>
      </c>
      <c r="U44" s="23" t="s">
        <v>37</v>
      </c>
      <c r="V44" s="25" t="n">
        <f>160</f>
        <v>160.0</v>
      </c>
      <c r="W44" s="23" t="s">
        <v>37</v>
      </c>
      <c r="X44" s="26" t="n">
        <f>230</f>
        <v>230.0</v>
      </c>
      <c r="Y44" s="24"/>
      <c r="Z44" s="25" t="n">
        <f>15379</f>
        <v>15379.0</v>
      </c>
      <c r="AA44" s="23" t="s">
        <v>37</v>
      </c>
      <c r="AB44" s="25" t="n">
        <f>10722</f>
        <v>10722.0</v>
      </c>
      <c r="AC44" s="23" t="s">
        <v>37</v>
      </c>
      <c r="AD44" s="26" t="n">
        <f>26101</f>
        <v>26101.0</v>
      </c>
    </row>
    <row r="45">
      <c r="A45" s="30" t="s">
        <v>32</v>
      </c>
      <c r="B45" s="22" t="s">
        <v>61</v>
      </c>
      <c r="C45" s="22" t="s">
        <v>62</v>
      </c>
      <c r="D45" s="24"/>
      <c r="E45" s="25"/>
      <c r="F45" s="23"/>
      <c r="G45" s="25"/>
      <c r="H45" s="23"/>
      <c r="I45" s="26"/>
      <c r="J45" s="24"/>
      <c r="K45" s="25"/>
      <c r="L45" s="23"/>
      <c r="M45" s="25"/>
      <c r="N45" s="23"/>
      <c r="O45" s="26"/>
      <c r="P45" s="27"/>
      <c r="Q45" s="28"/>
      <c r="R45" s="29"/>
      <c r="S45" s="24"/>
      <c r="T45" s="25"/>
      <c r="U45" s="23"/>
      <c r="V45" s="25"/>
      <c r="W45" s="23"/>
      <c r="X45" s="26"/>
      <c r="Y45" s="24"/>
      <c r="Z45" s="25"/>
      <c r="AA45" s="23"/>
      <c r="AB45" s="25"/>
      <c r="AC45" s="23"/>
      <c r="AD45" s="26"/>
    </row>
    <row r="46">
      <c r="A46" s="30" t="s">
        <v>33</v>
      </c>
      <c r="B46" s="22" t="s">
        <v>61</v>
      </c>
      <c r="C46" s="22" t="s">
        <v>62</v>
      </c>
      <c r="D46" s="24"/>
      <c r="E46" s="25"/>
      <c r="F46" s="23"/>
      <c r="G46" s="25"/>
      <c r="H46" s="23"/>
      <c r="I46" s="26"/>
      <c r="J46" s="24"/>
      <c r="K46" s="25"/>
      <c r="L46" s="23"/>
      <c r="M46" s="25"/>
      <c r="N46" s="23"/>
      <c r="O46" s="26"/>
      <c r="P46" s="27"/>
      <c r="Q46" s="28"/>
      <c r="R46" s="29"/>
      <c r="S46" s="24"/>
      <c r="T46" s="25"/>
      <c r="U46" s="23"/>
      <c r="V46" s="25"/>
      <c r="W46" s="23"/>
      <c r="X46" s="26"/>
      <c r="Y46" s="24"/>
      <c r="Z46" s="25"/>
      <c r="AA46" s="23"/>
      <c r="AB46" s="25"/>
      <c r="AC46" s="23"/>
      <c r="AD46" s="26"/>
    </row>
    <row r="47">
      <c r="A47" s="30" t="s">
        <v>34</v>
      </c>
      <c r="B47" s="22" t="s">
        <v>61</v>
      </c>
      <c r="C47" s="22" t="s">
        <v>62</v>
      </c>
      <c r="D47" s="24"/>
      <c r="E47" s="25" t="n">
        <f>13739</f>
        <v>13739.0</v>
      </c>
      <c r="F47" s="23"/>
      <c r="G47" s="25" t="n">
        <f>12983</f>
        <v>12983.0</v>
      </c>
      <c r="H47" s="23"/>
      <c r="I47" s="26" t="n">
        <f>26722</f>
        <v>26722.0</v>
      </c>
      <c r="J47" s="24"/>
      <c r="K47" s="25" t="n">
        <f>254080310</f>
        <v>2.5408031E8</v>
      </c>
      <c r="L47" s="23"/>
      <c r="M47" s="25" t="n">
        <f>384338440</f>
        <v>3.8433844E8</v>
      </c>
      <c r="N47" s="23"/>
      <c r="O47" s="26" t="n">
        <f>638418750</f>
        <v>6.3841875E8</v>
      </c>
      <c r="P47" s="27" t="str">
        <f>"－"</f>
        <v>－</v>
      </c>
      <c r="Q47" s="28" t="str">
        <f>"－"</f>
        <v>－</v>
      </c>
      <c r="R47" s="29" t="str">
        <f>"－"</f>
        <v>－</v>
      </c>
      <c r="S47" s="24"/>
      <c r="T47" s="25" t="n">
        <f>480</f>
        <v>480.0</v>
      </c>
      <c r="U47" s="23"/>
      <c r="V47" s="25" t="n">
        <f>350</f>
        <v>350.0</v>
      </c>
      <c r="W47" s="23"/>
      <c r="X47" s="26" t="n">
        <f>830</f>
        <v>830.0</v>
      </c>
      <c r="Y47" s="24"/>
      <c r="Z47" s="25" t="n">
        <f>17644</f>
        <v>17644.0</v>
      </c>
      <c r="AA47" s="23"/>
      <c r="AB47" s="25" t="n">
        <f>11857</f>
        <v>11857.0</v>
      </c>
      <c r="AC47" s="23"/>
      <c r="AD47" s="26" t="n">
        <f>29501</f>
        <v>29501.0</v>
      </c>
    </row>
    <row r="48">
      <c r="A48" s="30" t="s">
        <v>36</v>
      </c>
      <c r="B48" s="22" t="s">
        <v>61</v>
      </c>
      <c r="C48" s="22" t="s">
        <v>62</v>
      </c>
      <c r="D48" s="24"/>
      <c r="E48" s="25" t="n">
        <f>10069</f>
        <v>10069.0</v>
      </c>
      <c r="F48" s="23"/>
      <c r="G48" s="25" t="n">
        <f>9324</f>
        <v>9324.0</v>
      </c>
      <c r="H48" s="23"/>
      <c r="I48" s="26" t="n">
        <f>19393</f>
        <v>19393.0</v>
      </c>
      <c r="J48" s="24"/>
      <c r="K48" s="25" t="n">
        <f>206587770</f>
        <v>2.0658777E8</v>
      </c>
      <c r="L48" s="23"/>
      <c r="M48" s="25" t="n">
        <f>173364360</f>
        <v>1.7336436E8</v>
      </c>
      <c r="N48" s="23" t="s">
        <v>37</v>
      </c>
      <c r="O48" s="26" t="n">
        <f>379952130</f>
        <v>3.7995213E8</v>
      </c>
      <c r="P48" s="27" t="str">
        <f>"－"</f>
        <v>－</v>
      </c>
      <c r="Q48" s="28" t="str">
        <f>"－"</f>
        <v>－</v>
      </c>
      <c r="R48" s="29" t="str">
        <f>"－"</f>
        <v>－</v>
      </c>
      <c r="S48" s="24"/>
      <c r="T48" s="25" t="n">
        <f>270</f>
        <v>270.0</v>
      </c>
      <c r="U48" s="23"/>
      <c r="V48" s="25" t="n">
        <f>200</f>
        <v>200.0</v>
      </c>
      <c r="W48" s="23"/>
      <c r="X48" s="26" t="n">
        <f>470</f>
        <v>470.0</v>
      </c>
      <c r="Y48" s="24"/>
      <c r="Z48" s="25" t="n">
        <f>16825</f>
        <v>16825.0</v>
      </c>
      <c r="AA48" s="23"/>
      <c r="AB48" s="25" t="n">
        <f>12737</f>
        <v>12737.0</v>
      </c>
      <c r="AC48" s="23"/>
      <c r="AD48" s="26" t="n">
        <f>29562</f>
        <v>29562.0</v>
      </c>
    </row>
    <row r="49">
      <c r="A49" s="30" t="s">
        <v>38</v>
      </c>
      <c r="B49" s="22" t="s">
        <v>61</v>
      </c>
      <c r="C49" s="22" t="s">
        <v>62</v>
      </c>
      <c r="D49" s="24"/>
      <c r="E49" s="25" t="n">
        <f>11338</f>
        <v>11338.0</v>
      </c>
      <c r="F49" s="23"/>
      <c r="G49" s="25" t="n">
        <f>12225</f>
        <v>12225.0</v>
      </c>
      <c r="H49" s="23"/>
      <c r="I49" s="26" t="n">
        <f>23563</f>
        <v>23563.0</v>
      </c>
      <c r="J49" s="24" t="s">
        <v>37</v>
      </c>
      <c r="K49" s="25" t="n">
        <f>150352180</f>
        <v>1.5035218E8</v>
      </c>
      <c r="L49" s="23"/>
      <c r="M49" s="25" t="n">
        <f>290687420</f>
        <v>2.9068742E8</v>
      </c>
      <c r="N49" s="23"/>
      <c r="O49" s="26" t="n">
        <f>441039600</f>
        <v>4.410396E8</v>
      </c>
      <c r="P49" s="27" t="str">
        <f>"－"</f>
        <v>－</v>
      </c>
      <c r="Q49" s="28" t="str">
        <f>"－"</f>
        <v>－</v>
      </c>
      <c r="R49" s="29" t="str">
        <f>"－"</f>
        <v>－</v>
      </c>
      <c r="S49" s="24"/>
      <c r="T49" s="25" t="n">
        <f>360</f>
        <v>360.0</v>
      </c>
      <c r="U49" s="23"/>
      <c r="V49" s="25" t="n">
        <f>350</f>
        <v>350.0</v>
      </c>
      <c r="W49" s="23"/>
      <c r="X49" s="26" t="n">
        <f>710</f>
        <v>710.0</v>
      </c>
      <c r="Y49" s="24"/>
      <c r="Z49" s="25" t="n">
        <f>17980</f>
        <v>17980.0</v>
      </c>
      <c r="AA49" s="23"/>
      <c r="AB49" s="25" t="n">
        <f>13949</f>
        <v>13949.0</v>
      </c>
      <c r="AC49" s="23"/>
      <c r="AD49" s="26" t="n">
        <f>31929</f>
        <v>31929.0</v>
      </c>
    </row>
    <row r="50">
      <c r="A50" s="30" t="s">
        <v>39</v>
      </c>
      <c r="B50" s="22" t="s">
        <v>61</v>
      </c>
      <c r="C50" s="22" t="s">
        <v>62</v>
      </c>
      <c r="D50" s="24"/>
      <c r="E50" s="25" t="n">
        <f>16471</f>
        <v>16471.0</v>
      </c>
      <c r="F50" s="23"/>
      <c r="G50" s="25" t="n">
        <f>15374</f>
        <v>15374.0</v>
      </c>
      <c r="H50" s="23"/>
      <c r="I50" s="26" t="n">
        <f>31845</f>
        <v>31845.0</v>
      </c>
      <c r="J50" s="24"/>
      <c r="K50" s="25" t="n">
        <f>221506890</f>
        <v>2.2150689E8</v>
      </c>
      <c r="L50" s="23"/>
      <c r="M50" s="25" t="n">
        <f>261352690</f>
        <v>2.6135269E8</v>
      </c>
      <c r="N50" s="23"/>
      <c r="O50" s="26" t="n">
        <f>482859580</f>
        <v>4.8285958E8</v>
      </c>
      <c r="P50" s="27" t="str">
        <f>"－"</f>
        <v>－</v>
      </c>
      <c r="Q50" s="28" t="str">
        <f>"－"</f>
        <v>－</v>
      </c>
      <c r="R50" s="29" t="str">
        <f>"－"</f>
        <v>－</v>
      </c>
      <c r="S50" s="24"/>
      <c r="T50" s="25" t="n">
        <f>1220</f>
        <v>1220.0</v>
      </c>
      <c r="U50" s="23"/>
      <c r="V50" s="25" t="n">
        <f>570</f>
        <v>570.0</v>
      </c>
      <c r="W50" s="23"/>
      <c r="X50" s="26" t="n">
        <f>1790</f>
        <v>1790.0</v>
      </c>
      <c r="Y50" s="24"/>
      <c r="Z50" s="25" t="n">
        <f>21277</f>
        <v>21277.0</v>
      </c>
      <c r="AA50" s="23"/>
      <c r="AB50" s="25" t="n">
        <f>17077</f>
        <v>17077.0</v>
      </c>
      <c r="AC50" s="23"/>
      <c r="AD50" s="26" t="n">
        <f>38354</f>
        <v>38354.0</v>
      </c>
    </row>
    <row r="51">
      <c r="A51" s="30" t="s">
        <v>40</v>
      </c>
      <c r="B51" s="22" t="s">
        <v>61</v>
      </c>
      <c r="C51" s="22" t="s">
        <v>62</v>
      </c>
      <c r="D51" s="24"/>
      <c r="E51" s="25" t="n">
        <f>14355</f>
        <v>14355.0</v>
      </c>
      <c r="F51" s="23"/>
      <c r="G51" s="25" t="n">
        <f>12304</f>
        <v>12304.0</v>
      </c>
      <c r="H51" s="23"/>
      <c r="I51" s="26" t="n">
        <f>26659</f>
        <v>26659.0</v>
      </c>
      <c r="J51" s="24"/>
      <c r="K51" s="25" t="n">
        <f>209378050</f>
        <v>2.0937805E8</v>
      </c>
      <c r="L51" s="23"/>
      <c r="M51" s="25" t="n">
        <f>333461000</f>
        <v>3.33461E8</v>
      </c>
      <c r="N51" s="23"/>
      <c r="O51" s="26" t="n">
        <f>542839050</f>
        <v>5.4283905E8</v>
      </c>
      <c r="P51" s="27" t="n">
        <f>236</f>
        <v>236.0</v>
      </c>
      <c r="Q51" s="28" t="n">
        <f>4403</f>
        <v>4403.0</v>
      </c>
      <c r="R51" s="29" t="n">
        <f>4639</f>
        <v>4639.0</v>
      </c>
      <c r="S51" s="24"/>
      <c r="T51" s="25" t="n">
        <f>450</f>
        <v>450.0</v>
      </c>
      <c r="U51" s="23"/>
      <c r="V51" s="25" t="n">
        <f>400</f>
        <v>400.0</v>
      </c>
      <c r="W51" s="23"/>
      <c r="X51" s="26" t="n">
        <f>850</f>
        <v>850.0</v>
      </c>
      <c r="Y51" s="24" t="s">
        <v>37</v>
      </c>
      <c r="Z51" s="25" t="n">
        <f>14471</f>
        <v>14471.0</v>
      </c>
      <c r="AA51" s="23"/>
      <c r="AB51" s="25" t="n">
        <f>12897</f>
        <v>12897.0</v>
      </c>
      <c r="AC51" s="23"/>
      <c r="AD51" s="26" t="n">
        <f>27368</f>
        <v>27368.0</v>
      </c>
    </row>
    <row r="52">
      <c r="A52" s="30" t="s">
        <v>41</v>
      </c>
      <c r="B52" s="22" t="s">
        <v>61</v>
      </c>
      <c r="C52" s="22" t="s">
        <v>62</v>
      </c>
      <c r="D52" s="24"/>
      <c r="E52" s="25"/>
      <c r="F52" s="23"/>
      <c r="G52" s="25"/>
      <c r="H52" s="23"/>
      <c r="I52" s="26"/>
      <c r="J52" s="24"/>
      <c r="K52" s="25"/>
      <c r="L52" s="23"/>
      <c r="M52" s="25"/>
      <c r="N52" s="23"/>
      <c r="O52" s="26"/>
      <c r="P52" s="27"/>
      <c r="Q52" s="28"/>
      <c r="R52" s="29"/>
      <c r="S52" s="24"/>
      <c r="T52" s="25"/>
      <c r="U52" s="23"/>
      <c r="V52" s="25"/>
      <c r="W52" s="23"/>
      <c r="X52" s="26"/>
      <c r="Y52" s="24"/>
      <c r="Z52" s="25"/>
      <c r="AA52" s="23"/>
      <c r="AB52" s="25"/>
      <c r="AC52" s="23"/>
      <c r="AD52" s="26"/>
    </row>
    <row r="53">
      <c r="A53" s="30" t="s">
        <v>42</v>
      </c>
      <c r="B53" s="22" t="s">
        <v>61</v>
      </c>
      <c r="C53" s="22" t="s">
        <v>62</v>
      </c>
      <c r="D53" s="24"/>
      <c r="E53" s="25"/>
      <c r="F53" s="23"/>
      <c r="G53" s="25"/>
      <c r="H53" s="23"/>
      <c r="I53" s="26"/>
      <c r="J53" s="24"/>
      <c r="K53" s="25"/>
      <c r="L53" s="23"/>
      <c r="M53" s="25"/>
      <c r="N53" s="23"/>
      <c r="O53" s="26"/>
      <c r="P53" s="27"/>
      <c r="Q53" s="28"/>
      <c r="R53" s="29"/>
      <c r="S53" s="24"/>
      <c r="T53" s="25"/>
      <c r="U53" s="23"/>
      <c r="V53" s="25"/>
      <c r="W53" s="23"/>
      <c r="X53" s="26"/>
      <c r="Y53" s="24"/>
      <c r="Z53" s="25"/>
      <c r="AA53" s="23"/>
      <c r="AB53" s="25"/>
      <c r="AC53" s="23"/>
      <c r="AD53" s="26"/>
    </row>
    <row r="54">
      <c r="A54" s="30" t="s">
        <v>43</v>
      </c>
      <c r="B54" s="22" t="s">
        <v>61</v>
      </c>
      <c r="C54" s="22" t="s">
        <v>62</v>
      </c>
      <c r="D54" s="24"/>
      <c r="E54" s="25"/>
      <c r="F54" s="23"/>
      <c r="G54" s="25"/>
      <c r="H54" s="23"/>
      <c r="I54" s="26"/>
      <c r="J54" s="24"/>
      <c r="K54" s="25"/>
      <c r="L54" s="23"/>
      <c r="M54" s="25"/>
      <c r="N54" s="23"/>
      <c r="O54" s="26"/>
      <c r="P54" s="27"/>
      <c r="Q54" s="28"/>
      <c r="R54" s="29"/>
      <c r="S54" s="24"/>
      <c r="T54" s="25"/>
      <c r="U54" s="23"/>
      <c r="V54" s="25"/>
      <c r="W54" s="23"/>
      <c r="X54" s="26"/>
      <c r="Y54" s="24"/>
      <c r="Z54" s="25"/>
      <c r="AA54" s="23"/>
      <c r="AB54" s="25"/>
      <c r="AC54" s="23"/>
      <c r="AD54" s="26"/>
    </row>
    <row r="55">
      <c r="A55" s="30" t="s">
        <v>44</v>
      </c>
      <c r="B55" s="22" t="s">
        <v>61</v>
      </c>
      <c r="C55" s="22" t="s">
        <v>62</v>
      </c>
      <c r="D55" s="24"/>
      <c r="E55" s="25" t="n">
        <f>30553</f>
        <v>30553.0</v>
      </c>
      <c r="F55" s="23"/>
      <c r="G55" s="25" t="n">
        <f>28590</f>
        <v>28590.0</v>
      </c>
      <c r="H55" s="23"/>
      <c r="I55" s="26" t="n">
        <f>59143</f>
        <v>59143.0</v>
      </c>
      <c r="J55" s="24"/>
      <c r="K55" s="25" t="n">
        <f>463679320</f>
        <v>4.6367932E8</v>
      </c>
      <c r="L55" s="23" t="s">
        <v>35</v>
      </c>
      <c r="M55" s="25" t="n">
        <f>582560870</f>
        <v>5.8256087E8</v>
      </c>
      <c r="N55" s="23" t="s">
        <v>35</v>
      </c>
      <c r="O55" s="26" t="n">
        <f>1046240190</f>
        <v>1.04624019E9</v>
      </c>
      <c r="P55" s="27" t="str">
        <f>"－"</f>
        <v>－</v>
      </c>
      <c r="Q55" s="28" t="str">
        <f>"－"</f>
        <v>－</v>
      </c>
      <c r="R55" s="29" t="str">
        <f>"－"</f>
        <v>－</v>
      </c>
      <c r="S55" s="24"/>
      <c r="T55" s="25" t="n">
        <f>2670</f>
        <v>2670.0</v>
      </c>
      <c r="U55" s="23"/>
      <c r="V55" s="25" t="n">
        <f>2080</f>
        <v>2080.0</v>
      </c>
      <c r="W55" s="23"/>
      <c r="X55" s="26" t="n">
        <f>4750</f>
        <v>4750.0</v>
      </c>
      <c r="Y55" s="24"/>
      <c r="Z55" s="25" t="n">
        <f>22239</f>
        <v>22239.0</v>
      </c>
      <c r="AA55" s="23"/>
      <c r="AB55" s="25" t="n">
        <f>21980</f>
        <v>21980.0</v>
      </c>
      <c r="AC55" s="23"/>
      <c r="AD55" s="26" t="n">
        <f>44219</f>
        <v>44219.0</v>
      </c>
    </row>
    <row r="56">
      <c r="A56" s="30" t="s">
        <v>45</v>
      </c>
      <c r="B56" s="22" t="s">
        <v>61</v>
      </c>
      <c r="C56" s="22" t="s">
        <v>62</v>
      </c>
      <c r="D56" s="24"/>
      <c r="E56" s="25" t="n">
        <f>25425</f>
        <v>25425.0</v>
      </c>
      <c r="F56" s="23"/>
      <c r="G56" s="25" t="n">
        <f>20890</f>
        <v>20890.0</v>
      </c>
      <c r="H56" s="23"/>
      <c r="I56" s="26" t="n">
        <f>46315</f>
        <v>46315.0</v>
      </c>
      <c r="J56" s="24"/>
      <c r="K56" s="25" t="n">
        <f>370103930</f>
        <v>3.7010393E8</v>
      </c>
      <c r="L56" s="23"/>
      <c r="M56" s="25" t="n">
        <f>265452410</f>
        <v>2.6545241E8</v>
      </c>
      <c r="N56" s="23"/>
      <c r="O56" s="26" t="n">
        <f>635556340</f>
        <v>6.3555634E8</v>
      </c>
      <c r="P56" s="27" t="str">
        <f>"－"</f>
        <v>－</v>
      </c>
      <c r="Q56" s="28" t="str">
        <f>"－"</f>
        <v>－</v>
      </c>
      <c r="R56" s="29" t="str">
        <f>"－"</f>
        <v>－</v>
      </c>
      <c r="S56" s="24"/>
      <c r="T56" s="25" t="n">
        <f>1500</f>
        <v>1500.0</v>
      </c>
      <c r="U56" s="23"/>
      <c r="V56" s="25" t="n">
        <f>1090</f>
        <v>1090.0</v>
      </c>
      <c r="W56" s="23"/>
      <c r="X56" s="26" t="n">
        <f>2590</f>
        <v>2590.0</v>
      </c>
      <c r="Y56" s="24"/>
      <c r="Z56" s="25" t="n">
        <f>29634</f>
        <v>29634.0</v>
      </c>
      <c r="AA56" s="23"/>
      <c r="AB56" s="25" t="n">
        <f>26173</f>
        <v>26173.0</v>
      </c>
      <c r="AC56" s="23"/>
      <c r="AD56" s="26" t="n">
        <f>55807</f>
        <v>55807.0</v>
      </c>
    </row>
    <row r="57">
      <c r="A57" s="30" t="s">
        <v>46</v>
      </c>
      <c r="B57" s="22" t="s">
        <v>61</v>
      </c>
      <c r="C57" s="22" t="s">
        <v>62</v>
      </c>
      <c r="D57" s="24"/>
      <c r="E57" s="25" t="n">
        <f>29594</f>
        <v>29594.0</v>
      </c>
      <c r="F57" s="23"/>
      <c r="G57" s="25" t="n">
        <f>26236</f>
        <v>26236.0</v>
      </c>
      <c r="H57" s="23"/>
      <c r="I57" s="26" t="n">
        <f>55830</f>
        <v>55830.0</v>
      </c>
      <c r="J57" s="24"/>
      <c r="K57" s="25" t="n">
        <f>350811950</f>
        <v>3.5081195E8</v>
      </c>
      <c r="L57" s="23"/>
      <c r="M57" s="25" t="n">
        <f>247776180</f>
        <v>2.4777618E8</v>
      </c>
      <c r="N57" s="23"/>
      <c r="O57" s="26" t="n">
        <f>598588130</f>
        <v>5.9858813E8</v>
      </c>
      <c r="P57" s="27" t="str">
        <f>"－"</f>
        <v>－</v>
      </c>
      <c r="Q57" s="28" t="str">
        <f>"－"</f>
        <v>－</v>
      </c>
      <c r="R57" s="29" t="str">
        <f>"－"</f>
        <v>－</v>
      </c>
      <c r="S57" s="24"/>
      <c r="T57" s="25" t="n">
        <f>3418</f>
        <v>3418.0</v>
      </c>
      <c r="U57" s="23"/>
      <c r="V57" s="25" t="n">
        <f>1320</f>
        <v>1320.0</v>
      </c>
      <c r="W57" s="23"/>
      <c r="X57" s="26" t="n">
        <f>4738</f>
        <v>4738.0</v>
      </c>
      <c r="Y57" s="24"/>
      <c r="Z57" s="25" t="n">
        <f>36289</f>
        <v>36289.0</v>
      </c>
      <c r="AA57" s="23"/>
      <c r="AB57" s="25" t="n">
        <f>33107</f>
        <v>33107.0</v>
      </c>
      <c r="AC57" s="23"/>
      <c r="AD57" s="26" t="n">
        <f>69396</f>
        <v>69396.0</v>
      </c>
    </row>
    <row r="58">
      <c r="A58" s="30" t="s">
        <v>47</v>
      </c>
      <c r="B58" s="22" t="s">
        <v>61</v>
      </c>
      <c r="C58" s="22" t="s">
        <v>62</v>
      </c>
      <c r="D58" s="24"/>
      <c r="E58" s="25" t="n">
        <f>20972</f>
        <v>20972.0</v>
      </c>
      <c r="F58" s="23"/>
      <c r="G58" s="25" t="n">
        <f>19861</f>
        <v>19861.0</v>
      </c>
      <c r="H58" s="23"/>
      <c r="I58" s="26" t="n">
        <f>40833</f>
        <v>40833.0</v>
      </c>
      <c r="J58" s="24"/>
      <c r="K58" s="25" t="n">
        <f>359519220</f>
        <v>3.5951922E8</v>
      </c>
      <c r="L58" s="23"/>
      <c r="M58" s="25" t="n">
        <f>388157600</f>
        <v>3.881576E8</v>
      </c>
      <c r="N58" s="23"/>
      <c r="O58" s="26" t="n">
        <f>747676820</f>
        <v>7.4767682E8</v>
      </c>
      <c r="P58" s="27" t="n">
        <f>1889</f>
        <v>1889.0</v>
      </c>
      <c r="Q58" s="28" t="n">
        <f>670</f>
        <v>670.0</v>
      </c>
      <c r="R58" s="29" t="n">
        <f>2559</f>
        <v>2559.0</v>
      </c>
      <c r="S58" s="24"/>
      <c r="T58" s="25" t="n">
        <f>2280</f>
        <v>2280.0</v>
      </c>
      <c r="U58" s="23"/>
      <c r="V58" s="25" t="n">
        <f>3710</f>
        <v>3710.0</v>
      </c>
      <c r="W58" s="23"/>
      <c r="X58" s="26" t="n">
        <f>5990</f>
        <v>5990.0</v>
      </c>
      <c r="Y58" s="24"/>
      <c r="Z58" s="25" t="n">
        <f>22338</f>
        <v>22338.0</v>
      </c>
      <c r="AA58" s="23"/>
      <c r="AB58" s="25" t="n">
        <f>28146</f>
        <v>28146.0</v>
      </c>
      <c r="AC58" s="23"/>
      <c r="AD58" s="26" t="n">
        <f>50484</f>
        <v>50484.0</v>
      </c>
    </row>
    <row r="59">
      <c r="A59" s="30" t="s">
        <v>48</v>
      </c>
      <c r="B59" s="22" t="s">
        <v>61</v>
      </c>
      <c r="C59" s="22" t="s">
        <v>62</v>
      </c>
      <c r="D59" s="24"/>
      <c r="E59" s="25"/>
      <c r="F59" s="23"/>
      <c r="G59" s="25"/>
      <c r="H59" s="23"/>
      <c r="I59" s="26"/>
      <c r="J59" s="24"/>
      <c r="K59" s="25"/>
      <c r="L59" s="23"/>
      <c r="M59" s="25"/>
      <c r="N59" s="23"/>
      <c r="O59" s="26"/>
      <c r="P59" s="27"/>
      <c r="Q59" s="28"/>
      <c r="R59" s="29"/>
      <c r="S59" s="24"/>
      <c r="T59" s="25"/>
      <c r="U59" s="23"/>
      <c r="V59" s="25"/>
      <c r="W59" s="23"/>
      <c r="X59" s="26"/>
      <c r="Y59" s="24"/>
      <c r="Z59" s="25"/>
      <c r="AA59" s="23"/>
      <c r="AB59" s="25"/>
      <c r="AC59" s="23"/>
      <c r="AD59" s="26"/>
    </row>
    <row r="60">
      <c r="A60" s="30" t="s">
        <v>49</v>
      </c>
      <c r="B60" s="22" t="s">
        <v>61</v>
      </c>
      <c r="C60" s="22" t="s">
        <v>62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50</v>
      </c>
      <c r="B61" s="22" t="s">
        <v>61</v>
      </c>
      <c r="C61" s="22" t="s">
        <v>62</v>
      </c>
      <c r="D61" s="24"/>
      <c r="E61" s="25" t="n">
        <f>15456</f>
        <v>15456.0</v>
      </c>
      <c r="F61" s="23"/>
      <c r="G61" s="25" t="n">
        <f>13091</f>
        <v>13091.0</v>
      </c>
      <c r="H61" s="23"/>
      <c r="I61" s="26" t="n">
        <f>28547</f>
        <v>28547.0</v>
      </c>
      <c r="J61" s="24"/>
      <c r="K61" s="25" t="n">
        <f>257641170</f>
        <v>2.5764117E8</v>
      </c>
      <c r="L61" s="23"/>
      <c r="M61" s="25" t="n">
        <f>231203270</f>
        <v>2.3120327E8</v>
      </c>
      <c r="N61" s="23"/>
      <c r="O61" s="26" t="n">
        <f>488844440</f>
        <v>4.8884444E8</v>
      </c>
      <c r="P61" s="27" t="str">
        <f>"－"</f>
        <v>－</v>
      </c>
      <c r="Q61" s="28" t="str">
        <f>"－"</f>
        <v>－</v>
      </c>
      <c r="R61" s="29" t="str">
        <f>"－"</f>
        <v>－</v>
      </c>
      <c r="S61" s="24"/>
      <c r="T61" s="25" t="n">
        <f>870</f>
        <v>870.0</v>
      </c>
      <c r="U61" s="23"/>
      <c r="V61" s="25" t="n">
        <f>1440</f>
        <v>1440.0</v>
      </c>
      <c r="W61" s="23"/>
      <c r="X61" s="26" t="n">
        <f>2310</f>
        <v>2310.0</v>
      </c>
      <c r="Y61" s="24"/>
      <c r="Z61" s="25" t="n">
        <f>28339</f>
        <v>28339.0</v>
      </c>
      <c r="AA61" s="23"/>
      <c r="AB61" s="25" t="n">
        <f>33704</f>
        <v>33704.0</v>
      </c>
      <c r="AC61" s="23"/>
      <c r="AD61" s="26" t="n">
        <f>62043</f>
        <v>62043.0</v>
      </c>
    </row>
    <row r="62">
      <c r="A62" s="30" t="s">
        <v>51</v>
      </c>
      <c r="B62" s="22" t="s">
        <v>61</v>
      </c>
      <c r="C62" s="22" t="s">
        <v>62</v>
      </c>
      <c r="D62" s="24"/>
      <c r="E62" s="25" t="n">
        <f>16461</f>
        <v>16461.0</v>
      </c>
      <c r="F62" s="23"/>
      <c r="G62" s="25" t="n">
        <f>24071</f>
        <v>24071.0</v>
      </c>
      <c r="H62" s="23"/>
      <c r="I62" s="26" t="n">
        <f>40532</f>
        <v>40532.0</v>
      </c>
      <c r="J62" s="24"/>
      <c r="K62" s="25" t="n">
        <f>319432250</f>
        <v>3.1943225E8</v>
      </c>
      <c r="L62" s="23"/>
      <c r="M62" s="25" t="n">
        <f>242635140</f>
        <v>2.4263514E8</v>
      </c>
      <c r="N62" s="23"/>
      <c r="O62" s="26" t="n">
        <f>562067390</f>
        <v>5.6206739E8</v>
      </c>
      <c r="P62" s="27" t="str">
        <f>"－"</f>
        <v>－</v>
      </c>
      <c r="Q62" s="28" t="str">
        <f>"－"</f>
        <v>－</v>
      </c>
      <c r="R62" s="29" t="str">
        <f>"－"</f>
        <v>－</v>
      </c>
      <c r="S62" s="24"/>
      <c r="T62" s="25" t="n">
        <f>1530</f>
        <v>1530.0</v>
      </c>
      <c r="U62" s="23"/>
      <c r="V62" s="25" t="n">
        <f>4760</f>
        <v>4760.0</v>
      </c>
      <c r="W62" s="23"/>
      <c r="X62" s="26" t="n">
        <f>6290</f>
        <v>6290.0</v>
      </c>
      <c r="Y62" s="24"/>
      <c r="Z62" s="25" t="n">
        <f>31616</f>
        <v>31616.0</v>
      </c>
      <c r="AA62" s="23"/>
      <c r="AB62" s="25" t="n">
        <f>36819</f>
        <v>36819.0</v>
      </c>
      <c r="AC62" s="23"/>
      <c r="AD62" s="26" t="n">
        <f>68435</f>
        <v>68435.0</v>
      </c>
    </row>
    <row r="63">
      <c r="A63" s="30" t="s">
        <v>52</v>
      </c>
      <c r="B63" s="22" t="s">
        <v>61</v>
      </c>
      <c r="C63" s="22" t="s">
        <v>62</v>
      </c>
      <c r="D63" s="24"/>
      <c r="E63" s="25" t="n">
        <f>17578</f>
        <v>17578.0</v>
      </c>
      <c r="F63" s="23"/>
      <c r="G63" s="25" t="n">
        <f>27480</f>
        <v>27480.0</v>
      </c>
      <c r="H63" s="23"/>
      <c r="I63" s="26" t="n">
        <f>45058</f>
        <v>45058.0</v>
      </c>
      <c r="J63" s="24"/>
      <c r="K63" s="25" t="n">
        <f>381023510</f>
        <v>3.8102351E8</v>
      </c>
      <c r="L63" s="23"/>
      <c r="M63" s="25" t="n">
        <f>367875860</f>
        <v>3.6787586E8</v>
      </c>
      <c r="N63" s="23"/>
      <c r="O63" s="26" t="n">
        <f>748899370</f>
        <v>7.4889937E8</v>
      </c>
      <c r="P63" s="27" t="str">
        <f>"－"</f>
        <v>－</v>
      </c>
      <c r="Q63" s="28" t="str">
        <f>"－"</f>
        <v>－</v>
      </c>
      <c r="R63" s="29" t="str">
        <f>"－"</f>
        <v>－</v>
      </c>
      <c r="S63" s="24"/>
      <c r="T63" s="25" t="n">
        <f>1430</f>
        <v>1430.0</v>
      </c>
      <c r="U63" s="23"/>
      <c r="V63" s="25" t="n">
        <f>3980</f>
        <v>3980.0</v>
      </c>
      <c r="W63" s="23"/>
      <c r="X63" s="26" t="n">
        <f>5410</f>
        <v>5410.0</v>
      </c>
      <c r="Y63" s="24"/>
      <c r="Z63" s="25" t="n">
        <f>34875</f>
        <v>34875.0</v>
      </c>
      <c r="AA63" s="23"/>
      <c r="AB63" s="25" t="n">
        <f>44540</f>
        <v>44540.0</v>
      </c>
      <c r="AC63" s="23"/>
      <c r="AD63" s="26" t="n">
        <f>79415</f>
        <v>79415.0</v>
      </c>
    </row>
    <row r="64">
      <c r="A64" s="30" t="s">
        <v>53</v>
      </c>
      <c r="B64" s="22" t="s">
        <v>61</v>
      </c>
      <c r="C64" s="22" t="s">
        <v>62</v>
      </c>
      <c r="D64" s="24"/>
      <c r="E64" s="25" t="n">
        <f>29501</f>
        <v>29501.0</v>
      </c>
      <c r="F64" s="23" t="s">
        <v>35</v>
      </c>
      <c r="G64" s="25" t="n">
        <f>37479</f>
        <v>37479.0</v>
      </c>
      <c r="H64" s="23"/>
      <c r="I64" s="26" t="n">
        <f>66980</f>
        <v>66980.0</v>
      </c>
      <c r="J64" s="24"/>
      <c r="K64" s="25" t="n">
        <f>420643910</f>
        <v>4.2064391E8</v>
      </c>
      <c r="L64" s="23"/>
      <c r="M64" s="25" t="n">
        <f>341916900</f>
        <v>3.419169E8</v>
      </c>
      <c r="N64" s="23"/>
      <c r="O64" s="26" t="n">
        <f>762560810</f>
        <v>7.6256081E8</v>
      </c>
      <c r="P64" s="27" t="str">
        <f>"－"</f>
        <v>－</v>
      </c>
      <c r="Q64" s="28" t="str">
        <f>"－"</f>
        <v>－</v>
      </c>
      <c r="R64" s="29" t="str">
        <f>"－"</f>
        <v>－</v>
      </c>
      <c r="S64" s="24" t="s">
        <v>35</v>
      </c>
      <c r="T64" s="25" t="n">
        <f>3480</f>
        <v>3480.0</v>
      </c>
      <c r="U64" s="23"/>
      <c r="V64" s="25" t="n">
        <f>3430</f>
        <v>3430.0</v>
      </c>
      <c r="W64" s="23"/>
      <c r="X64" s="26" t="n">
        <f>6910</f>
        <v>6910.0</v>
      </c>
      <c r="Y64" s="24"/>
      <c r="Z64" s="25" t="n">
        <f>40584</f>
        <v>40584.0</v>
      </c>
      <c r="AA64" s="23" t="s">
        <v>35</v>
      </c>
      <c r="AB64" s="25" t="n">
        <f>54503</f>
        <v>54503.0</v>
      </c>
      <c r="AC64" s="23" t="s">
        <v>35</v>
      </c>
      <c r="AD64" s="26" t="n">
        <f>95087</f>
        <v>95087.0</v>
      </c>
    </row>
    <row r="65">
      <c r="A65" s="30" t="s">
        <v>54</v>
      </c>
      <c r="B65" s="22" t="s">
        <v>61</v>
      </c>
      <c r="C65" s="22" t="s">
        <v>62</v>
      </c>
      <c r="D65" s="24"/>
      <c r="E65" s="25" t="n">
        <f>13244</f>
        <v>13244.0</v>
      </c>
      <c r="F65" s="23"/>
      <c r="G65" s="25" t="n">
        <f>15404</f>
        <v>15404.0</v>
      </c>
      <c r="H65" s="23"/>
      <c r="I65" s="26" t="n">
        <f>28648</f>
        <v>28648.0</v>
      </c>
      <c r="J65" s="24" t="s">
        <v>35</v>
      </c>
      <c r="K65" s="25" t="n">
        <f>506551940</f>
        <v>5.0655194E8</v>
      </c>
      <c r="L65" s="23"/>
      <c r="M65" s="25" t="n">
        <f>332361610</f>
        <v>3.3236161E8</v>
      </c>
      <c r="N65" s="23"/>
      <c r="O65" s="26" t="n">
        <f>838913550</f>
        <v>8.3891355E8</v>
      </c>
      <c r="P65" s="27" t="n">
        <f>4549</f>
        <v>4549.0</v>
      </c>
      <c r="Q65" s="28" t="n">
        <f>54</f>
        <v>54.0</v>
      </c>
      <c r="R65" s="29" t="n">
        <f>4603</f>
        <v>4603.0</v>
      </c>
      <c r="S65" s="24"/>
      <c r="T65" s="25" t="n">
        <f>560</f>
        <v>560.0</v>
      </c>
      <c r="U65" s="23"/>
      <c r="V65" s="25" t="n">
        <f>930</f>
        <v>930.0</v>
      </c>
      <c r="W65" s="23"/>
      <c r="X65" s="26" t="n">
        <f>1490</f>
        <v>1490.0</v>
      </c>
      <c r="Y65" s="24"/>
      <c r="Z65" s="25" t="n">
        <f>18771</f>
        <v>18771.0</v>
      </c>
      <c r="AA65" s="23"/>
      <c r="AB65" s="25" t="n">
        <f>30407</f>
        <v>30407.0</v>
      </c>
      <c r="AC65" s="23"/>
      <c r="AD65" s="26" t="n">
        <f>49178</f>
        <v>49178.0</v>
      </c>
    </row>
    <row r="66">
      <c r="A66" s="30" t="s">
        <v>55</v>
      </c>
      <c r="B66" s="22" t="s">
        <v>61</v>
      </c>
      <c r="C66" s="22" t="s">
        <v>62</v>
      </c>
      <c r="D66" s="24"/>
      <c r="E66" s="25"/>
      <c r="F66" s="23"/>
      <c r="G66" s="25"/>
      <c r="H66" s="23"/>
      <c r="I66" s="26"/>
      <c r="J66" s="24"/>
      <c r="K66" s="25"/>
      <c r="L66" s="23"/>
      <c r="M66" s="25"/>
      <c r="N66" s="23"/>
      <c r="O66" s="26"/>
      <c r="P66" s="27"/>
      <c r="Q66" s="28"/>
      <c r="R66" s="29"/>
      <c r="S66" s="24"/>
      <c r="T66" s="25"/>
      <c r="U66" s="23"/>
      <c r="V66" s="25"/>
      <c r="W66" s="23"/>
      <c r="X66" s="26"/>
      <c r="Y66" s="24"/>
      <c r="Z66" s="25"/>
      <c r="AA66" s="23"/>
      <c r="AB66" s="25"/>
      <c r="AC66" s="23"/>
      <c r="AD66" s="26"/>
    </row>
    <row r="67">
      <c r="A67" s="30" t="s">
        <v>56</v>
      </c>
      <c r="B67" s="22" t="s">
        <v>61</v>
      </c>
      <c r="C67" s="22" t="s">
        <v>62</v>
      </c>
      <c r="D67" s="24"/>
      <c r="E67" s="25"/>
      <c r="F67" s="23"/>
      <c r="G67" s="25"/>
      <c r="H67" s="23"/>
      <c r="I67" s="26"/>
      <c r="J67" s="24"/>
      <c r="K67" s="25"/>
      <c r="L67" s="23"/>
      <c r="M67" s="25"/>
      <c r="N67" s="23"/>
      <c r="O67" s="26"/>
      <c r="P67" s="27"/>
      <c r="Q67" s="28"/>
      <c r="R67" s="29"/>
      <c r="S67" s="24"/>
      <c r="T67" s="25"/>
      <c r="U67" s="23"/>
      <c r="V67" s="25"/>
      <c r="W67" s="23"/>
      <c r="X67" s="26"/>
      <c r="Y67" s="24"/>
      <c r="Z67" s="25"/>
      <c r="AA67" s="23"/>
      <c r="AB67" s="25"/>
      <c r="AC67" s="23"/>
      <c r="AD67" s="26"/>
    </row>
    <row r="68">
      <c r="A68" s="30" t="s">
        <v>57</v>
      </c>
      <c r="B68" s="22" t="s">
        <v>61</v>
      </c>
      <c r="C68" s="22" t="s">
        <v>62</v>
      </c>
      <c r="D68" s="24"/>
      <c r="E68" s="25" t="n">
        <f>25852</f>
        <v>25852.0</v>
      </c>
      <c r="F68" s="23"/>
      <c r="G68" s="25" t="n">
        <f>21943</f>
        <v>21943.0</v>
      </c>
      <c r="H68" s="23"/>
      <c r="I68" s="26" t="n">
        <f>47795</f>
        <v>47795.0</v>
      </c>
      <c r="J68" s="24"/>
      <c r="K68" s="25" t="n">
        <f>469141740</f>
        <v>4.6914174E8</v>
      </c>
      <c r="L68" s="23"/>
      <c r="M68" s="25" t="n">
        <f>382790610</f>
        <v>3.8279061E8</v>
      </c>
      <c r="N68" s="23"/>
      <c r="O68" s="26" t="n">
        <f>851932350</f>
        <v>8.5193235E8</v>
      </c>
      <c r="P68" s="27" t="str">
        <f>"－"</f>
        <v>－</v>
      </c>
      <c r="Q68" s="28" t="str">
        <f>"－"</f>
        <v>－</v>
      </c>
      <c r="R68" s="29" t="str">
        <f>"－"</f>
        <v>－</v>
      </c>
      <c r="S68" s="24"/>
      <c r="T68" s="25" t="n">
        <f>2120</f>
        <v>2120.0</v>
      </c>
      <c r="U68" s="23"/>
      <c r="V68" s="25" t="n">
        <f>2050</f>
        <v>2050.0</v>
      </c>
      <c r="W68" s="23"/>
      <c r="X68" s="26" t="n">
        <f>4170</f>
        <v>4170.0</v>
      </c>
      <c r="Y68" s="24"/>
      <c r="Z68" s="25" t="n">
        <f>24455</f>
        <v>24455.0</v>
      </c>
      <c r="AA68" s="23"/>
      <c r="AB68" s="25" t="n">
        <f>36394</f>
        <v>36394.0</v>
      </c>
      <c r="AC68" s="23"/>
      <c r="AD68" s="26" t="n">
        <f>60849</f>
        <v>60849.0</v>
      </c>
    </row>
    <row r="69">
      <c r="A69" s="30" t="s">
        <v>58</v>
      </c>
      <c r="B69" s="22" t="s">
        <v>61</v>
      </c>
      <c r="C69" s="22" t="s">
        <v>62</v>
      </c>
      <c r="D69" s="24"/>
      <c r="E69" s="25" t="n">
        <f>17561</f>
        <v>17561.0</v>
      </c>
      <c r="F69" s="23"/>
      <c r="G69" s="25" t="n">
        <f>16924</f>
        <v>16924.0</v>
      </c>
      <c r="H69" s="23"/>
      <c r="I69" s="26" t="n">
        <f>34485</f>
        <v>34485.0</v>
      </c>
      <c r="J69" s="24"/>
      <c r="K69" s="25" t="n">
        <f>219693000</f>
        <v>2.19693E8</v>
      </c>
      <c r="L69" s="23"/>
      <c r="M69" s="25" t="n">
        <f>289531780</f>
        <v>2.8953178E8</v>
      </c>
      <c r="N69" s="23"/>
      <c r="O69" s="26" t="n">
        <f>509224780</f>
        <v>5.0922478E8</v>
      </c>
      <c r="P69" s="27" t="str">
        <f>"－"</f>
        <v>－</v>
      </c>
      <c r="Q69" s="28" t="str">
        <f>"－"</f>
        <v>－</v>
      </c>
      <c r="R69" s="29" t="str">
        <f>"－"</f>
        <v>－</v>
      </c>
      <c r="S69" s="24"/>
      <c r="T69" s="25" t="n">
        <f>2230</f>
        <v>2230.0</v>
      </c>
      <c r="U69" s="23"/>
      <c r="V69" s="25" t="n">
        <f>1370</f>
        <v>1370.0</v>
      </c>
      <c r="W69" s="23"/>
      <c r="X69" s="26" t="n">
        <f>3600</f>
        <v>3600.0</v>
      </c>
      <c r="Y69" s="24"/>
      <c r="Z69" s="25" t="n">
        <f>27908</f>
        <v>27908.0</v>
      </c>
      <c r="AA69" s="23"/>
      <c r="AB69" s="25" t="n">
        <f>38008</f>
        <v>38008.0</v>
      </c>
      <c r="AC69" s="23"/>
      <c r="AD69" s="26" t="n">
        <f>65916</f>
        <v>65916.0</v>
      </c>
    </row>
    <row r="70">
      <c r="A70" s="30" t="s">
        <v>59</v>
      </c>
      <c r="B70" s="22" t="s">
        <v>61</v>
      </c>
      <c r="C70" s="22" t="s">
        <v>62</v>
      </c>
      <c r="D70" s="24"/>
      <c r="E70" s="25" t="n">
        <f>23258</f>
        <v>23258.0</v>
      </c>
      <c r="F70" s="23"/>
      <c r="G70" s="25" t="n">
        <f>22758</f>
        <v>22758.0</v>
      </c>
      <c r="H70" s="23"/>
      <c r="I70" s="26" t="n">
        <f>46016</f>
        <v>46016.0</v>
      </c>
      <c r="J70" s="24"/>
      <c r="K70" s="25" t="n">
        <f>321367840</f>
        <v>3.2136784E8</v>
      </c>
      <c r="L70" s="23"/>
      <c r="M70" s="25" t="n">
        <f>541362700</f>
        <v>5.413627E8</v>
      </c>
      <c r="N70" s="23"/>
      <c r="O70" s="26" t="n">
        <f>862730540</f>
        <v>8.6273054E8</v>
      </c>
      <c r="P70" s="27" t="str">
        <f>"－"</f>
        <v>－</v>
      </c>
      <c r="Q70" s="28" t="str">
        <f>"－"</f>
        <v>－</v>
      </c>
      <c r="R70" s="29" t="str">
        <f>"－"</f>
        <v>－</v>
      </c>
      <c r="S70" s="24"/>
      <c r="T70" s="25" t="n">
        <f>1510</f>
        <v>1510.0</v>
      </c>
      <c r="U70" s="23"/>
      <c r="V70" s="25" t="n">
        <f>2380</f>
        <v>2380.0</v>
      </c>
      <c r="W70" s="23"/>
      <c r="X70" s="26" t="n">
        <f>3890</f>
        <v>3890.0</v>
      </c>
      <c r="Y70" s="24"/>
      <c r="Z70" s="25" t="n">
        <f>32136</f>
        <v>32136.0</v>
      </c>
      <c r="AA70" s="23"/>
      <c r="AB70" s="25" t="n">
        <f>40358</f>
        <v>40358.0</v>
      </c>
      <c r="AC70" s="23"/>
      <c r="AD70" s="26" t="n">
        <f>72494</f>
        <v>72494.0</v>
      </c>
    </row>
    <row r="71">
      <c r="A71" s="30" t="s">
        <v>60</v>
      </c>
      <c r="B71" s="22" t="s">
        <v>61</v>
      </c>
      <c r="C71" s="22" t="s">
        <v>62</v>
      </c>
      <c r="D71" s="24"/>
      <c r="E71" s="25" t="n">
        <f>28750</f>
        <v>28750.0</v>
      </c>
      <c r="F71" s="23"/>
      <c r="G71" s="25" t="n">
        <f>36302</f>
        <v>36302.0</v>
      </c>
      <c r="H71" s="23"/>
      <c r="I71" s="26" t="n">
        <f>65052</f>
        <v>65052.0</v>
      </c>
      <c r="J71" s="24"/>
      <c r="K71" s="25" t="n">
        <f>302273620</f>
        <v>3.0227362E8</v>
      </c>
      <c r="L71" s="23"/>
      <c r="M71" s="25" t="n">
        <f>454234420</f>
        <v>4.5423442E8</v>
      </c>
      <c r="N71" s="23"/>
      <c r="O71" s="26" t="n">
        <f>756508040</f>
        <v>7.5650804E8</v>
      </c>
      <c r="P71" s="27" t="str">
        <f>"－"</f>
        <v>－</v>
      </c>
      <c r="Q71" s="28" t="str">
        <f>"－"</f>
        <v>－</v>
      </c>
      <c r="R71" s="29" t="str">
        <f>"－"</f>
        <v>－</v>
      </c>
      <c r="S71" s="24"/>
      <c r="T71" s="25" t="n">
        <f>2675</f>
        <v>2675.0</v>
      </c>
      <c r="U71" s="23" t="s">
        <v>35</v>
      </c>
      <c r="V71" s="25" t="n">
        <f>9495</f>
        <v>9495.0</v>
      </c>
      <c r="W71" s="23" t="s">
        <v>35</v>
      </c>
      <c r="X71" s="26" t="n">
        <f>12170</f>
        <v>12170.0</v>
      </c>
      <c r="Y71" s="24"/>
      <c r="Z71" s="25" t="n">
        <f>38955</f>
        <v>38955.0</v>
      </c>
      <c r="AA71" s="23"/>
      <c r="AB71" s="25" t="n">
        <f>39614</f>
        <v>39614.0</v>
      </c>
      <c r="AC71" s="23"/>
      <c r="AD71" s="26" t="n">
        <f>78569</f>
        <v>78569.0</v>
      </c>
    </row>
    <row r="72">
      <c r="A72" s="30" t="s">
        <v>26</v>
      </c>
      <c r="B72" s="22" t="s">
        <v>63</v>
      </c>
      <c r="C72" s="22" t="s">
        <v>64</v>
      </c>
      <c r="D72" s="24"/>
      <c r="E72" s="25" t="n">
        <f>2250</f>
        <v>2250.0</v>
      </c>
      <c r="F72" s="23"/>
      <c r="G72" s="25" t="n">
        <f>750</f>
        <v>750.0</v>
      </c>
      <c r="H72" s="23"/>
      <c r="I72" s="26" t="n">
        <f>3000</f>
        <v>3000.0</v>
      </c>
      <c r="J72" s="24"/>
      <c r="K72" s="25" t="n">
        <f>2400750200</f>
        <v>2.4007502E9</v>
      </c>
      <c r="L72" s="23"/>
      <c r="M72" s="25" t="n">
        <f>1862250000</f>
        <v>1.86225E9</v>
      </c>
      <c r="N72" s="23"/>
      <c r="O72" s="26" t="n">
        <f>4263000200</f>
        <v>4.2630002E9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 t="s">
        <v>37</v>
      </c>
      <c r="T72" s="25" t="str">
        <f>"－"</f>
        <v>－</v>
      </c>
      <c r="U72" s="23" t="s">
        <v>37</v>
      </c>
      <c r="V72" s="25" t="str">
        <f>"－"</f>
        <v>－</v>
      </c>
      <c r="W72" s="23" t="s">
        <v>37</v>
      </c>
      <c r="X72" s="26" t="str">
        <f>"－"</f>
        <v>－</v>
      </c>
      <c r="Y72" s="24"/>
      <c r="Z72" s="25" t="n">
        <f>115765</f>
        <v>115765.0</v>
      </c>
      <c r="AA72" s="23"/>
      <c r="AB72" s="25" t="n">
        <f>79047</f>
        <v>79047.0</v>
      </c>
      <c r="AC72" s="23"/>
      <c r="AD72" s="26" t="n">
        <f>194812</f>
        <v>194812.0</v>
      </c>
    </row>
    <row r="73">
      <c r="A73" s="30" t="s">
        <v>29</v>
      </c>
      <c r="B73" s="22" t="s">
        <v>63</v>
      </c>
      <c r="C73" s="22" t="s">
        <v>64</v>
      </c>
      <c r="D73" s="24"/>
      <c r="E73" s="25" t="n">
        <f>1786</f>
        <v>1786.0</v>
      </c>
      <c r="F73" s="23"/>
      <c r="G73" s="25" t="n">
        <f>2168</f>
        <v>2168.0</v>
      </c>
      <c r="H73" s="23"/>
      <c r="I73" s="26" t="n">
        <f>3954</f>
        <v>3954.0</v>
      </c>
      <c r="J73" s="24"/>
      <c r="K73" s="25" t="n">
        <f>3086739764</f>
        <v>3.086739764E9</v>
      </c>
      <c r="L73" s="23" t="s">
        <v>35</v>
      </c>
      <c r="M73" s="25" t="n">
        <f>3394012386</f>
        <v>3.394012386E9</v>
      </c>
      <c r="N73" s="23"/>
      <c r="O73" s="26" t="n">
        <f>6480752150</f>
        <v>6.48075215E9</v>
      </c>
      <c r="P73" s="27" t="str">
        <f>"－"</f>
        <v>－</v>
      </c>
      <c r="Q73" s="28" t="str">
        <f>"－"</f>
        <v>－</v>
      </c>
      <c r="R73" s="29" t="str">
        <f>"－"</f>
        <v>－</v>
      </c>
      <c r="S73" s="24"/>
      <c r="T73" s="25" t="n">
        <f>276</f>
        <v>276.0</v>
      </c>
      <c r="U73" s="23"/>
      <c r="V73" s="25" t="n">
        <f>376</f>
        <v>376.0</v>
      </c>
      <c r="W73" s="23"/>
      <c r="X73" s="26" t="n">
        <f>652</f>
        <v>652.0</v>
      </c>
      <c r="Y73" s="24"/>
      <c r="Z73" s="25" t="n">
        <f>116935</f>
        <v>116935.0</v>
      </c>
      <c r="AA73" s="23"/>
      <c r="AB73" s="25" t="n">
        <f>79573</f>
        <v>79573.0</v>
      </c>
      <c r="AC73" s="23"/>
      <c r="AD73" s="26" t="n">
        <f>196508</f>
        <v>196508.0</v>
      </c>
    </row>
    <row r="74">
      <c r="A74" s="30" t="s">
        <v>30</v>
      </c>
      <c r="B74" s="22" t="s">
        <v>63</v>
      </c>
      <c r="C74" s="22" t="s">
        <v>64</v>
      </c>
      <c r="D74" s="24"/>
      <c r="E74" s="25" t="n">
        <f>874</f>
        <v>874.0</v>
      </c>
      <c r="F74" s="23"/>
      <c r="G74" s="25" t="n">
        <f>1120</f>
        <v>1120.0</v>
      </c>
      <c r="H74" s="23"/>
      <c r="I74" s="26" t="n">
        <f>1994</f>
        <v>1994.0</v>
      </c>
      <c r="J74" s="24"/>
      <c r="K74" s="25" t="n">
        <f>1975528236</f>
        <v>1.975528236E9</v>
      </c>
      <c r="L74" s="23"/>
      <c r="M74" s="25" t="n">
        <f>1960250000</f>
        <v>1.96025E9</v>
      </c>
      <c r="N74" s="23"/>
      <c r="O74" s="26" t="n">
        <f>3935778236</f>
        <v>3.935778236E9</v>
      </c>
      <c r="P74" s="27" t="str">
        <f>"－"</f>
        <v>－</v>
      </c>
      <c r="Q74" s="28" t="str">
        <f>"－"</f>
        <v>－</v>
      </c>
      <c r="R74" s="29" t="str">
        <f>"－"</f>
        <v>－</v>
      </c>
      <c r="S74" s="24"/>
      <c r="T74" s="25" t="n">
        <f>274</f>
        <v>274.0</v>
      </c>
      <c r="U74" s="23"/>
      <c r="V74" s="25" t="n">
        <f>500</f>
        <v>500.0</v>
      </c>
      <c r="W74" s="23"/>
      <c r="X74" s="26" t="n">
        <f>774</f>
        <v>774.0</v>
      </c>
      <c r="Y74" s="24"/>
      <c r="Z74" s="25" t="n">
        <f>114335</f>
        <v>114335.0</v>
      </c>
      <c r="AA74" s="23"/>
      <c r="AB74" s="25" t="n">
        <f>80493</f>
        <v>80493.0</v>
      </c>
      <c r="AC74" s="23"/>
      <c r="AD74" s="26" t="n">
        <f>194828</f>
        <v>194828.0</v>
      </c>
    </row>
    <row r="75">
      <c r="A75" s="30" t="s">
        <v>31</v>
      </c>
      <c r="B75" s="22" t="s">
        <v>63</v>
      </c>
      <c r="C75" s="22" t="s">
        <v>64</v>
      </c>
      <c r="D75" s="24"/>
      <c r="E75" s="25" t="n">
        <f>200</f>
        <v>200.0</v>
      </c>
      <c r="F75" s="23"/>
      <c r="G75" s="25" t="n">
        <f>270</f>
        <v>270.0</v>
      </c>
      <c r="H75" s="23"/>
      <c r="I75" s="26" t="n">
        <f>470</f>
        <v>470.0</v>
      </c>
      <c r="J75" s="24"/>
      <c r="K75" s="25" t="n">
        <f>10750000</f>
        <v>1.075E7</v>
      </c>
      <c r="L75" s="23"/>
      <c r="M75" s="25" t="n">
        <f>23950000</f>
        <v>2.395E7</v>
      </c>
      <c r="N75" s="23" t="s">
        <v>37</v>
      </c>
      <c r="O75" s="26" t="n">
        <f>34700000</f>
        <v>3.47E7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str">
        <f>"－"</f>
        <v>－</v>
      </c>
      <c r="U75" s="23"/>
      <c r="V75" s="25" t="str">
        <f>"－"</f>
        <v>－</v>
      </c>
      <c r="W75" s="23"/>
      <c r="X75" s="26" t="str">
        <f>"－"</f>
        <v>－</v>
      </c>
      <c r="Y75" s="24"/>
      <c r="Z75" s="25" t="n">
        <f>114535</f>
        <v>114535.0</v>
      </c>
      <c r="AA75" s="23"/>
      <c r="AB75" s="25" t="n">
        <f>80524</f>
        <v>80524.0</v>
      </c>
      <c r="AC75" s="23"/>
      <c r="AD75" s="26" t="n">
        <f>195059</f>
        <v>195059.0</v>
      </c>
    </row>
    <row r="76">
      <c r="A76" s="30" t="s">
        <v>32</v>
      </c>
      <c r="B76" s="22" t="s">
        <v>63</v>
      </c>
      <c r="C76" s="22" t="s">
        <v>64</v>
      </c>
      <c r="D76" s="24"/>
      <c r="E76" s="25"/>
      <c r="F76" s="23"/>
      <c r="G76" s="25"/>
      <c r="H76" s="23"/>
      <c r="I76" s="26"/>
      <c r="J76" s="24"/>
      <c r="K76" s="25"/>
      <c r="L76" s="23"/>
      <c r="M76" s="25"/>
      <c r="N76" s="23"/>
      <c r="O76" s="26"/>
      <c r="P76" s="27"/>
      <c r="Q76" s="28"/>
      <c r="R76" s="29"/>
      <c r="S76" s="24"/>
      <c r="T76" s="25"/>
      <c r="U76" s="23"/>
      <c r="V76" s="25"/>
      <c r="W76" s="23"/>
      <c r="X76" s="26"/>
      <c r="Y76" s="24"/>
      <c r="Z76" s="25"/>
      <c r="AA76" s="23"/>
      <c r="AB76" s="25"/>
      <c r="AC76" s="23"/>
      <c r="AD76" s="26"/>
    </row>
    <row r="77">
      <c r="A77" s="30" t="s">
        <v>33</v>
      </c>
      <c r="B77" s="22" t="s">
        <v>63</v>
      </c>
      <c r="C77" s="22" t="s">
        <v>64</v>
      </c>
      <c r="D77" s="24"/>
      <c r="E77" s="25"/>
      <c r="F77" s="23"/>
      <c r="G77" s="25"/>
      <c r="H77" s="23"/>
      <c r="I77" s="26"/>
      <c r="J77" s="24"/>
      <c r="K77" s="25"/>
      <c r="L77" s="23"/>
      <c r="M77" s="25"/>
      <c r="N77" s="23"/>
      <c r="O77" s="26"/>
      <c r="P77" s="27"/>
      <c r="Q77" s="28"/>
      <c r="R77" s="29"/>
      <c r="S77" s="24"/>
      <c r="T77" s="25"/>
      <c r="U77" s="23"/>
      <c r="V77" s="25"/>
      <c r="W77" s="23"/>
      <c r="X77" s="26"/>
      <c r="Y77" s="24"/>
      <c r="Z77" s="25"/>
      <c r="AA77" s="23"/>
      <c r="AB77" s="25"/>
      <c r="AC77" s="23"/>
      <c r="AD77" s="26"/>
    </row>
    <row r="78">
      <c r="A78" s="30" t="s">
        <v>34</v>
      </c>
      <c r="B78" s="22" t="s">
        <v>63</v>
      </c>
      <c r="C78" s="22" t="s">
        <v>64</v>
      </c>
      <c r="D78" s="24"/>
      <c r="E78" s="25" t="n">
        <f>1867</f>
        <v>1867.0</v>
      </c>
      <c r="F78" s="23"/>
      <c r="G78" s="25" t="n">
        <f>2453</f>
        <v>2453.0</v>
      </c>
      <c r="H78" s="23"/>
      <c r="I78" s="26" t="n">
        <f>4320</f>
        <v>4320.0</v>
      </c>
      <c r="J78" s="24"/>
      <c r="K78" s="25" t="n">
        <f>114280004</f>
        <v>1.14280004E8</v>
      </c>
      <c r="L78" s="23"/>
      <c r="M78" s="25" t="n">
        <f>150028970</f>
        <v>1.5002897E8</v>
      </c>
      <c r="N78" s="23"/>
      <c r="O78" s="26" t="n">
        <f>264308974</f>
        <v>2.64308974E8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n">
        <f>117</f>
        <v>117.0</v>
      </c>
      <c r="U78" s="23"/>
      <c r="V78" s="25" t="str">
        <f>"－"</f>
        <v>－</v>
      </c>
      <c r="W78" s="23"/>
      <c r="X78" s="26" t="n">
        <f>117</f>
        <v>117.0</v>
      </c>
      <c r="Y78" s="24"/>
      <c r="Z78" s="25" t="n">
        <f>116302</f>
        <v>116302.0</v>
      </c>
      <c r="AA78" s="23"/>
      <c r="AB78" s="25" t="n">
        <f>82186</f>
        <v>82186.0</v>
      </c>
      <c r="AC78" s="23"/>
      <c r="AD78" s="26" t="n">
        <f>198488</f>
        <v>198488.0</v>
      </c>
    </row>
    <row r="79">
      <c r="A79" s="30" t="s">
        <v>36</v>
      </c>
      <c r="B79" s="22" t="s">
        <v>63</v>
      </c>
      <c r="C79" s="22" t="s">
        <v>64</v>
      </c>
      <c r="D79" s="24"/>
      <c r="E79" s="25" t="n">
        <f>968</f>
        <v>968.0</v>
      </c>
      <c r="F79" s="23"/>
      <c r="G79" s="25" t="n">
        <f>608</f>
        <v>608.0</v>
      </c>
      <c r="H79" s="23"/>
      <c r="I79" s="26" t="n">
        <f>1576</f>
        <v>1576.0</v>
      </c>
      <c r="J79" s="24"/>
      <c r="K79" s="25" t="n">
        <f>234712300</f>
        <v>2.347123E8</v>
      </c>
      <c r="L79" s="23"/>
      <c r="M79" s="25" t="n">
        <f>158240464</f>
        <v>1.58240464E8</v>
      </c>
      <c r="N79" s="23"/>
      <c r="O79" s="26" t="n">
        <f>392952764</f>
        <v>3.92952764E8</v>
      </c>
      <c r="P79" s="27" t="str">
        <f>"－"</f>
        <v>－</v>
      </c>
      <c r="Q79" s="28" t="str">
        <f>"－"</f>
        <v>－</v>
      </c>
      <c r="R79" s="29" t="str">
        <f>"－"</f>
        <v>－</v>
      </c>
      <c r="S79" s="24"/>
      <c r="T79" s="25" t="n">
        <f>268</f>
        <v>268.0</v>
      </c>
      <c r="U79" s="23"/>
      <c r="V79" s="25" t="n">
        <f>268</f>
        <v>268.0</v>
      </c>
      <c r="W79" s="23"/>
      <c r="X79" s="26" t="n">
        <f>536</f>
        <v>536.0</v>
      </c>
      <c r="Y79" s="24"/>
      <c r="Z79" s="25" t="n">
        <f>116602</f>
        <v>116602.0</v>
      </c>
      <c r="AA79" s="23"/>
      <c r="AB79" s="25" t="n">
        <f>82487</f>
        <v>82487.0</v>
      </c>
      <c r="AC79" s="23"/>
      <c r="AD79" s="26" t="n">
        <f>199089</f>
        <v>199089.0</v>
      </c>
    </row>
    <row r="80">
      <c r="A80" s="30" t="s">
        <v>38</v>
      </c>
      <c r="B80" s="22" t="s">
        <v>63</v>
      </c>
      <c r="C80" s="22" t="s">
        <v>64</v>
      </c>
      <c r="D80" s="24"/>
      <c r="E80" s="25" t="n">
        <f>200</f>
        <v>200.0</v>
      </c>
      <c r="F80" s="23"/>
      <c r="G80" s="25" t="n">
        <f>910</f>
        <v>910.0</v>
      </c>
      <c r="H80" s="23"/>
      <c r="I80" s="26" t="n">
        <f>1110</f>
        <v>1110.0</v>
      </c>
      <c r="J80" s="24"/>
      <c r="K80" s="25" t="n">
        <f>295000000</f>
        <v>2.95E8</v>
      </c>
      <c r="L80" s="23"/>
      <c r="M80" s="25" t="n">
        <f>122572365</f>
        <v>1.22572365E8</v>
      </c>
      <c r="N80" s="23"/>
      <c r="O80" s="26" t="n">
        <f>417572365</f>
        <v>4.17572365E8</v>
      </c>
      <c r="P80" s="27" t="str">
        <f>"－"</f>
        <v>－</v>
      </c>
      <c r="Q80" s="28" t="str">
        <f>"－"</f>
        <v>－</v>
      </c>
      <c r="R80" s="29" t="str">
        <f>"－"</f>
        <v>－</v>
      </c>
      <c r="S80" s="24"/>
      <c r="T80" s="25" t="str">
        <f>"－"</f>
        <v>－</v>
      </c>
      <c r="U80" s="23"/>
      <c r="V80" s="25" t="str">
        <f>"－"</f>
        <v>－</v>
      </c>
      <c r="W80" s="23"/>
      <c r="X80" s="26" t="str">
        <f>"－"</f>
        <v>－</v>
      </c>
      <c r="Y80" s="24"/>
      <c r="Z80" s="25" t="n">
        <f>116752</f>
        <v>116752.0</v>
      </c>
      <c r="AA80" s="23"/>
      <c r="AB80" s="25" t="n">
        <f>82509</f>
        <v>82509.0</v>
      </c>
      <c r="AC80" s="23"/>
      <c r="AD80" s="26" t="n">
        <f>199261</f>
        <v>199261.0</v>
      </c>
    </row>
    <row r="81">
      <c r="A81" s="30" t="s">
        <v>39</v>
      </c>
      <c r="B81" s="22" t="s">
        <v>63</v>
      </c>
      <c r="C81" s="22" t="s">
        <v>64</v>
      </c>
      <c r="D81" s="24"/>
      <c r="E81" s="25" t="n">
        <f>1010</f>
        <v>1010.0</v>
      </c>
      <c r="F81" s="23"/>
      <c r="G81" s="25" t="n">
        <f>1010</f>
        <v>1010.0</v>
      </c>
      <c r="H81" s="23"/>
      <c r="I81" s="26" t="n">
        <f>2020</f>
        <v>2020.0</v>
      </c>
      <c r="J81" s="24"/>
      <c r="K81" s="25" t="n">
        <f>308720000</f>
        <v>3.0872E8</v>
      </c>
      <c r="L81" s="23"/>
      <c r="M81" s="25" t="n">
        <f>272600000</f>
        <v>2.726E8</v>
      </c>
      <c r="N81" s="23"/>
      <c r="O81" s="26" t="n">
        <f>581320000</f>
        <v>5.8132E8</v>
      </c>
      <c r="P81" s="27" t="str">
        <f>"－"</f>
        <v>－</v>
      </c>
      <c r="Q81" s="28" t="str">
        <f>"－"</f>
        <v>－</v>
      </c>
      <c r="R81" s="29" t="str">
        <f>"－"</f>
        <v>－</v>
      </c>
      <c r="S81" s="24"/>
      <c r="T81" s="25" t="n">
        <f>200</f>
        <v>200.0</v>
      </c>
      <c r="U81" s="23"/>
      <c r="V81" s="25" t="n">
        <f>200</f>
        <v>200.0</v>
      </c>
      <c r="W81" s="23"/>
      <c r="X81" s="26" t="n">
        <f>400</f>
        <v>400.0</v>
      </c>
      <c r="Y81" s="24" t="s">
        <v>35</v>
      </c>
      <c r="Z81" s="25" t="n">
        <f>117762</f>
        <v>117762.0</v>
      </c>
      <c r="AA81" s="23" t="s">
        <v>35</v>
      </c>
      <c r="AB81" s="25" t="n">
        <f>83519</f>
        <v>83519.0</v>
      </c>
      <c r="AC81" s="23" t="s">
        <v>35</v>
      </c>
      <c r="AD81" s="26" t="n">
        <f>201281</f>
        <v>201281.0</v>
      </c>
    </row>
    <row r="82">
      <c r="A82" s="30" t="s">
        <v>40</v>
      </c>
      <c r="B82" s="22" t="s">
        <v>63</v>
      </c>
      <c r="C82" s="22" t="s">
        <v>64</v>
      </c>
      <c r="D82" s="24"/>
      <c r="E82" s="25" t="n">
        <f>400</f>
        <v>400.0</v>
      </c>
      <c r="F82" s="23" t="s">
        <v>37</v>
      </c>
      <c r="G82" s="25" t="str">
        <f>"－"</f>
        <v>－</v>
      </c>
      <c r="H82" s="23"/>
      <c r="I82" s="26" t="n">
        <f>400</f>
        <v>400.0</v>
      </c>
      <c r="J82" s="24"/>
      <c r="K82" s="25" t="n">
        <f>37200000</f>
        <v>3.72E7</v>
      </c>
      <c r="L82" s="23" t="s">
        <v>37</v>
      </c>
      <c r="M82" s="25" t="str">
        <f>"－"</f>
        <v>－</v>
      </c>
      <c r="N82" s="23"/>
      <c r="O82" s="26" t="n">
        <f>37200000</f>
        <v>3.72E7</v>
      </c>
      <c r="P82" s="27" t="n">
        <f>2460</f>
        <v>2460.0</v>
      </c>
      <c r="Q82" s="28" t="n">
        <f>3425</f>
        <v>3425.0</v>
      </c>
      <c r="R82" s="29" t="n">
        <f>5885</f>
        <v>5885.0</v>
      </c>
      <c r="S82" s="24"/>
      <c r="T82" s="25" t="str">
        <f>"－"</f>
        <v>－</v>
      </c>
      <c r="U82" s="23"/>
      <c r="V82" s="25" t="str">
        <f>"－"</f>
        <v>－</v>
      </c>
      <c r="W82" s="23"/>
      <c r="X82" s="26" t="str">
        <f>"－"</f>
        <v>－</v>
      </c>
      <c r="Y82" s="24" t="s">
        <v>37</v>
      </c>
      <c r="Z82" s="25" t="n">
        <f>102947</f>
        <v>102947.0</v>
      </c>
      <c r="AA82" s="23"/>
      <c r="AB82" s="25" t="n">
        <f>74359</f>
        <v>74359.0</v>
      </c>
      <c r="AC82" s="23" t="s">
        <v>37</v>
      </c>
      <c r="AD82" s="26" t="n">
        <f>177306</f>
        <v>177306.0</v>
      </c>
    </row>
    <row r="83">
      <c r="A83" s="30" t="s">
        <v>41</v>
      </c>
      <c r="B83" s="22" t="s">
        <v>63</v>
      </c>
      <c r="C83" s="22" t="s">
        <v>64</v>
      </c>
      <c r="D83" s="24"/>
      <c r="E83" s="25"/>
      <c r="F83" s="23"/>
      <c r="G83" s="25"/>
      <c r="H83" s="23"/>
      <c r="I83" s="26"/>
      <c r="J83" s="24"/>
      <c r="K83" s="25"/>
      <c r="L83" s="23"/>
      <c r="M83" s="25"/>
      <c r="N83" s="23"/>
      <c r="O83" s="26"/>
      <c r="P83" s="27"/>
      <c r="Q83" s="28"/>
      <c r="R83" s="29"/>
      <c r="S83" s="24"/>
      <c r="T83" s="25"/>
      <c r="U83" s="23"/>
      <c r="V83" s="25"/>
      <c r="W83" s="23"/>
      <c r="X83" s="26"/>
      <c r="Y83" s="24"/>
      <c r="Z83" s="25"/>
      <c r="AA83" s="23"/>
      <c r="AB83" s="25"/>
      <c r="AC83" s="23"/>
      <c r="AD83" s="26"/>
    </row>
    <row r="84">
      <c r="A84" s="30" t="s">
        <v>42</v>
      </c>
      <c r="B84" s="22" t="s">
        <v>63</v>
      </c>
      <c r="C84" s="22" t="s">
        <v>64</v>
      </c>
      <c r="D84" s="24"/>
      <c r="E84" s="25"/>
      <c r="F84" s="23"/>
      <c r="G84" s="25"/>
      <c r="H84" s="23"/>
      <c r="I84" s="26"/>
      <c r="J84" s="24"/>
      <c r="K84" s="25"/>
      <c r="L84" s="23"/>
      <c r="M84" s="25"/>
      <c r="N84" s="23"/>
      <c r="O84" s="26"/>
      <c r="P84" s="27"/>
      <c r="Q84" s="28"/>
      <c r="R84" s="29"/>
      <c r="S84" s="24"/>
      <c r="T84" s="25"/>
      <c r="U84" s="23"/>
      <c r="V84" s="25"/>
      <c r="W84" s="23"/>
      <c r="X84" s="26"/>
      <c r="Y84" s="24"/>
      <c r="Z84" s="25"/>
      <c r="AA84" s="23"/>
      <c r="AB84" s="25"/>
      <c r="AC84" s="23"/>
      <c r="AD84" s="26"/>
    </row>
    <row r="85">
      <c r="A85" s="30" t="s">
        <v>43</v>
      </c>
      <c r="B85" s="22" t="s">
        <v>63</v>
      </c>
      <c r="C85" s="22" t="s">
        <v>64</v>
      </c>
      <c r="D85" s="24"/>
      <c r="E85" s="25"/>
      <c r="F85" s="23"/>
      <c r="G85" s="25"/>
      <c r="H85" s="23"/>
      <c r="I85" s="26"/>
      <c r="J85" s="24"/>
      <c r="K85" s="25"/>
      <c r="L85" s="23"/>
      <c r="M85" s="25"/>
      <c r="N85" s="23"/>
      <c r="O85" s="26"/>
      <c r="P85" s="27"/>
      <c r="Q85" s="28"/>
      <c r="R85" s="29"/>
      <c r="S85" s="24"/>
      <c r="T85" s="25"/>
      <c r="U85" s="23"/>
      <c r="V85" s="25"/>
      <c r="W85" s="23"/>
      <c r="X85" s="26"/>
      <c r="Y85" s="24"/>
      <c r="Z85" s="25"/>
      <c r="AA85" s="23"/>
      <c r="AB85" s="25"/>
      <c r="AC85" s="23"/>
      <c r="AD85" s="26"/>
    </row>
    <row r="86">
      <c r="A86" s="30" t="s">
        <v>44</v>
      </c>
      <c r="B86" s="22" t="s">
        <v>63</v>
      </c>
      <c r="C86" s="22" t="s">
        <v>64</v>
      </c>
      <c r="D86" s="24"/>
      <c r="E86" s="25" t="n">
        <f>1780</f>
        <v>1780.0</v>
      </c>
      <c r="F86" s="23"/>
      <c r="G86" s="25" t="str">
        <f>"－"</f>
        <v>－</v>
      </c>
      <c r="H86" s="23"/>
      <c r="I86" s="26" t="n">
        <f>1780</f>
        <v>1780.0</v>
      </c>
      <c r="J86" s="24"/>
      <c r="K86" s="25" t="n">
        <f>475743035</f>
        <v>4.75743035E8</v>
      </c>
      <c r="L86" s="23"/>
      <c r="M86" s="25" t="str">
        <f>"－"</f>
        <v>－</v>
      </c>
      <c r="N86" s="23"/>
      <c r="O86" s="26" t="n">
        <f>475743035</f>
        <v>4.75743035E8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n">
        <f>10</f>
        <v>10.0</v>
      </c>
      <c r="U86" s="23"/>
      <c r="V86" s="25" t="str">
        <f>"－"</f>
        <v>－</v>
      </c>
      <c r="W86" s="23"/>
      <c r="X86" s="26" t="n">
        <f>10</f>
        <v>10.0</v>
      </c>
      <c r="Y86" s="24"/>
      <c r="Z86" s="25" t="n">
        <f>104295</f>
        <v>104295.0</v>
      </c>
      <c r="AA86" s="23"/>
      <c r="AB86" s="25" t="n">
        <f>74359</f>
        <v>74359.0</v>
      </c>
      <c r="AC86" s="23"/>
      <c r="AD86" s="26" t="n">
        <f>178654</f>
        <v>178654.0</v>
      </c>
    </row>
    <row r="87">
      <c r="A87" s="30" t="s">
        <v>45</v>
      </c>
      <c r="B87" s="22" t="s">
        <v>63</v>
      </c>
      <c r="C87" s="22" t="s">
        <v>64</v>
      </c>
      <c r="D87" s="24"/>
      <c r="E87" s="25" t="n">
        <f>50</f>
        <v>50.0</v>
      </c>
      <c r="F87" s="23"/>
      <c r="G87" s="25" t="n">
        <f>50</f>
        <v>50.0</v>
      </c>
      <c r="H87" s="23" t="s">
        <v>37</v>
      </c>
      <c r="I87" s="26" t="n">
        <f>100</f>
        <v>100.0</v>
      </c>
      <c r="J87" s="24"/>
      <c r="K87" s="25" t="n">
        <f>13000000</f>
        <v>1.3E7</v>
      </c>
      <c r="L87" s="23"/>
      <c r="M87" s="25" t="n">
        <f>22250000</f>
        <v>2.225E7</v>
      </c>
      <c r="N87" s="23"/>
      <c r="O87" s="26" t="n">
        <f>35250000</f>
        <v>3.525E7</v>
      </c>
      <c r="P87" s="27" t="str">
        <f>"－"</f>
        <v>－</v>
      </c>
      <c r="Q87" s="28" t="str">
        <f>"－"</f>
        <v>－</v>
      </c>
      <c r="R87" s="29" t="str">
        <f>"－"</f>
        <v>－</v>
      </c>
      <c r="S87" s="24"/>
      <c r="T87" s="25" t="str">
        <f>"－"</f>
        <v>－</v>
      </c>
      <c r="U87" s="23"/>
      <c r="V87" s="25" t="str">
        <f>"－"</f>
        <v>－</v>
      </c>
      <c r="W87" s="23"/>
      <c r="X87" s="26" t="str">
        <f>"－"</f>
        <v>－</v>
      </c>
      <c r="Y87" s="24"/>
      <c r="Z87" s="25" t="n">
        <f>104345</f>
        <v>104345.0</v>
      </c>
      <c r="AA87" s="23"/>
      <c r="AB87" s="25" t="n">
        <f>74409</f>
        <v>74409.0</v>
      </c>
      <c r="AC87" s="23"/>
      <c r="AD87" s="26" t="n">
        <f>178754</f>
        <v>178754.0</v>
      </c>
    </row>
    <row r="88">
      <c r="A88" s="30" t="s">
        <v>46</v>
      </c>
      <c r="B88" s="22" t="s">
        <v>63</v>
      </c>
      <c r="C88" s="22" t="s">
        <v>64</v>
      </c>
      <c r="D88" s="24"/>
      <c r="E88" s="25" t="n">
        <f>179</f>
        <v>179.0</v>
      </c>
      <c r="F88" s="23"/>
      <c r="G88" s="25" t="n">
        <f>179</f>
        <v>179.0</v>
      </c>
      <c r="H88" s="23"/>
      <c r="I88" s="26" t="n">
        <f>358</f>
        <v>358.0</v>
      </c>
      <c r="J88" s="24"/>
      <c r="K88" s="25" t="n">
        <f>261340000</f>
        <v>2.6134E8</v>
      </c>
      <c r="L88" s="23"/>
      <c r="M88" s="25" t="n">
        <f>238965000</f>
        <v>2.38965E8</v>
      </c>
      <c r="N88" s="23"/>
      <c r="O88" s="26" t="n">
        <f>500305000</f>
        <v>5.00305E8</v>
      </c>
      <c r="P88" s="27" t="str">
        <f>"－"</f>
        <v>－</v>
      </c>
      <c r="Q88" s="28" t="str">
        <f>"－"</f>
        <v>－</v>
      </c>
      <c r="R88" s="29" t="str">
        <f>"－"</f>
        <v>－</v>
      </c>
      <c r="S88" s="24"/>
      <c r="T88" s="25" t="str">
        <f>"－"</f>
        <v>－</v>
      </c>
      <c r="U88" s="23"/>
      <c r="V88" s="25" t="str">
        <f>"－"</f>
        <v>－</v>
      </c>
      <c r="W88" s="23"/>
      <c r="X88" s="26" t="str">
        <f>"－"</f>
        <v>－</v>
      </c>
      <c r="Y88" s="24"/>
      <c r="Z88" s="25" t="n">
        <f>104524</f>
        <v>104524.0</v>
      </c>
      <c r="AA88" s="23"/>
      <c r="AB88" s="25" t="n">
        <f>74588</f>
        <v>74588.0</v>
      </c>
      <c r="AC88" s="23"/>
      <c r="AD88" s="26" t="n">
        <f>179112</f>
        <v>179112.0</v>
      </c>
    </row>
    <row r="89">
      <c r="A89" s="30" t="s">
        <v>47</v>
      </c>
      <c r="B89" s="22" t="s">
        <v>63</v>
      </c>
      <c r="C89" s="22" t="s">
        <v>64</v>
      </c>
      <c r="D89" s="24"/>
      <c r="E89" s="25" t="n">
        <f>450</f>
        <v>450.0</v>
      </c>
      <c r="F89" s="23"/>
      <c r="G89" s="25" t="str">
        <f>"－"</f>
        <v>－</v>
      </c>
      <c r="H89" s="23"/>
      <c r="I89" s="26" t="n">
        <f>450</f>
        <v>450.0</v>
      </c>
      <c r="J89" s="24"/>
      <c r="K89" s="25" t="n">
        <f>238500000</f>
        <v>2.385E8</v>
      </c>
      <c r="L89" s="23"/>
      <c r="M89" s="25" t="str">
        <f>"－"</f>
        <v>－</v>
      </c>
      <c r="N89" s="23"/>
      <c r="O89" s="26" t="n">
        <f>238500000</f>
        <v>2.385E8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str">
        <f>"－"</f>
        <v>－</v>
      </c>
      <c r="U89" s="23"/>
      <c r="V89" s="25" t="str">
        <f>"－"</f>
        <v>－</v>
      </c>
      <c r="W89" s="23"/>
      <c r="X89" s="26" t="str">
        <f>"－"</f>
        <v>－</v>
      </c>
      <c r="Y89" s="24"/>
      <c r="Z89" s="25" t="n">
        <f>104849</f>
        <v>104849.0</v>
      </c>
      <c r="AA89" s="23"/>
      <c r="AB89" s="25" t="n">
        <f>74588</f>
        <v>74588.0</v>
      </c>
      <c r="AC89" s="23"/>
      <c r="AD89" s="26" t="n">
        <f>179437</f>
        <v>179437.0</v>
      </c>
    </row>
    <row r="90">
      <c r="A90" s="30" t="s">
        <v>48</v>
      </c>
      <c r="B90" s="22" t="s">
        <v>63</v>
      </c>
      <c r="C90" s="22" t="s">
        <v>64</v>
      </c>
      <c r="D90" s="24"/>
      <c r="E90" s="25"/>
      <c r="F90" s="23"/>
      <c r="G90" s="25"/>
      <c r="H90" s="23"/>
      <c r="I90" s="26"/>
      <c r="J90" s="24"/>
      <c r="K90" s="25"/>
      <c r="L90" s="23"/>
      <c r="M90" s="25"/>
      <c r="N90" s="23"/>
      <c r="O90" s="26"/>
      <c r="P90" s="27"/>
      <c r="Q90" s="28"/>
      <c r="R90" s="29"/>
      <c r="S90" s="24"/>
      <c r="T90" s="25"/>
      <c r="U90" s="23"/>
      <c r="V90" s="25"/>
      <c r="W90" s="23"/>
      <c r="X90" s="26"/>
      <c r="Y90" s="24"/>
      <c r="Z90" s="25"/>
      <c r="AA90" s="23"/>
      <c r="AB90" s="25"/>
      <c r="AC90" s="23"/>
      <c r="AD90" s="26"/>
    </row>
    <row r="91">
      <c r="A91" s="30" t="s">
        <v>49</v>
      </c>
      <c r="B91" s="22" t="s">
        <v>63</v>
      </c>
      <c r="C91" s="22" t="s">
        <v>64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50</v>
      </c>
      <c r="B92" s="22" t="s">
        <v>63</v>
      </c>
      <c r="C92" s="22" t="s">
        <v>64</v>
      </c>
      <c r="D92" s="24"/>
      <c r="E92" s="25" t="n">
        <f>165</f>
        <v>165.0</v>
      </c>
      <c r="F92" s="23"/>
      <c r="G92" s="25" t="n">
        <f>150</f>
        <v>150.0</v>
      </c>
      <c r="H92" s="23"/>
      <c r="I92" s="26" t="n">
        <f>315</f>
        <v>315.0</v>
      </c>
      <c r="J92" s="24"/>
      <c r="K92" s="25" t="n">
        <f>168885000</f>
        <v>1.68885E8</v>
      </c>
      <c r="L92" s="23"/>
      <c r="M92" s="25" t="n">
        <f>158775000</f>
        <v>1.58775E8</v>
      </c>
      <c r="N92" s="23"/>
      <c r="O92" s="26" t="n">
        <f>327660000</f>
        <v>3.2766E8</v>
      </c>
      <c r="P92" s="27" t="str">
        <f>"－"</f>
        <v>－</v>
      </c>
      <c r="Q92" s="28" t="str">
        <f>"－"</f>
        <v>－</v>
      </c>
      <c r="R92" s="29" t="str">
        <f>"－"</f>
        <v>－</v>
      </c>
      <c r="S92" s="24"/>
      <c r="T92" s="25" t="n">
        <f>165</f>
        <v>165.0</v>
      </c>
      <c r="U92" s="23"/>
      <c r="V92" s="25" t="n">
        <f>150</f>
        <v>150.0</v>
      </c>
      <c r="W92" s="23"/>
      <c r="X92" s="26" t="n">
        <f>315</f>
        <v>315.0</v>
      </c>
      <c r="Y92" s="24"/>
      <c r="Z92" s="25" t="n">
        <f>105014</f>
        <v>105014.0</v>
      </c>
      <c r="AA92" s="23"/>
      <c r="AB92" s="25" t="n">
        <f>74738</f>
        <v>74738.0</v>
      </c>
      <c r="AC92" s="23"/>
      <c r="AD92" s="26" t="n">
        <f>179752</f>
        <v>179752.0</v>
      </c>
    </row>
    <row r="93">
      <c r="A93" s="30" t="s">
        <v>51</v>
      </c>
      <c r="B93" s="22" t="s">
        <v>63</v>
      </c>
      <c r="C93" s="22" t="s">
        <v>64</v>
      </c>
      <c r="D93" s="24"/>
      <c r="E93" s="25" t="n">
        <f>23</f>
        <v>23.0</v>
      </c>
      <c r="F93" s="23" t="s">
        <v>35</v>
      </c>
      <c r="G93" s="25" t="n">
        <f>3417</f>
        <v>3417.0</v>
      </c>
      <c r="H93" s="23"/>
      <c r="I93" s="26" t="n">
        <f>3440</f>
        <v>3440.0</v>
      </c>
      <c r="J93" s="24"/>
      <c r="K93" s="25" t="n">
        <f>9249496</f>
        <v>9249496.0</v>
      </c>
      <c r="L93" s="23"/>
      <c r="M93" s="25" t="n">
        <f>1568802700</f>
        <v>1.5688027E9</v>
      </c>
      <c r="N93" s="23"/>
      <c r="O93" s="26" t="n">
        <f>1578052196</f>
        <v>1.578052196E9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str">
        <f>"－"</f>
        <v>－</v>
      </c>
      <c r="U93" s="23" t="s">
        <v>35</v>
      </c>
      <c r="V93" s="25" t="n">
        <f>3394</f>
        <v>3394.0</v>
      </c>
      <c r="W93" s="23"/>
      <c r="X93" s="26" t="n">
        <f>3394</f>
        <v>3394.0</v>
      </c>
      <c r="Y93" s="24"/>
      <c r="Z93" s="25" t="n">
        <f>105014</f>
        <v>105014.0</v>
      </c>
      <c r="AA93" s="23" t="s">
        <v>37</v>
      </c>
      <c r="AB93" s="25" t="n">
        <f>73292</f>
        <v>73292.0</v>
      </c>
      <c r="AC93" s="23"/>
      <c r="AD93" s="26" t="n">
        <f>178306</f>
        <v>178306.0</v>
      </c>
    </row>
    <row r="94">
      <c r="A94" s="30" t="s">
        <v>52</v>
      </c>
      <c r="B94" s="22" t="s">
        <v>63</v>
      </c>
      <c r="C94" s="22" t="s">
        <v>64</v>
      </c>
      <c r="D94" s="24" t="s">
        <v>35</v>
      </c>
      <c r="E94" s="25" t="n">
        <f>7743</f>
        <v>7743.0</v>
      </c>
      <c r="F94" s="23"/>
      <c r="G94" s="25" t="n">
        <f>23</f>
        <v>23.0</v>
      </c>
      <c r="H94" s="23" t="s">
        <v>35</v>
      </c>
      <c r="I94" s="26" t="n">
        <f>7766</f>
        <v>7766.0</v>
      </c>
      <c r="J94" s="24" t="s">
        <v>35</v>
      </c>
      <c r="K94" s="25" t="n">
        <f>6528158872</f>
        <v>6.528158872E9</v>
      </c>
      <c r="L94" s="23"/>
      <c r="M94" s="25" t="n">
        <f>1087900</f>
        <v>1087900.0</v>
      </c>
      <c r="N94" s="23" t="s">
        <v>35</v>
      </c>
      <c r="O94" s="26" t="n">
        <f>6529246772</f>
        <v>6.529246772E9</v>
      </c>
      <c r="P94" s="27" t="str">
        <f>"－"</f>
        <v>－</v>
      </c>
      <c r="Q94" s="28" t="str">
        <f>"－"</f>
        <v>－</v>
      </c>
      <c r="R94" s="29" t="str">
        <f>"－"</f>
        <v>－</v>
      </c>
      <c r="S94" s="24" t="s">
        <v>35</v>
      </c>
      <c r="T94" s="25" t="n">
        <f>7743</f>
        <v>7743.0</v>
      </c>
      <c r="U94" s="23"/>
      <c r="V94" s="25" t="n">
        <f>23</f>
        <v>23.0</v>
      </c>
      <c r="W94" s="23" t="s">
        <v>35</v>
      </c>
      <c r="X94" s="26" t="n">
        <f>7766</f>
        <v>7766.0</v>
      </c>
      <c r="Y94" s="24"/>
      <c r="Z94" s="25" t="n">
        <f>108751</f>
        <v>108751.0</v>
      </c>
      <c r="AA94" s="23"/>
      <c r="AB94" s="25" t="n">
        <f>73292</f>
        <v>73292.0</v>
      </c>
      <c r="AC94" s="23"/>
      <c r="AD94" s="26" t="n">
        <f>182043</f>
        <v>182043.0</v>
      </c>
    </row>
    <row r="95">
      <c r="A95" s="30" t="s">
        <v>53</v>
      </c>
      <c r="B95" s="22" t="s">
        <v>63</v>
      </c>
      <c r="C95" s="22" t="s">
        <v>64</v>
      </c>
      <c r="D95" s="24"/>
      <c r="E95" s="25" t="n">
        <f>300</f>
        <v>300.0</v>
      </c>
      <c r="F95" s="23"/>
      <c r="G95" s="25" t="str">
        <f>"－"</f>
        <v>－</v>
      </c>
      <c r="H95" s="23"/>
      <c r="I95" s="26" t="n">
        <f>300</f>
        <v>300.0</v>
      </c>
      <c r="J95" s="24"/>
      <c r="K95" s="25" t="n">
        <f>459150000</f>
        <v>4.5915E8</v>
      </c>
      <c r="L95" s="23"/>
      <c r="M95" s="25" t="str">
        <f>"－"</f>
        <v>－</v>
      </c>
      <c r="N95" s="23"/>
      <c r="O95" s="26" t="n">
        <f>459150000</f>
        <v>4.5915E8</v>
      </c>
      <c r="P95" s="27" t="str">
        <f>"－"</f>
        <v>－</v>
      </c>
      <c r="Q95" s="28" t="str">
        <f>"－"</f>
        <v>－</v>
      </c>
      <c r="R95" s="29" t="str">
        <f>"－"</f>
        <v>－</v>
      </c>
      <c r="S95" s="24"/>
      <c r="T95" s="25" t="n">
        <f>300</f>
        <v>300.0</v>
      </c>
      <c r="U95" s="23"/>
      <c r="V95" s="25" t="str">
        <f>"－"</f>
        <v>－</v>
      </c>
      <c r="W95" s="23"/>
      <c r="X95" s="26" t="n">
        <f>300</f>
        <v>300.0</v>
      </c>
      <c r="Y95" s="24"/>
      <c r="Z95" s="25" t="n">
        <f>108901</f>
        <v>108901.0</v>
      </c>
      <c r="AA95" s="23"/>
      <c r="AB95" s="25" t="n">
        <f>73292</f>
        <v>73292.0</v>
      </c>
      <c r="AC95" s="23"/>
      <c r="AD95" s="26" t="n">
        <f>182193</f>
        <v>182193.0</v>
      </c>
    </row>
    <row r="96">
      <c r="A96" s="30" t="s">
        <v>54</v>
      </c>
      <c r="B96" s="22" t="s">
        <v>63</v>
      </c>
      <c r="C96" s="22" t="s">
        <v>64</v>
      </c>
      <c r="D96" s="24" t="s">
        <v>37</v>
      </c>
      <c r="E96" s="25" t="str">
        <f>"－"</f>
        <v>－</v>
      </c>
      <c r="F96" s="23"/>
      <c r="G96" s="25" t="n">
        <f>350</f>
        <v>350.0</v>
      </c>
      <c r="H96" s="23"/>
      <c r="I96" s="26" t="n">
        <f>350</f>
        <v>350.0</v>
      </c>
      <c r="J96" s="24" t="s">
        <v>37</v>
      </c>
      <c r="K96" s="25" t="str">
        <f>"－"</f>
        <v>－</v>
      </c>
      <c r="L96" s="23"/>
      <c r="M96" s="25" t="n">
        <f>99013600</f>
        <v>9.90136E7</v>
      </c>
      <c r="N96" s="23"/>
      <c r="O96" s="26" t="n">
        <f>99013600</f>
        <v>9.90136E7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str">
        <f>"－"</f>
        <v>－</v>
      </c>
      <c r="U96" s="23"/>
      <c r="V96" s="25" t="str">
        <f>"－"</f>
        <v>－</v>
      </c>
      <c r="W96" s="23"/>
      <c r="X96" s="26" t="str">
        <f>"－"</f>
        <v>－</v>
      </c>
      <c r="Y96" s="24"/>
      <c r="Z96" s="25" t="n">
        <f>108901</f>
        <v>108901.0</v>
      </c>
      <c r="AA96" s="23"/>
      <c r="AB96" s="25" t="n">
        <f>73542</f>
        <v>73542.0</v>
      </c>
      <c r="AC96" s="23"/>
      <c r="AD96" s="26" t="n">
        <f>182443</f>
        <v>182443.0</v>
      </c>
    </row>
    <row r="97">
      <c r="A97" s="30" t="s">
        <v>55</v>
      </c>
      <c r="B97" s="22" t="s">
        <v>63</v>
      </c>
      <c r="C97" s="22" t="s">
        <v>64</v>
      </c>
      <c r="D97" s="24"/>
      <c r="E97" s="25"/>
      <c r="F97" s="23"/>
      <c r="G97" s="25"/>
      <c r="H97" s="23"/>
      <c r="I97" s="26"/>
      <c r="J97" s="24"/>
      <c r="K97" s="25"/>
      <c r="L97" s="23"/>
      <c r="M97" s="25"/>
      <c r="N97" s="23"/>
      <c r="O97" s="26"/>
      <c r="P97" s="27"/>
      <c r="Q97" s="28"/>
      <c r="R97" s="29"/>
      <c r="S97" s="24"/>
      <c r="T97" s="25"/>
      <c r="U97" s="23"/>
      <c r="V97" s="25"/>
      <c r="W97" s="23"/>
      <c r="X97" s="26"/>
      <c r="Y97" s="24"/>
      <c r="Z97" s="25"/>
      <c r="AA97" s="23"/>
      <c r="AB97" s="25"/>
      <c r="AC97" s="23"/>
      <c r="AD97" s="26"/>
    </row>
    <row r="98">
      <c r="A98" s="30" t="s">
        <v>56</v>
      </c>
      <c r="B98" s="22" t="s">
        <v>63</v>
      </c>
      <c r="C98" s="22" t="s">
        <v>64</v>
      </c>
      <c r="D98" s="24"/>
      <c r="E98" s="25"/>
      <c r="F98" s="23"/>
      <c r="G98" s="25"/>
      <c r="H98" s="23"/>
      <c r="I98" s="26"/>
      <c r="J98" s="24"/>
      <c r="K98" s="25"/>
      <c r="L98" s="23"/>
      <c r="M98" s="25"/>
      <c r="N98" s="23"/>
      <c r="O98" s="26"/>
      <c r="P98" s="27"/>
      <c r="Q98" s="28"/>
      <c r="R98" s="29"/>
      <c r="S98" s="24"/>
      <c r="T98" s="25"/>
      <c r="U98" s="23"/>
      <c r="V98" s="25"/>
      <c r="W98" s="23"/>
      <c r="X98" s="26"/>
      <c r="Y98" s="24"/>
      <c r="Z98" s="25"/>
      <c r="AA98" s="23"/>
      <c r="AB98" s="25"/>
      <c r="AC98" s="23"/>
      <c r="AD98" s="26"/>
    </row>
    <row r="99">
      <c r="A99" s="30" t="s">
        <v>57</v>
      </c>
      <c r="B99" s="22" t="s">
        <v>63</v>
      </c>
      <c r="C99" s="22" t="s">
        <v>64</v>
      </c>
      <c r="D99" s="24"/>
      <c r="E99" s="25" t="n">
        <f>135</f>
        <v>135.0</v>
      </c>
      <c r="F99" s="23"/>
      <c r="G99" s="25" t="n">
        <f>250</f>
        <v>250.0</v>
      </c>
      <c r="H99" s="23"/>
      <c r="I99" s="26" t="n">
        <f>385</f>
        <v>385.0</v>
      </c>
      <c r="J99" s="24"/>
      <c r="K99" s="25" t="n">
        <f>70528050</f>
        <v>7.052805E7</v>
      </c>
      <c r="L99" s="23"/>
      <c r="M99" s="25" t="n">
        <f>212275000</f>
        <v>2.12275E8</v>
      </c>
      <c r="N99" s="23"/>
      <c r="O99" s="26" t="n">
        <f>282803050</f>
        <v>2.8280305E8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n">
        <f>135</f>
        <v>135.0</v>
      </c>
      <c r="U99" s="23"/>
      <c r="V99" s="25" t="str">
        <f>"－"</f>
        <v>－</v>
      </c>
      <c r="W99" s="23"/>
      <c r="X99" s="26" t="n">
        <f>135</f>
        <v>135.0</v>
      </c>
      <c r="Y99" s="24"/>
      <c r="Z99" s="25" t="n">
        <f>109036</f>
        <v>109036.0</v>
      </c>
      <c r="AA99" s="23"/>
      <c r="AB99" s="25" t="n">
        <f>73792</f>
        <v>73792.0</v>
      </c>
      <c r="AC99" s="23"/>
      <c r="AD99" s="26" t="n">
        <f>182828</f>
        <v>182828.0</v>
      </c>
    </row>
    <row r="100">
      <c r="A100" s="30" t="s">
        <v>58</v>
      </c>
      <c r="B100" s="22" t="s">
        <v>63</v>
      </c>
      <c r="C100" s="22" t="s">
        <v>64</v>
      </c>
      <c r="D100" s="24"/>
      <c r="E100" s="25" t="n">
        <f>246</f>
        <v>246.0</v>
      </c>
      <c r="F100" s="23"/>
      <c r="G100" s="25" t="n">
        <f>450</f>
        <v>450.0</v>
      </c>
      <c r="H100" s="23"/>
      <c r="I100" s="26" t="n">
        <f>696</f>
        <v>696.0</v>
      </c>
      <c r="J100" s="24"/>
      <c r="K100" s="25" t="n">
        <f>576763320</f>
        <v>5.7676332E8</v>
      </c>
      <c r="L100" s="23"/>
      <c r="M100" s="25" t="n">
        <f>597894580</f>
        <v>5.9789458E8</v>
      </c>
      <c r="N100" s="23"/>
      <c r="O100" s="26" t="n">
        <f>1174657900</f>
        <v>1.1746579E9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n">
        <f>46</f>
        <v>46.0</v>
      </c>
      <c r="U100" s="23"/>
      <c r="V100" s="25" t="n">
        <f>150</f>
        <v>150.0</v>
      </c>
      <c r="W100" s="23"/>
      <c r="X100" s="26" t="n">
        <f>196</f>
        <v>196.0</v>
      </c>
      <c r="Y100" s="24"/>
      <c r="Z100" s="25" t="n">
        <f>109059</f>
        <v>109059.0</v>
      </c>
      <c r="AA100" s="23"/>
      <c r="AB100" s="25" t="n">
        <f>73892</f>
        <v>73892.0</v>
      </c>
      <c r="AC100" s="23"/>
      <c r="AD100" s="26" t="n">
        <f>182951</f>
        <v>182951.0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 t="n">
        <f>380</f>
        <v>380.0</v>
      </c>
      <c r="F101" s="23"/>
      <c r="G101" s="25" t="n">
        <f>380</f>
        <v>380.0</v>
      </c>
      <c r="H101" s="23"/>
      <c r="I101" s="26" t="n">
        <f>760</f>
        <v>760.0</v>
      </c>
      <c r="J101" s="24"/>
      <c r="K101" s="25" t="n">
        <f>679000000</f>
        <v>6.79E8</v>
      </c>
      <c r="L101" s="23"/>
      <c r="M101" s="25" t="n">
        <f>670800000</f>
        <v>6.708E8</v>
      </c>
      <c r="N101" s="23"/>
      <c r="O101" s="26" t="n">
        <f>1349800000</f>
        <v>1.3498E9</v>
      </c>
      <c r="P101" s="27" t="str">
        <f>"－"</f>
        <v>－</v>
      </c>
      <c r="Q101" s="28" t="str">
        <f>"－"</f>
        <v>－</v>
      </c>
      <c r="R101" s="29" t="str">
        <f>"－"</f>
        <v>－</v>
      </c>
      <c r="S101" s="24"/>
      <c r="T101" s="25" t="str">
        <f>"－"</f>
        <v>－</v>
      </c>
      <c r="U101" s="23"/>
      <c r="V101" s="25" t="str">
        <f>"－"</f>
        <v>－</v>
      </c>
      <c r="W101" s="23"/>
      <c r="X101" s="26" t="str">
        <f>"－"</f>
        <v>－</v>
      </c>
      <c r="Y101" s="24"/>
      <c r="Z101" s="25" t="n">
        <f>109059</f>
        <v>109059.0</v>
      </c>
      <c r="AA101" s="23"/>
      <c r="AB101" s="25" t="n">
        <f>74022</f>
        <v>74022.0</v>
      </c>
      <c r="AC101" s="23"/>
      <c r="AD101" s="26" t="n">
        <f>183081</f>
        <v>183081.0</v>
      </c>
    </row>
    <row r="102">
      <c r="A102" s="30" t="s">
        <v>60</v>
      </c>
      <c r="B102" s="22" t="s">
        <v>63</v>
      </c>
      <c r="C102" s="22" t="s">
        <v>64</v>
      </c>
      <c r="D102" s="24"/>
      <c r="E102" s="25" t="n">
        <f>332</f>
        <v>332.0</v>
      </c>
      <c r="F102" s="23"/>
      <c r="G102" s="25" t="n">
        <f>1040</f>
        <v>1040.0</v>
      </c>
      <c r="H102" s="23"/>
      <c r="I102" s="26" t="n">
        <f>1372</f>
        <v>1372.0</v>
      </c>
      <c r="J102" s="24"/>
      <c r="K102" s="25" t="n">
        <f>213505120</f>
        <v>2.1350512E8</v>
      </c>
      <c r="L102" s="23"/>
      <c r="M102" s="25" t="n">
        <f>334463724</f>
        <v>3.34463724E8</v>
      </c>
      <c r="N102" s="23"/>
      <c r="O102" s="26" t="n">
        <f>547968844</f>
        <v>5.47968844E8</v>
      </c>
      <c r="P102" s="27" t="str">
        <f>"－"</f>
        <v>－</v>
      </c>
      <c r="Q102" s="28" t="str">
        <f>"－"</f>
        <v>－</v>
      </c>
      <c r="R102" s="29" t="str">
        <f>"－"</f>
        <v>－</v>
      </c>
      <c r="S102" s="24"/>
      <c r="T102" s="25" t="n">
        <f>212</f>
        <v>212.0</v>
      </c>
      <c r="U102" s="23"/>
      <c r="V102" s="25" t="str">
        <f>"－"</f>
        <v>－</v>
      </c>
      <c r="W102" s="23"/>
      <c r="X102" s="26" t="n">
        <f>212</f>
        <v>212.0</v>
      </c>
      <c r="Y102" s="24"/>
      <c r="Z102" s="25" t="n">
        <f>109171</f>
        <v>109171.0</v>
      </c>
      <c r="AA102" s="23"/>
      <c r="AB102" s="25" t="n">
        <f>73634</f>
        <v>73634.0</v>
      </c>
      <c r="AC102" s="23"/>
      <c r="AD102" s="26" t="n">
        <f>182805</f>
        <v>182805.0</v>
      </c>
    </row>
    <row r="103">
      <c r="A103" s="30" t="s">
        <v>26</v>
      </c>
      <c r="B103" s="22" t="s">
        <v>65</v>
      </c>
      <c r="C103" s="22" t="s">
        <v>66</v>
      </c>
      <c r="D103" s="24" t="s">
        <v>67</v>
      </c>
      <c r="E103" s="25" t="str">
        <f>"－"</f>
        <v>－</v>
      </c>
      <c r="F103" s="23" t="s">
        <v>67</v>
      </c>
      <c r="G103" s="25" t="str">
        <f>"－"</f>
        <v>－</v>
      </c>
      <c r="H103" s="23" t="s">
        <v>67</v>
      </c>
      <c r="I103" s="26" t="str">
        <f>"－"</f>
        <v>－</v>
      </c>
      <c r="J103" s="24" t="s">
        <v>67</v>
      </c>
      <c r="K103" s="25" t="str">
        <f>"－"</f>
        <v>－</v>
      </c>
      <c r="L103" s="23" t="s">
        <v>67</v>
      </c>
      <c r="M103" s="25" t="str">
        <f>"－"</f>
        <v>－</v>
      </c>
      <c r="N103" s="23" t="s">
        <v>67</v>
      </c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 t="s">
        <v>67</v>
      </c>
      <c r="T103" s="25" t="str">
        <f>"－"</f>
        <v>－</v>
      </c>
      <c r="U103" s="23" t="s">
        <v>67</v>
      </c>
      <c r="V103" s="25" t="str">
        <f>"－"</f>
        <v>－</v>
      </c>
      <c r="W103" s="23" t="s">
        <v>67</v>
      </c>
      <c r="X103" s="26" t="str">
        <f>"－"</f>
        <v>－</v>
      </c>
      <c r="Y103" s="24" t="s">
        <v>67</v>
      </c>
      <c r="Z103" s="25" t="str">
        <f>"－"</f>
        <v>－</v>
      </c>
      <c r="AA103" s="23" t="s">
        <v>67</v>
      </c>
      <c r="AB103" s="25" t="str">
        <f>"－"</f>
        <v>－</v>
      </c>
      <c r="AC103" s="23" t="s">
        <v>67</v>
      </c>
      <c r="AD103" s="26" t="str">
        <f>"－"</f>
        <v>－</v>
      </c>
    </row>
    <row r="104">
      <c r="A104" s="30" t="s">
        <v>29</v>
      </c>
      <c r="B104" s="22" t="s">
        <v>65</v>
      </c>
      <c r="C104" s="22" t="s">
        <v>66</v>
      </c>
      <c r="D104" s="24"/>
      <c r="E104" s="25" t="str">
        <f>"－"</f>
        <v>－</v>
      </c>
      <c r="F104" s="23"/>
      <c r="G104" s="25" t="str">
        <f>"－"</f>
        <v>－</v>
      </c>
      <c r="H104" s="23"/>
      <c r="I104" s="26" t="str">
        <f>"－"</f>
        <v>－</v>
      </c>
      <c r="J104" s="24"/>
      <c r="K104" s="25" t="str">
        <f>"－"</f>
        <v>－</v>
      </c>
      <c r="L104" s="23"/>
      <c r="M104" s="25" t="str">
        <f>"－"</f>
        <v>－</v>
      </c>
      <c r="N104" s="23"/>
      <c r="O104" s="26" t="str">
        <f>"－"</f>
        <v>－</v>
      </c>
      <c r="P104" s="27" t="str">
        <f>"－"</f>
        <v>－</v>
      </c>
      <c r="Q104" s="28" t="str">
        <f>"－"</f>
        <v>－</v>
      </c>
      <c r="R104" s="29" t="str">
        <f>"－"</f>
        <v>－</v>
      </c>
      <c r="S104" s="24"/>
      <c r="T104" s="25" t="str">
        <f>"－"</f>
        <v>－</v>
      </c>
      <c r="U104" s="23"/>
      <c r="V104" s="25" t="str">
        <f>"－"</f>
        <v>－</v>
      </c>
      <c r="W104" s="23"/>
      <c r="X104" s="26" t="str">
        <f>"－"</f>
        <v>－</v>
      </c>
      <c r="Y104" s="24"/>
      <c r="Z104" s="25" t="str">
        <f>"－"</f>
        <v>－</v>
      </c>
      <c r="AA104" s="23"/>
      <c r="AB104" s="25" t="str">
        <f>"－"</f>
        <v>－</v>
      </c>
      <c r="AC104" s="23"/>
      <c r="AD104" s="26" t="str">
        <f>"－"</f>
        <v>－</v>
      </c>
    </row>
    <row r="105">
      <c r="A105" s="30" t="s">
        <v>30</v>
      </c>
      <c r="B105" s="22" t="s">
        <v>65</v>
      </c>
      <c r="C105" s="22" t="s">
        <v>66</v>
      </c>
      <c r="D105" s="24"/>
      <c r="E105" s="25" t="str">
        <f>"－"</f>
        <v>－</v>
      </c>
      <c r="F105" s="23"/>
      <c r="G105" s="25" t="str">
        <f>"－"</f>
        <v>－</v>
      </c>
      <c r="H105" s="23"/>
      <c r="I105" s="26" t="str">
        <f>"－"</f>
        <v>－</v>
      </c>
      <c r="J105" s="24"/>
      <c r="K105" s="25" t="str">
        <f>"－"</f>
        <v>－</v>
      </c>
      <c r="L105" s="23"/>
      <c r="M105" s="25" t="str">
        <f>"－"</f>
        <v>－</v>
      </c>
      <c r="N105" s="23"/>
      <c r="O105" s="26" t="str">
        <f>"－"</f>
        <v>－</v>
      </c>
      <c r="P105" s="27" t="str">
        <f>"－"</f>
        <v>－</v>
      </c>
      <c r="Q105" s="28" t="str">
        <f>"－"</f>
        <v>－</v>
      </c>
      <c r="R105" s="29" t="str">
        <f>"－"</f>
        <v>－</v>
      </c>
      <c r="S105" s="24"/>
      <c r="T105" s="25" t="str">
        <f>"－"</f>
        <v>－</v>
      </c>
      <c r="U105" s="23"/>
      <c r="V105" s="25" t="str">
        <f>"－"</f>
        <v>－</v>
      </c>
      <c r="W105" s="23"/>
      <c r="X105" s="26" t="str">
        <f>"－"</f>
        <v>－</v>
      </c>
      <c r="Y105" s="24"/>
      <c r="Z105" s="25" t="str">
        <f>"－"</f>
        <v>－</v>
      </c>
      <c r="AA105" s="23"/>
      <c r="AB105" s="25" t="str">
        <f>"－"</f>
        <v>－</v>
      </c>
      <c r="AC105" s="23"/>
      <c r="AD105" s="26" t="str">
        <f>"－"</f>
        <v>－</v>
      </c>
    </row>
    <row r="106">
      <c r="A106" s="30" t="s">
        <v>31</v>
      </c>
      <c r="B106" s="22" t="s">
        <v>65</v>
      </c>
      <c r="C106" s="22" t="s">
        <v>66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32</v>
      </c>
      <c r="B107" s="22" t="s">
        <v>65</v>
      </c>
      <c r="C107" s="22" t="s">
        <v>66</v>
      </c>
      <c r="D107" s="24"/>
      <c r="E107" s="25"/>
      <c r="F107" s="23"/>
      <c r="G107" s="25"/>
      <c r="H107" s="23"/>
      <c r="I107" s="26"/>
      <c r="J107" s="24"/>
      <c r="K107" s="25"/>
      <c r="L107" s="23"/>
      <c r="M107" s="25"/>
      <c r="N107" s="23"/>
      <c r="O107" s="26"/>
      <c r="P107" s="27"/>
      <c r="Q107" s="28"/>
      <c r="R107" s="29"/>
      <c r="S107" s="24"/>
      <c r="T107" s="25"/>
      <c r="U107" s="23"/>
      <c r="V107" s="25"/>
      <c r="W107" s="23"/>
      <c r="X107" s="26"/>
      <c r="Y107" s="24"/>
      <c r="Z107" s="25"/>
      <c r="AA107" s="23"/>
      <c r="AB107" s="25"/>
      <c r="AC107" s="23"/>
      <c r="AD107" s="26"/>
    </row>
    <row r="108">
      <c r="A108" s="30" t="s">
        <v>33</v>
      </c>
      <c r="B108" s="22" t="s">
        <v>65</v>
      </c>
      <c r="C108" s="22" t="s">
        <v>66</v>
      </c>
      <c r="D108" s="24"/>
      <c r="E108" s="25"/>
      <c r="F108" s="23"/>
      <c r="G108" s="25"/>
      <c r="H108" s="23"/>
      <c r="I108" s="26"/>
      <c r="J108" s="24"/>
      <c r="K108" s="25"/>
      <c r="L108" s="23"/>
      <c r="M108" s="25"/>
      <c r="N108" s="23"/>
      <c r="O108" s="26"/>
      <c r="P108" s="27"/>
      <c r="Q108" s="28"/>
      <c r="R108" s="29"/>
      <c r="S108" s="24"/>
      <c r="T108" s="25"/>
      <c r="U108" s="23"/>
      <c r="V108" s="25"/>
      <c r="W108" s="23"/>
      <c r="X108" s="26"/>
      <c r="Y108" s="24"/>
      <c r="Z108" s="25"/>
      <c r="AA108" s="23"/>
      <c r="AB108" s="25"/>
      <c r="AC108" s="23"/>
      <c r="AD108" s="26"/>
    </row>
    <row r="109">
      <c r="A109" s="30" t="s">
        <v>34</v>
      </c>
      <c r="B109" s="22" t="s">
        <v>65</v>
      </c>
      <c r="C109" s="22" t="s">
        <v>66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36</v>
      </c>
      <c r="B110" s="22" t="s">
        <v>65</v>
      </c>
      <c r="C110" s="22" t="s">
        <v>66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38</v>
      </c>
      <c r="B111" s="22" t="s">
        <v>65</v>
      </c>
      <c r="C111" s="22" t="s">
        <v>66</v>
      </c>
      <c r="D111" s="24"/>
      <c r="E111" s="25" t="str">
        <f>"－"</f>
        <v>－</v>
      </c>
      <c r="F111" s="23"/>
      <c r="G111" s="25" t="str">
        <f>"－"</f>
        <v>－</v>
      </c>
      <c r="H111" s="23"/>
      <c r="I111" s="26" t="str">
        <f>"－"</f>
        <v>－</v>
      </c>
      <c r="J111" s="24"/>
      <c r="K111" s="25" t="str">
        <f>"－"</f>
        <v>－</v>
      </c>
      <c r="L111" s="23"/>
      <c r="M111" s="25" t="str">
        <f>"－"</f>
        <v>－</v>
      </c>
      <c r="N111" s="23"/>
      <c r="O111" s="26" t="str">
        <f>"－"</f>
        <v>－</v>
      </c>
      <c r="P111" s="27" t="str">
        <f>"－"</f>
        <v>－</v>
      </c>
      <c r="Q111" s="28" t="str">
        <f>"－"</f>
        <v>－</v>
      </c>
      <c r="R111" s="29" t="str">
        <f>"－"</f>
        <v>－</v>
      </c>
      <c r="S111" s="24"/>
      <c r="T111" s="25" t="str">
        <f>"－"</f>
        <v>－</v>
      </c>
      <c r="U111" s="23"/>
      <c r="V111" s="25" t="str">
        <f>"－"</f>
        <v>－</v>
      </c>
      <c r="W111" s="23"/>
      <c r="X111" s="26" t="str">
        <f>"－"</f>
        <v>－</v>
      </c>
      <c r="Y111" s="24"/>
      <c r="Z111" s="25" t="str">
        <f>"－"</f>
        <v>－</v>
      </c>
      <c r="AA111" s="23"/>
      <c r="AB111" s="25" t="str">
        <f>"－"</f>
        <v>－</v>
      </c>
      <c r="AC111" s="23"/>
      <c r="AD111" s="26" t="str">
        <f>"－"</f>
        <v>－</v>
      </c>
    </row>
    <row r="112">
      <c r="A112" s="30" t="s">
        <v>39</v>
      </c>
      <c r="B112" s="22" t="s">
        <v>65</v>
      </c>
      <c r="C112" s="22" t="s">
        <v>66</v>
      </c>
      <c r="D112" s="24"/>
      <c r="E112" s="25" t="str">
        <f>"－"</f>
        <v>－</v>
      </c>
      <c r="F112" s="23"/>
      <c r="G112" s="25" t="str">
        <f>"－"</f>
        <v>－</v>
      </c>
      <c r="H112" s="23"/>
      <c r="I112" s="26" t="str">
        <f>"－"</f>
        <v>－</v>
      </c>
      <c r="J112" s="24"/>
      <c r="K112" s="25" t="str">
        <f>"－"</f>
        <v>－</v>
      </c>
      <c r="L112" s="23"/>
      <c r="M112" s="25" t="str">
        <f>"－"</f>
        <v>－</v>
      </c>
      <c r="N112" s="23"/>
      <c r="O112" s="26" t="str">
        <f>"－"</f>
        <v>－</v>
      </c>
      <c r="P112" s="27" t="str">
        <f>"－"</f>
        <v>－</v>
      </c>
      <c r="Q112" s="28" t="str">
        <f>"－"</f>
        <v>－</v>
      </c>
      <c r="R112" s="29" t="str">
        <f>"－"</f>
        <v>－</v>
      </c>
      <c r="S112" s="24"/>
      <c r="T112" s="25" t="str">
        <f>"－"</f>
        <v>－</v>
      </c>
      <c r="U112" s="23"/>
      <c r="V112" s="25" t="str">
        <f>"－"</f>
        <v>－</v>
      </c>
      <c r="W112" s="23"/>
      <c r="X112" s="26" t="str">
        <f>"－"</f>
        <v>－</v>
      </c>
      <c r="Y112" s="24"/>
      <c r="Z112" s="25" t="str">
        <f>"－"</f>
        <v>－</v>
      </c>
      <c r="AA112" s="23"/>
      <c r="AB112" s="25" t="str">
        <f>"－"</f>
        <v>－</v>
      </c>
      <c r="AC112" s="23"/>
      <c r="AD112" s="26" t="str">
        <f>"－"</f>
        <v>－</v>
      </c>
    </row>
    <row r="113">
      <c r="A113" s="30" t="s">
        <v>40</v>
      </c>
      <c r="B113" s="22" t="s">
        <v>65</v>
      </c>
      <c r="C113" s="22" t="s">
        <v>66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41</v>
      </c>
      <c r="B114" s="22" t="s">
        <v>65</v>
      </c>
      <c r="C114" s="22" t="s">
        <v>66</v>
      </c>
      <c r="D114" s="24"/>
      <c r="E114" s="25"/>
      <c r="F114" s="23"/>
      <c r="G114" s="25"/>
      <c r="H114" s="23"/>
      <c r="I114" s="26"/>
      <c r="J114" s="24"/>
      <c r="K114" s="25"/>
      <c r="L114" s="23"/>
      <c r="M114" s="25"/>
      <c r="N114" s="23"/>
      <c r="O114" s="26"/>
      <c r="P114" s="27"/>
      <c r="Q114" s="28"/>
      <c r="R114" s="29"/>
      <c r="S114" s="24"/>
      <c r="T114" s="25"/>
      <c r="U114" s="23"/>
      <c r="V114" s="25"/>
      <c r="W114" s="23"/>
      <c r="X114" s="26"/>
      <c r="Y114" s="24"/>
      <c r="Z114" s="25"/>
      <c r="AA114" s="23"/>
      <c r="AB114" s="25"/>
      <c r="AC114" s="23"/>
      <c r="AD114" s="26"/>
    </row>
    <row r="115">
      <c r="A115" s="30" t="s">
        <v>42</v>
      </c>
      <c r="B115" s="22" t="s">
        <v>65</v>
      </c>
      <c r="C115" s="22" t="s">
        <v>66</v>
      </c>
      <c r="D115" s="24"/>
      <c r="E115" s="25"/>
      <c r="F115" s="23"/>
      <c r="G115" s="25"/>
      <c r="H115" s="23"/>
      <c r="I115" s="26"/>
      <c r="J115" s="24"/>
      <c r="K115" s="25"/>
      <c r="L115" s="23"/>
      <c r="M115" s="25"/>
      <c r="N115" s="23"/>
      <c r="O115" s="26"/>
      <c r="P115" s="27"/>
      <c r="Q115" s="28"/>
      <c r="R115" s="29"/>
      <c r="S115" s="24"/>
      <c r="T115" s="25"/>
      <c r="U115" s="23"/>
      <c r="V115" s="25"/>
      <c r="W115" s="23"/>
      <c r="X115" s="26"/>
      <c r="Y115" s="24"/>
      <c r="Z115" s="25"/>
      <c r="AA115" s="23"/>
      <c r="AB115" s="25"/>
      <c r="AC115" s="23"/>
      <c r="AD115" s="26"/>
    </row>
    <row r="116">
      <c r="A116" s="30" t="s">
        <v>43</v>
      </c>
      <c r="B116" s="22" t="s">
        <v>65</v>
      </c>
      <c r="C116" s="22" t="s">
        <v>66</v>
      </c>
      <c r="D116" s="24"/>
      <c r="E116" s="25"/>
      <c r="F116" s="23"/>
      <c r="G116" s="25"/>
      <c r="H116" s="23"/>
      <c r="I116" s="26"/>
      <c r="J116" s="24"/>
      <c r="K116" s="25"/>
      <c r="L116" s="23"/>
      <c r="M116" s="25"/>
      <c r="N116" s="23"/>
      <c r="O116" s="26"/>
      <c r="P116" s="27"/>
      <c r="Q116" s="28"/>
      <c r="R116" s="29"/>
      <c r="S116" s="24"/>
      <c r="T116" s="25"/>
      <c r="U116" s="23"/>
      <c r="V116" s="25"/>
      <c r="W116" s="23"/>
      <c r="X116" s="26"/>
      <c r="Y116" s="24"/>
      <c r="Z116" s="25"/>
      <c r="AA116" s="23"/>
      <c r="AB116" s="25"/>
      <c r="AC116" s="23"/>
      <c r="AD116" s="26"/>
    </row>
    <row r="117">
      <c r="A117" s="30" t="s">
        <v>44</v>
      </c>
      <c r="B117" s="22" t="s">
        <v>65</v>
      </c>
      <c r="C117" s="22" t="s">
        <v>66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45</v>
      </c>
      <c r="B118" s="22" t="s">
        <v>65</v>
      </c>
      <c r="C118" s="22" t="s">
        <v>66</v>
      </c>
      <c r="D118" s="24"/>
      <c r="E118" s="25" t="str">
        <f>"－"</f>
        <v>－</v>
      </c>
      <c r="F118" s="23"/>
      <c r="G118" s="25" t="str">
        <f>"－"</f>
        <v>－</v>
      </c>
      <c r="H118" s="23"/>
      <c r="I118" s="26" t="str">
        <f>"－"</f>
        <v>－</v>
      </c>
      <c r="J118" s="24"/>
      <c r="K118" s="25" t="str">
        <f>"－"</f>
        <v>－</v>
      </c>
      <c r="L118" s="23"/>
      <c r="M118" s="25" t="str">
        <f>"－"</f>
        <v>－</v>
      </c>
      <c r="N118" s="23"/>
      <c r="O118" s="26" t="str">
        <f>"－"</f>
        <v>－</v>
      </c>
      <c r="P118" s="27" t="str">
        <f>"－"</f>
        <v>－</v>
      </c>
      <c r="Q118" s="28" t="str">
        <f>"－"</f>
        <v>－</v>
      </c>
      <c r="R118" s="29" t="str">
        <f>"－"</f>
        <v>－</v>
      </c>
      <c r="S118" s="24"/>
      <c r="T118" s="25" t="str">
        <f>"－"</f>
        <v>－</v>
      </c>
      <c r="U118" s="23"/>
      <c r="V118" s="25" t="str">
        <f>"－"</f>
        <v>－</v>
      </c>
      <c r="W118" s="23"/>
      <c r="X118" s="26" t="str">
        <f>"－"</f>
        <v>－</v>
      </c>
      <c r="Y118" s="24"/>
      <c r="Z118" s="25" t="str">
        <f>"－"</f>
        <v>－</v>
      </c>
      <c r="AA118" s="23"/>
      <c r="AB118" s="25" t="str">
        <f>"－"</f>
        <v>－</v>
      </c>
      <c r="AC118" s="23"/>
      <c r="AD118" s="26" t="str">
        <f>"－"</f>
        <v>－</v>
      </c>
    </row>
    <row r="119">
      <c r="A119" s="30" t="s">
        <v>46</v>
      </c>
      <c r="B119" s="22" t="s">
        <v>65</v>
      </c>
      <c r="C119" s="22" t="s">
        <v>66</v>
      </c>
      <c r="D119" s="24"/>
      <c r="E119" s="25" t="str">
        <f>"－"</f>
        <v>－</v>
      </c>
      <c r="F119" s="23"/>
      <c r="G119" s="25" t="str">
        <f>"－"</f>
        <v>－</v>
      </c>
      <c r="H119" s="23"/>
      <c r="I119" s="26" t="str">
        <f>"－"</f>
        <v>－</v>
      </c>
      <c r="J119" s="24"/>
      <c r="K119" s="25" t="str">
        <f>"－"</f>
        <v>－</v>
      </c>
      <c r="L119" s="23"/>
      <c r="M119" s="25" t="str">
        <f>"－"</f>
        <v>－</v>
      </c>
      <c r="N119" s="23"/>
      <c r="O119" s="26" t="str">
        <f>"－"</f>
        <v>－</v>
      </c>
      <c r="P119" s="27" t="str">
        <f>"－"</f>
        <v>－</v>
      </c>
      <c r="Q119" s="28" t="str">
        <f>"－"</f>
        <v>－</v>
      </c>
      <c r="R119" s="29" t="str">
        <f>"－"</f>
        <v>－</v>
      </c>
      <c r="S119" s="24"/>
      <c r="T119" s="25" t="str">
        <f>"－"</f>
        <v>－</v>
      </c>
      <c r="U119" s="23"/>
      <c r="V119" s="25" t="str">
        <f>"－"</f>
        <v>－</v>
      </c>
      <c r="W119" s="23"/>
      <c r="X119" s="26" t="str">
        <f>"－"</f>
        <v>－</v>
      </c>
      <c r="Y119" s="24"/>
      <c r="Z119" s="25" t="str">
        <f>"－"</f>
        <v>－</v>
      </c>
      <c r="AA119" s="23"/>
      <c r="AB119" s="25" t="str">
        <f>"－"</f>
        <v>－</v>
      </c>
      <c r="AC119" s="23"/>
      <c r="AD119" s="26" t="str">
        <f>"－"</f>
        <v>－</v>
      </c>
    </row>
    <row r="120">
      <c r="A120" s="30" t="s">
        <v>47</v>
      </c>
      <c r="B120" s="22" t="s">
        <v>65</v>
      </c>
      <c r="C120" s="22" t="s">
        <v>66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48</v>
      </c>
      <c r="B121" s="22" t="s">
        <v>65</v>
      </c>
      <c r="C121" s="22" t="s">
        <v>66</v>
      </c>
      <c r="D121" s="24"/>
      <c r="E121" s="25"/>
      <c r="F121" s="23"/>
      <c r="G121" s="25"/>
      <c r="H121" s="23"/>
      <c r="I121" s="26"/>
      <c r="J121" s="24"/>
      <c r="K121" s="25"/>
      <c r="L121" s="23"/>
      <c r="M121" s="25"/>
      <c r="N121" s="23"/>
      <c r="O121" s="26"/>
      <c r="P121" s="27"/>
      <c r="Q121" s="28"/>
      <c r="R121" s="29"/>
      <c r="S121" s="24"/>
      <c r="T121" s="25"/>
      <c r="U121" s="23"/>
      <c r="V121" s="25"/>
      <c r="W121" s="23"/>
      <c r="X121" s="26"/>
      <c r="Y121" s="24"/>
      <c r="Z121" s="25"/>
      <c r="AA121" s="23"/>
      <c r="AB121" s="25"/>
      <c r="AC121" s="23"/>
      <c r="AD121" s="26"/>
    </row>
    <row r="122">
      <c r="A122" s="30" t="s">
        <v>49</v>
      </c>
      <c r="B122" s="22" t="s">
        <v>65</v>
      </c>
      <c r="C122" s="22" t="s">
        <v>66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50</v>
      </c>
      <c r="B123" s="22" t="s">
        <v>65</v>
      </c>
      <c r="C123" s="22" t="s">
        <v>66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 t="str">
        <f>"－"</f>
        <v>－</v>
      </c>
      <c r="F125" s="23"/>
      <c r="G125" s="25" t="str">
        <f>"－"</f>
        <v>－</v>
      </c>
      <c r="H125" s="23"/>
      <c r="I125" s="26" t="str">
        <f>"－"</f>
        <v>－</v>
      </c>
      <c r="J125" s="24"/>
      <c r="K125" s="25" t="str">
        <f>"－"</f>
        <v>－</v>
      </c>
      <c r="L125" s="23"/>
      <c r="M125" s="25" t="str">
        <f>"－"</f>
        <v>－</v>
      </c>
      <c r="N125" s="23"/>
      <c r="O125" s="26" t="str">
        <f>"－"</f>
        <v>－</v>
      </c>
      <c r="P125" s="27" t="str">
        <f>"－"</f>
        <v>－</v>
      </c>
      <c r="Q125" s="28" t="str">
        <f>"－"</f>
        <v>－</v>
      </c>
      <c r="R125" s="29" t="str">
        <f>"－"</f>
        <v>－</v>
      </c>
      <c r="S125" s="24"/>
      <c r="T125" s="25" t="str">
        <f>"－"</f>
        <v>－</v>
      </c>
      <c r="U125" s="23"/>
      <c r="V125" s="25" t="str">
        <f>"－"</f>
        <v>－</v>
      </c>
      <c r="W125" s="23"/>
      <c r="X125" s="26" t="str">
        <f>"－"</f>
        <v>－</v>
      </c>
      <c r="Y125" s="24"/>
      <c r="Z125" s="25" t="str">
        <f>"－"</f>
        <v>－</v>
      </c>
      <c r="AA125" s="23"/>
      <c r="AB125" s="25" t="str">
        <f>"－"</f>
        <v>－</v>
      </c>
      <c r="AC125" s="23"/>
      <c r="AD125" s="26" t="str">
        <f>"－"</f>
        <v>－</v>
      </c>
    </row>
    <row r="126">
      <c r="A126" s="30" t="s">
        <v>53</v>
      </c>
      <c r="B126" s="22" t="s">
        <v>65</v>
      </c>
      <c r="C126" s="22" t="s">
        <v>66</v>
      </c>
      <c r="D126" s="24"/>
      <c r="E126" s="25" t="str">
        <f>"－"</f>
        <v>－</v>
      </c>
      <c r="F126" s="23"/>
      <c r="G126" s="25" t="str">
        <f>"－"</f>
        <v>－</v>
      </c>
      <c r="H126" s="23"/>
      <c r="I126" s="26" t="str">
        <f>"－"</f>
        <v>－</v>
      </c>
      <c r="J126" s="24"/>
      <c r="K126" s="25" t="str">
        <f>"－"</f>
        <v>－</v>
      </c>
      <c r="L126" s="23"/>
      <c r="M126" s="25" t="str">
        <f>"－"</f>
        <v>－</v>
      </c>
      <c r="N126" s="23"/>
      <c r="O126" s="26" t="str">
        <f>"－"</f>
        <v>－</v>
      </c>
      <c r="P126" s="27" t="str">
        <f>"－"</f>
        <v>－</v>
      </c>
      <c r="Q126" s="28" t="str">
        <f>"－"</f>
        <v>－</v>
      </c>
      <c r="R126" s="29" t="str">
        <f>"－"</f>
        <v>－</v>
      </c>
      <c r="S126" s="24"/>
      <c r="T126" s="25" t="str">
        <f>"－"</f>
        <v>－</v>
      </c>
      <c r="U126" s="23"/>
      <c r="V126" s="25" t="str">
        <f>"－"</f>
        <v>－</v>
      </c>
      <c r="W126" s="23"/>
      <c r="X126" s="26" t="str">
        <f>"－"</f>
        <v>－</v>
      </c>
      <c r="Y126" s="24"/>
      <c r="Z126" s="25" t="str">
        <f>"－"</f>
        <v>－</v>
      </c>
      <c r="AA126" s="23"/>
      <c r="AB126" s="25" t="str">
        <f>"－"</f>
        <v>－</v>
      </c>
      <c r="AC126" s="23"/>
      <c r="AD126" s="26" t="str">
        <f>"－"</f>
        <v>－</v>
      </c>
    </row>
    <row r="127">
      <c r="A127" s="30" t="s">
        <v>54</v>
      </c>
      <c r="B127" s="22" t="s">
        <v>65</v>
      </c>
      <c r="C127" s="22" t="s">
        <v>66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55</v>
      </c>
      <c r="B128" s="22" t="s">
        <v>65</v>
      </c>
      <c r="C128" s="22" t="s">
        <v>66</v>
      </c>
      <c r="D128" s="24"/>
      <c r="E128" s="25"/>
      <c r="F128" s="23"/>
      <c r="G128" s="25"/>
      <c r="H128" s="23"/>
      <c r="I128" s="26"/>
      <c r="J128" s="24"/>
      <c r="K128" s="25"/>
      <c r="L128" s="23"/>
      <c r="M128" s="25"/>
      <c r="N128" s="23"/>
      <c r="O128" s="26"/>
      <c r="P128" s="27"/>
      <c r="Q128" s="28"/>
      <c r="R128" s="29"/>
      <c r="S128" s="24"/>
      <c r="T128" s="25"/>
      <c r="U128" s="23"/>
      <c r="V128" s="25"/>
      <c r="W128" s="23"/>
      <c r="X128" s="26"/>
      <c r="Y128" s="24"/>
      <c r="Z128" s="25"/>
      <c r="AA128" s="23"/>
      <c r="AB128" s="25"/>
      <c r="AC128" s="23"/>
      <c r="AD128" s="26"/>
    </row>
    <row r="129">
      <c r="A129" s="30" t="s">
        <v>56</v>
      </c>
      <c r="B129" s="22" t="s">
        <v>65</v>
      </c>
      <c r="C129" s="22" t="s">
        <v>66</v>
      </c>
      <c r="D129" s="24"/>
      <c r="E129" s="25"/>
      <c r="F129" s="23"/>
      <c r="G129" s="25"/>
      <c r="H129" s="23"/>
      <c r="I129" s="26"/>
      <c r="J129" s="24"/>
      <c r="K129" s="25"/>
      <c r="L129" s="23"/>
      <c r="M129" s="25"/>
      <c r="N129" s="23"/>
      <c r="O129" s="26"/>
      <c r="P129" s="27"/>
      <c r="Q129" s="28"/>
      <c r="R129" s="29"/>
      <c r="S129" s="24"/>
      <c r="T129" s="25"/>
      <c r="U129" s="23"/>
      <c r="V129" s="25"/>
      <c r="W129" s="23"/>
      <c r="X129" s="26"/>
      <c r="Y129" s="24"/>
      <c r="Z129" s="25"/>
      <c r="AA129" s="23"/>
      <c r="AB129" s="25"/>
      <c r="AC129" s="23"/>
      <c r="AD129" s="26"/>
    </row>
    <row r="130">
      <c r="A130" s="30" t="s">
        <v>57</v>
      </c>
      <c r="B130" s="22" t="s">
        <v>65</v>
      </c>
      <c r="C130" s="22" t="s">
        <v>66</v>
      </c>
      <c r="D130" s="24"/>
      <c r="E130" s="25" t="str">
        <f>"－"</f>
        <v>－</v>
      </c>
      <c r="F130" s="23"/>
      <c r="G130" s="25" t="str">
        <f>"－"</f>
        <v>－</v>
      </c>
      <c r="H130" s="23"/>
      <c r="I130" s="26" t="str">
        <f>"－"</f>
        <v>－</v>
      </c>
      <c r="J130" s="24"/>
      <c r="K130" s="25" t="str">
        <f>"－"</f>
        <v>－</v>
      </c>
      <c r="L130" s="23"/>
      <c r="M130" s="25" t="str">
        <f>"－"</f>
        <v>－</v>
      </c>
      <c r="N130" s="23"/>
      <c r="O130" s="26" t="str">
        <f>"－"</f>
        <v>－</v>
      </c>
      <c r="P130" s="27" t="str">
        <f>"－"</f>
        <v>－</v>
      </c>
      <c r="Q130" s="28" t="str">
        <f>"－"</f>
        <v>－</v>
      </c>
      <c r="R130" s="29" t="str">
        <f>"－"</f>
        <v>－</v>
      </c>
      <c r="S130" s="24"/>
      <c r="T130" s="25" t="str">
        <f>"－"</f>
        <v>－</v>
      </c>
      <c r="U130" s="23"/>
      <c r="V130" s="25" t="str">
        <f>"－"</f>
        <v>－</v>
      </c>
      <c r="W130" s="23"/>
      <c r="X130" s="26" t="str">
        <f>"－"</f>
        <v>－</v>
      </c>
      <c r="Y130" s="24"/>
      <c r="Z130" s="25" t="str">
        <f>"－"</f>
        <v>－</v>
      </c>
      <c r="AA130" s="23"/>
      <c r="AB130" s="25" t="str">
        <f>"－"</f>
        <v>－</v>
      </c>
      <c r="AC130" s="23"/>
      <c r="AD130" s="26" t="str">
        <f>"－"</f>
        <v>－</v>
      </c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 t="str">
        <f>"－"</f>
        <v>－</v>
      </c>
      <c r="F132" s="23"/>
      <c r="G132" s="25" t="str">
        <f>"－"</f>
        <v>－</v>
      </c>
      <c r="H132" s="23"/>
      <c r="I132" s="26" t="str">
        <f>"－"</f>
        <v>－</v>
      </c>
      <c r="J132" s="24"/>
      <c r="K132" s="25" t="str">
        <f>"－"</f>
        <v>－</v>
      </c>
      <c r="L132" s="23"/>
      <c r="M132" s="25" t="str">
        <f>"－"</f>
        <v>－</v>
      </c>
      <c r="N132" s="23"/>
      <c r="O132" s="26" t="str">
        <f>"－"</f>
        <v>－</v>
      </c>
      <c r="P132" s="27" t="str">
        <f>"－"</f>
        <v>－</v>
      </c>
      <c r="Q132" s="28" t="str">
        <f>"－"</f>
        <v>－</v>
      </c>
      <c r="R132" s="29" t="str">
        <f>"－"</f>
        <v>－</v>
      </c>
      <c r="S132" s="24"/>
      <c r="T132" s="25" t="str">
        <f>"－"</f>
        <v>－</v>
      </c>
      <c r="U132" s="23"/>
      <c r="V132" s="25" t="str">
        <f>"－"</f>
        <v>－</v>
      </c>
      <c r="W132" s="23"/>
      <c r="X132" s="26" t="str">
        <f>"－"</f>
        <v>－</v>
      </c>
      <c r="Y132" s="24"/>
      <c r="Z132" s="25" t="str">
        <f>"－"</f>
        <v>－</v>
      </c>
      <c r="AA132" s="23"/>
      <c r="AB132" s="25" t="str">
        <f>"－"</f>
        <v>－</v>
      </c>
      <c r="AC132" s="23"/>
      <c r="AD132" s="26" t="str">
        <f>"－"</f>
        <v>－</v>
      </c>
    </row>
    <row r="133">
      <c r="A133" s="30" t="s">
        <v>60</v>
      </c>
      <c r="B133" s="22" t="s">
        <v>65</v>
      </c>
      <c r="C133" s="22" t="s">
        <v>66</v>
      </c>
      <c r="D133" s="24"/>
      <c r="E133" s="25" t="str">
        <f>"－"</f>
        <v>－</v>
      </c>
      <c r="F133" s="23"/>
      <c r="G133" s="25" t="str">
        <f>"－"</f>
        <v>－</v>
      </c>
      <c r="H133" s="23"/>
      <c r="I133" s="26" t="str">
        <f>"－"</f>
        <v>－</v>
      </c>
      <c r="J133" s="24"/>
      <c r="K133" s="25" t="str">
        <f>"－"</f>
        <v>－</v>
      </c>
      <c r="L133" s="23"/>
      <c r="M133" s="25" t="str">
        <f>"－"</f>
        <v>－</v>
      </c>
      <c r="N133" s="23"/>
      <c r="O133" s="26" t="str">
        <f>"－"</f>
        <v>－</v>
      </c>
      <c r="P133" s="27" t="str">
        <f>"－"</f>
        <v>－</v>
      </c>
      <c r="Q133" s="28" t="str">
        <f>"－"</f>
        <v>－</v>
      </c>
      <c r="R133" s="29" t="str">
        <f>"－"</f>
        <v>－</v>
      </c>
      <c r="S133" s="24"/>
      <c r="T133" s="25" t="str">
        <f>"－"</f>
        <v>－</v>
      </c>
      <c r="U133" s="23"/>
      <c r="V133" s="25" t="str">
        <f>"－"</f>
        <v>－</v>
      </c>
      <c r="W133" s="23"/>
      <c r="X133" s="26" t="str">
        <f>"－"</f>
        <v>－</v>
      </c>
      <c r="Y133" s="24"/>
      <c r="Z133" s="25" t="str">
        <f>"－"</f>
        <v>－</v>
      </c>
      <c r="AA133" s="23"/>
      <c r="AB133" s="25" t="str">
        <f>"－"</f>
        <v>－</v>
      </c>
      <c r="AC133" s="23"/>
      <c r="AD133" s="26" t="str">
        <f>"－"</f>
        <v>－</v>
      </c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31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32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33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34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36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38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39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40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31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32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33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34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36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38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39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40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