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<sst xmlns="http://schemas.openxmlformats.org/spreadsheetml/2006/main" count="680" uniqueCount="71">
  <si>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</si>
  <si>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</si>
  <si>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</si>
  <si>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</si>
  <si>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</si>
  <si>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</si>
  <si>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</si>
  <si>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</si>
  <si>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</si>
  <si>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</si>
  <si>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</si>
  <si>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</si>
  <si>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</si>
  <si>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</si>
  <si>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</si>
  <si>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</si>
  <si>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</si>
  <si>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</si>
  <si>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</si>
  <si>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</si>
  <si>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</si>
  <si>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</si>
  <si>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</si>
  <si>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</si>
  <si>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</si>
  <si>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</si>
  <si>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11.1</t>
  </si>
  <si>
    <t>日経225オプション</t>
  </si>
  <si>
    <t>Nikkei 225 Options</t>
  </si>
  <si>
    <t>2</t>
  </si>
  <si>
    <t>3</t>
  </si>
  <si>
    <t>4</t>
  </si>
  <si>
    <t>5</t>
  </si>
  <si>
    <t>6</t>
  </si>
  <si>
    <t>7</t>
  </si>
  <si>
    <t>◎</t>
  </si>
  <si>
    <t>8</t>
  </si>
  <si>
    <t>●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</si>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</sst>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8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22740</f>
        <v>22740.0</v>
      </c>
      <c r="F10" s="23"/>
      <c r="G10" s="25" t="n">
        <f>28988</f>
        <v>28988.0</v>
      </c>
      <c r="H10" s="23"/>
      <c r="I10" s="26" t="n">
        <f>51728</f>
        <v>51728.0</v>
      </c>
      <c r="J10" s="24"/>
      <c r="K10" s="25" t="n">
        <f>7286224488</f>
        <v>7.286224488E9</v>
      </c>
      <c r="L10" s="23"/>
      <c r="M10" s="25" t="n">
        <f>7580793750</f>
        <v>7.58079375E9</v>
      </c>
      <c r="N10" s="23"/>
      <c r="O10" s="26" t="n">
        <f>14867018238</f>
        <v>1.4867018238E10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3405</f>
        <v>3405.0</v>
      </c>
      <c r="U10" s="23"/>
      <c r="V10" s="25" t="n">
        <f>6595</f>
        <v>6595.0</v>
      </c>
      <c r="W10" s="23"/>
      <c r="X10" s="26" t="n">
        <f>10000</f>
        <v>10000.0</v>
      </c>
      <c r="Y10" s="24"/>
      <c r="Z10" s="25" t="n">
        <f>657317</f>
        <v>657317.0</v>
      </c>
      <c r="AA10" s="23"/>
      <c r="AB10" s="25" t="n">
        <f>401529</f>
        <v>401529.0</v>
      </c>
      <c r="AC10" s="23"/>
      <c r="AD10" s="26" t="n">
        <f>1058846</f>
        <v>1058846.0</v>
      </c>
    </row>
    <row r="11">
      <c r="A11" s="30" t="s">
        <v>29</v>
      </c>
      <c r="B11" s="22" t="s">
        <v>27</v>
      </c>
      <c r="C11" s="22" t="s">
        <v>28</v>
      </c>
      <c r="D11" s="24"/>
      <c r="E11" s="25"/>
      <c r="F11" s="23"/>
      <c r="G11" s="25"/>
      <c r="H11" s="23"/>
      <c r="I11" s="26"/>
      <c r="J11" s="24"/>
      <c r="K11" s="25"/>
      <c r="L11" s="23"/>
      <c r="M11" s="25"/>
      <c r="N11" s="23"/>
      <c r="O11" s="26"/>
      <c r="P11" s="27"/>
      <c r="Q11" s="28"/>
      <c r="R11" s="29"/>
      <c r="S11" s="24"/>
      <c r="T11" s="25"/>
      <c r="U11" s="23"/>
      <c r="V11" s="25"/>
      <c r="W11" s="23"/>
      <c r="X11" s="26"/>
      <c r="Y11" s="24"/>
      <c r="Z11" s="25"/>
      <c r="AA11" s="23"/>
      <c r="AB11" s="25"/>
      <c r="AC11" s="23"/>
      <c r="AD11" s="26"/>
    </row>
    <row r="12">
      <c r="A12" s="30" t="s">
        <v>30</v>
      </c>
      <c r="B12" s="22" t="s">
        <v>27</v>
      </c>
      <c r="C12" s="22" t="s">
        <v>28</v>
      </c>
      <c r="D12" s="24"/>
      <c r="E12" s="25"/>
      <c r="F12" s="23"/>
      <c r="G12" s="25"/>
      <c r="H12" s="23"/>
      <c r="I12" s="26"/>
      <c r="J12" s="24"/>
      <c r="K12" s="25"/>
      <c r="L12" s="23"/>
      <c r="M12" s="25"/>
      <c r="N12" s="23"/>
      <c r="O12" s="26"/>
      <c r="P12" s="27"/>
      <c r="Q12" s="28"/>
      <c r="R12" s="29"/>
      <c r="S12" s="24"/>
      <c r="T12" s="25"/>
      <c r="U12" s="23"/>
      <c r="V12" s="25"/>
      <c r="W12" s="23"/>
      <c r="X12" s="26"/>
      <c r="Y12" s="24"/>
      <c r="Z12" s="25"/>
      <c r="AA12" s="23"/>
      <c r="AB12" s="25"/>
      <c r="AC12" s="23"/>
      <c r="AD12" s="26"/>
    </row>
    <row r="13">
      <c r="A13" s="30" t="s">
        <v>31</v>
      </c>
      <c r="B13" s="22" t="s">
        <v>27</v>
      </c>
      <c r="C13" s="22" t="s">
        <v>28</v>
      </c>
      <c r="D13" s="24"/>
      <c r="E13" s="25"/>
      <c r="F13" s="23"/>
      <c r="G13" s="25"/>
      <c r="H13" s="23"/>
      <c r="I13" s="26"/>
      <c r="J13" s="24"/>
      <c r="K13" s="25"/>
      <c r="L13" s="23"/>
      <c r="M13" s="25"/>
      <c r="N13" s="23"/>
      <c r="O13" s="26"/>
      <c r="P13" s="27"/>
      <c r="Q13" s="28"/>
      <c r="R13" s="29"/>
      <c r="S13" s="24"/>
      <c r="T13" s="25"/>
      <c r="U13" s="23"/>
      <c r="V13" s="25"/>
      <c r="W13" s="23"/>
      <c r="X13" s="26"/>
      <c r="Y13" s="24"/>
      <c r="Z13" s="25"/>
      <c r="AA13" s="23"/>
      <c r="AB13" s="25"/>
      <c r="AC13" s="23"/>
      <c r="AD13" s="26"/>
    </row>
    <row r="14">
      <c r="A14" s="30" t="s">
        <v>32</v>
      </c>
      <c r="B14" s="22" t="s">
        <v>27</v>
      </c>
      <c r="C14" s="22" t="s">
        <v>28</v>
      </c>
      <c r="D14" s="24"/>
      <c r="E14" s="25" t="n">
        <f>28751</f>
        <v>28751.0</v>
      </c>
      <c r="F14" s="23"/>
      <c r="G14" s="25" t="n">
        <f>23214</f>
        <v>23214.0</v>
      </c>
      <c r="H14" s="23"/>
      <c r="I14" s="26" t="n">
        <f>51965</f>
        <v>51965.0</v>
      </c>
      <c r="J14" s="24"/>
      <c r="K14" s="25" t="n">
        <f>12427736468</f>
        <v>1.2427736468E10</v>
      </c>
      <c r="L14" s="23"/>
      <c r="M14" s="25" t="n">
        <f>6849901550</f>
        <v>6.84990155E9</v>
      </c>
      <c r="N14" s="23"/>
      <c r="O14" s="26" t="n">
        <f>19277638018</f>
        <v>1.9277638018E10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4191</f>
        <v>4191.0</v>
      </c>
      <c r="U14" s="23"/>
      <c r="V14" s="25" t="n">
        <f>3421</f>
        <v>3421.0</v>
      </c>
      <c r="W14" s="23"/>
      <c r="X14" s="26" t="n">
        <f>7612</f>
        <v>7612.0</v>
      </c>
      <c r="Y14" s="24"/>
      <c r="Z14" s="25" t="n">
        <f>660379</f>
        <v>660379.0</v>
      </c>
      <c r="AA14" s="23"/>
      <c r="AB14" s="25" t="n">
        <f>404162</f>
        <v>404162.0</v>
      </c>
      <c r="AC14" s="23"/>
      <c r="AD14" s="26" t="n">
        <f>1064541</f>
        <v>1064541.0</v>
      </c>
    </row>
    <row r="15">
      <c r="A15" s="30" t="s">
        <v>33</v>
      </c>
      <c r="B15" s="22" t="s">
        <v>27</v>
      </c>
      <c r="C15" s="22" t="s">
        <v>28</v>
      </c>
      <c r="D15" s="24"/>
      <c r="E15" s="25" t="n">
        <f>41372</f>
        <v>41372.0</v>
      </c>
      <c r="F15" s="23"/>
      <c r="G15" s="25" t="n">
        <f>28836</f>
        <v>28836.0</v>
      </c>
      <c r="H15" s="23"/>
      <c r="I15" s="26" t="n">
        <f>70208</f>
        <v>70208.0</v>
      </c>
      <c r="J15" s="24"/>
      <c r="K15" s="25" t="n">
        <f>8542955334</f>
        <v>8.542955334E9</v>
      </c>
      <c r="L15" s="23"/>
      <c r="M15" s="25" t="n">
        <f>6507725402</f>
        <v>6.507725402E9</v>
      </c>
      <c r="N15" s="23"/>
      <c r="O15" s="26" t="n">
        <f>15050680736</f>
        <v>1.5050680736E10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8166</f>
        <v>8166.0</v>
      </c>
      <c r="U15" s="23"/>
      <c r="V15" s="25" t="n">
        <f>4177</f>
        <v>4177.0</v>
      </c>
      <c r="W15" s="23"/>
      <c r="X15" s="26" t="n">
        <f>12343</f>
        <v>12343.0</v>
      </c>
      <c r="Y15" s="24"/>
      <c r="Z15" s="25" t="n">
        <f>664126</f>
        <v>664126.0</v>
      </c>
      <c r="AA15" s="23"/>
      <c r="AB15" s="25" t="n">
        <f>407468</f>
        <v>407468.0</v>
      </c>
      <c r="AC15" s="23"/>
      <c r="AD15" s="26" t="n">
        <f>1071594</f>
        <v>1071594.0</v>
      </c>
    </row>
    <row r="16">
      <c r="A16" s="30" t="s">
        <v>34</v>
      </c>
      <c r="B16" s="22" t="s">
        <v>27</v>
      </c>
      <c r="C16" s="22" t="s">
        <v>28</v>
      </c>
      <c r="D16" s="24" t="s">
        <v>35</v>
      </c>
      <c r="E16" s="25" t="n">
        <f>46495</f>
        <v>46495.0</v>
      </c>
      <c r="F16" s="23" t="s">
        <v>35</v>
      </c>
      <c r="G16" s="25" t="n">
        <f>38059</f>
        <v>38059.0</v>
      </c>
      <c r="H16" s="23" t="s">
        <v>35</v>
      </c>
      <c r="I16" s="26" t="n">
        <f>84554</f>
        <v>84554.0</v>
      </c>
      <c r="J16" s="24"/>
      <c r="K16" s="25" t="n">
        <f>12699198555</f>
        <v>1.2699198555E10</v>
      </c>
      <c r="L16" s="23" t="s">
        <v>35</v>
      </c>
      <c r="M16" s="25" t="n">
        <f>9739313860</f>
        <v>9.73931386E9</v>
      </c>
      <c r="N16" s="23"/>
      <c r="O16" s="26" t="n">
        <f>22438512415</f>
        <v>2.2438512415E10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 t="s">
        <v>35</v>
      </c>
      <c r="T16" s="25" t="n">
        <f>9873</f>
        <v>9873.0</v>
      </c>
      <c r="U16" s="23" t="s">
        <v>35</v>
      </c>
      <c r="V16" s="25" t="n">
        <f>7151</f>
        <v>7151.0</v>
      </c>
      <c r="W16" s="23" t="s">
        <v>35</v>
      </c>
      <c r="X16" s="26" t="n">
        <f>17024</f>
        <v>17024.0</v>
      </c>
      <c r="Y16" s="24" t="s">
        <v>35</v>
      </c>
      <c r="Z16" s="25" t="n">
        <f>673060</f>
        <v>673060.0</v>
      </c>
      <c r="AA16" s="23" t="s">
        <v>35</v>
      </c>
      <c r="AB16" s="25" t="n">
        <f>411441</f>
        <v>411441.0</v>
      </c>
      <c r="AC16" s="23" t="s">
        <v>35</v>
      </c>
      <c r="AD16" s="26" t="n">
        <f>1084501</f>
        <v>1084501.0</v>
      </c>
    </row>
    <row r="17">
      <c r="A17" s="30" t="s">
        <v>36</v>
      </c>
      <c r="B17" s="22" t="s">
        <v>27</v>
      </c>
      <c r="C17" s="22" t="s">
        <v>28</v>
      </c>
      <c r="D17" s="24"/>
      <c r="E17" s="25" t="n">
        <f>24543</f>
        <v>24543.0</v>
      </c>
      <c r="F17" s="23"/>
      <c r="G17" s="25" t="n">
        <f>19392</f>
        <v>19392.0</v>
      </c>
      <c r="H17" s="23"/>
      <c r="I17" s="26" t="n">
        <f>43935</f>
        <v>43935.0</v>
      </c>
      <c r="J17" s="24"/>
      <c r="K17" s="25" t="n">
        <f>10936008780</f>
        <v>1.093600878E10</v>
      </c>
      <c r="L17" s="23"/>
      <c r="M17" s="25" t="n">
        <f>9296486290</f>
        <v>9.29648629E9</v>
      </c>
      <c r="N17" s="23"/>
      <c r="O17" s="26" t="n">
        <f>20232495070</f>
        <v>2.023249507E10</v>
      </c>
      <c r="P17" s="27" t="n">
        <f>1544</f>
        <v>1544.0</v>
      </c>
      <c r="Q17" s="28" t="n">
        <f>20760</f>
        <v>20760.0</v>
      </c>
      <c r="R17" s="29" t="n">
        <f>22304</f>
        <v>22304.0</v>
      </c>
      <c r="S17" s="24"/>
      <c r="T17" s="25" t="n">
        <f>4947</f>
        <v>4947.0</v>
      </c>
      <c r="U17" s="23"/>
      <c r="V17" s="25" t="n">
        <f>4182</f>
        <v>4182.0</v>
      </c>
      <c r="W17" s="23"/>
      <c r="X17" s="26" t="n">
        <f>9129</f>
        <v>9129.0</v>
      </c>
      <c r="Y17" s="24" t="s">
        <v>37</v>
      </c>
      <c r="Z17" s="25" t="n">
        <f>594292</f>
        <v>594292.0</v>
      </c>
      <c r="AA17" s="23" t="s">
        <v>37</v>
      </c>
      <c r="AB17" s="25" t="n">
        <f>358625</f>
        <v>358625.0</v>
      </c>
      <c r="AC17" s="23" t="s">
        <v>37</v>
      </c>
      <c r="AD17" s="26" t="n">
        <f>952917</f>
        <v>952917.0</v>
      </c>
    </row>
    <row r="18">
      <c r="A18" s="30" t="s">
        <v>38</v>
      </c>
      <c r="B18" s="22" t="s">
        <v>27</v>
      </c>
      <c r="C18" s="22" t="s">
        <v>28</v>
      </c>
      <c r="D18" s="24"/>
      <c r="E18" s="25"/>
      <c r="F18" s="23"/>
      <c r="G18" s="25"/>
      <c r="H18" s="23"/>
      <c r="I18" s="26"/>
      <c r="J18" s="24"/>
      <c r="K18" s="25"/>
      <c r="L18" s="23"/>
      <c r="M18" s="25"/>
      <c r="N18" s="23"/>
      <c r="O18" s="26"/>
      <c r="P18" s="27"/>
      <c r="Q18" s="28"/>
      <c r="R18" s="29"/>
      <c r="S18" s="24"/>
      <c r="T18" s="25"/>
      <c r="U18" s="23"/>
      <c r="V18" s="25"/>
      <c r="W18" s="23"/>
      <c r="X18" s="26"/>
      <c r="Y18" s="24"/>
      <c r="Z18" s="25"/>
      <c r="AA18" s="23"/>
      <c r="AB18" s="25"/>
      <c r="AC18" s="23"/>
      <c r="AD18" s="26"/>
    </row>
    <row r="19">
      <c r="A19" s="30" t="s">
        <v>39</v>
      </c>
      <c r="B19" s="22" t="s">
        <v>27</v>
      </c>
      <c r="C19" s="22" t="s">
        <v>28</v>
      </c>
      <c r="D19" s="24"/>
      <c r="E19" s="25"/>
      <c r="F19" s="23"/>
      <c r="G19" s="25"/>
      <c r="H19" s="23"/>
      <c r="I19" s="26"/>
      <c r="J19" s="24"/>
      <c r="K19" s="25"/>
      <c r="L19" s="23"/>
      <c r="M19" s="25"/>
      <c r="N19" s="23"/>
      <c r="O19" s="26"/>
      <c r="P19" s="27"/>
      <c r="Q19" s="28"/>
      <c r="R19" s="29"/>
      <c r="S19" s="24"/>
      <c r="T19" s="25"/>
      <c r="U19" s="23"/>
      <c r="V19" s="25"/>
      <c r="W19" s="23"/>
      <c r="X19" s="26"/>
      <c r="Y19" s="24"/>
      <c r="Z19" s="25"/>
      <c r="AA19" s="23"/>
      <c r="AB19" s="25"/>
      <c r="AC19" s="23"/>
      <c r="AD19" s="26"/>
    </row>
    <row r="20">
      <c r="A20" s="30" t="s">
        <v>40</v>
      </c>
      <c r="B20" s="22" t="s">
        <v>27</v>
      </c>
      <c r="C20" s="22" t="s">
        <v>28</v>
      </c>
      <c r="D20" s="24"/>
      <c r="E20" s="25" t="n">
        <f>25335</f>
        <v>25335.0</v>
      </c>
      <c r="F20" s="23"/>
      <c r="G20" s="25" t="n">
        <f>19635</f>
        <v>19635.0</v>
      </c>
      <c r="H20" s="23"/>
      <c r="I20" s="26" t="n">
        <f>44970</f>
        <v>44970.0</v>
      </c>
      <c r="J20" s="24"/>
      <c r="K20" s="25" t="n">
        <f>8437279470</f>
        <v>8.43727947E9</v>
      </c>
      <c r="L20" s="23"/>
      <c r="M20" s="25" t="n">
        <f>6717589980</f>
        <v>6.71758998E9</v>
      </c>
      <c r="N20" s="23"/>
      <c r="O20" s="26" t="n">
        <f>15154869450</f>
        <v>1.515486945E10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3050</f>
        <v>3050.0</v>
      </c>
      <c r="U20" s="23"/>
      <c r="V20" s="25" t="n">
        <f>3939</f>
        <v>3939.0</v>
      </c>
      <c r="W20" s="23"/>
      <c r="X20" s="26" t="n">
        <f>6989</f>
        <v>6989.0</v>
      </c>
      <c r="Y20" s="24"/>
      <c r="Z20" s="25" t="n">
        <f>600728</f>
        <v>600728.0</v>
      </c>
      <c r="AA20" s="23"/>
      <c r="AB20" s="25" t="n">
        <f>361768</f>
        <v>361768.0</v>
      </c>
      <c r="AC20" s="23"/>
      <c r="AD20" s="26" t="n">
        <f>962496</f>
        <v>962496.0</v>
      </c>
    </row>
    <row r="21">
      <c r="A21" s="30" t="s">
        <v>41</v>
      </c>
      <c r="B21" s="22" t="s">
        <v>27</v>
      </c>
      <c r="C21" s="22" t="s">
        <v>28</v>
      </c>
      <c r="D21" s="24"/>
      <c r="E21" s="25" t="n">
        <f>26540</f>
        <v>26540.0</v>
      </c>
      <c r="F21" s="23"/>
      <c r="G21" s="25" t="n">
        <f>18046</f>
        <v>18046.0</v>
      </c>
      <c r="H21" s="23"/>
      <c r="I21" s="26" t="n">
        <f>44586</f>
        <v>44586.0</v>
      </c>
      <c r="J21" s="24"/>
      <c r="K21" s="25" t="n">
        <f>9231922612</f>
        <v>9.231922612E9</v>
      </c>
      <c r="L21" s="23"/>
      <c r="M21" s="25" t="n">
        <f>6383890960</f>
        <v>6.38389096E9</v>
      </c>
      <c r="N21" s="23"/>
      <c r="O21" s="26" t="n">
        <f>15615813572</f>
        <v>1.5615813572E10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4"/>
      <c r="T21" s="25" t="n">
        <f>5025</f>
        <v>5025.0</v>
      </c>
      <c r="U21" s="23"/>
      <c r="V21" s="25" t="n">
        <f>3417</f>
        <v>3417.0</v>
      </c>
      <c r="W21" s="23"/>
      <c r="X21" s="26" t="n">
        <f>8442</f>
        <v>8442.0</v>
      </c>
      <c r="Y21" s="24"/>
      <c r="Z21" s="25" t="n">
        <f>606362</f>
        <v>606362.0</v>
      </c>
      <c r="AA21" s="23"/>
      <c r="AB21" s="25" t="n">
        <f>365914</f>
        <v>365914.0</v>
      </c>
      <c r="AC21" s="23"/>
      <c r="AD21" s="26" t="n">
        <f>972276</f>
        <v>972276.0</v>
      </c>
    </row>
    <row r="22">
      <c r="A22" s="30" t="s">
        <v>42</v>
      </c>
      <c r="B22" s="22" t="s">
        <v>27</v>
      </c>
      <c r="C22" s="22" t="s">
        <v>28</v>
      </c>
      <c r="D22" s="24"/>
      <c r="E22" s="25" t="n">
        <f>20244</f>
        <v>20244.0</v>
      </c>
      <c r="F22" s="23"/>
      <c r="G22" s="25" t="n">
        <f>16097</f>
        <v>16097.0</v>
      </c>
      <c r="H22" s="23"/>
      <c r="I22" s="26" t="n">
        <f>36341</f>
        <v>36341.0</v>
      </c>
      <c r="J22" s="24"/>
      <c r="K22" s="25" t="n">
        <f>9224908194</f>
        <v>9.224908194E9</v>
      </c>
      <c r="L22" s="23"/>
      <c r="M22" s="25" t="n">
        <f>6232398630</f>
        <v>6.23239863E9</v>
      </c>
      <c r="N22" s="23"/>
      <c r="O22" s="26" t="n">
        <f>15457306824</f>
        <v>1.5457306824E10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4"/>
      <c r="T22" s="25" t="n">
        <f>4219</f>
        <v>4219.0</v>
      </c>
      <c r="U22" s="23"/>
      <c r="V22" s="25" t="n">
        <f>2849</f>
        <v>2849.0</v>
      </c>
      <c r="W22" s="23"/>
      <c r="X22" s="26" t="n">
        <f>7068</f>
        <v>7068.0</v>
      </c>
      <c r="Y22" s="24"/>
      <c r="Z22" s="25" t="n">
        <f>608075</f>
        <v>608075.0</v>
      </c>
      <c r="AA22" s="23"/>
      <c r="AB22" s="25" t="n">
        <f>367161</f>
        <v>367161.0</v>
      </c>
      <c r="AC22" s="23"/>
      <c r="AD22" s="26" t="n">
        <f>975236</f>
        <v>975236.0</v>
      </c>
    </row>
    <row r="23">
      <c r="A23" s="30" t="s">
        <v>43</v>
      </c>
      <c r="B23" s="22" t="s">
        <v>27</v>
      </c>
      <c r="C23" s="22" t="s">
        <v>28</v>
      </c>
      <c r="D23" s="24"/>
      <c r="E23" s="25" t="n">
        <f>18562</f>
        <v>18562.0</v>
      </c>
      <c r="F23" s="23"/>
      <c r="G23" s="25" t="n">
        <f>10021</f>
        <v>10021.0</v>
      </c>
      <c r="H23" s="23"/>
      <c r="I23" s="26" t="n">
        <f>28583</f>
        <v>28583.0</v>
      </c>
      <c r="J23" s="24"/>
      <c r="K23" s="25" t="n">
        <f>10039512580</f>
        <v>1.003951258E10</v>
      </c>
      <c r="L23" s="23"/>
      <c r="M23" s="25" t="n">
        <f>2824033410</f>
        <v>2.82403341E9</v>
      </c>
      <c r="N23" s="23"/>
      <c r="O23" s="26" t="n">
        <f>12863545990</f>
        <v>1.286354599E10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4"/>
      <c r="T23" s="25" t="n">
        <f>3382</f>
        <v>3382.0</v>
      </c>
      <c r="U23" s="23"/>
      <c r="V23" s="25" t="n">
        <f>1673</f>
        <v>1673.0</v>
      </c>
      <c r="W23" s="23"/>
      <c r="X23" s="26" t="n">
        <f>5055</f>
        <v>5055.0</v>
      </c>
      <c r="Y23" s="24"/>
      <c r="Z23" s="25" t="n">
        <f>612029</f>
        <v>612029.0</v>
      </c>
      <c r="AA23" s="23"/>
      <c r="AB23" s="25" t="n">
        <f>367513</f>
        <v>367513.0</v>
      </c>
      <c r="AC23" s="23"/>
      <c r="AD23" s="26" t="n">
        <f>979542</f>
        <v>979542.0</v>
      </c>
    </row>
    <row r="24">
      <c r="A24" s="30" t="s">
        <v>44</v>
      </c>
      <c r="B24" s="22" t="s">
        <v>27</v>
      </c>
      <c r="C24" s="22" t="s">
        <v>28</v>
      </c>
      <c r="D24" s="24"/>
      <c r="E24" s="25" t="n">
        <f>14509</f>
        <v>14509.0</v>
      </c>
      <c r="F24" s="23" t="s">
        <v>37</v>
      </c>
      <c r="G24" s="25" t="n">
        <f>9384</f>
        <v>9384.0</v>
      </c>
      <c r="H24" s="23" t="s">
        <v>37</v>
      </c>
      <c r="I24" s="26" t="n">
        <f>23893</f>
        <v>23893.0</v>
      </c>
      <c r="J24" s="24"/>
      <c r="K24" s="25" t="n">
        <f>6572944570</f>
        <v>6.57294457E9</v>
      </c>
      <c r="L24" s="23"/>
      <c r="M24" s="25" t="n">
        <f>2651590210</f>
        <v>2.65159021E9</v>
      </c>
      <c r="N24" s="23"/>
      <c r="O24" s="26" t="n">
        <f>9224534780</f>
        <v>9.22453478E9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4442</f>
        <v>4442.0</v>
      </c>
      <c r="U24" s="23" t="s">
        <v>37</v>
      </c>
      <c r="V24" s="25" t="n">
        <f>1335</f>
        <v>1335.0</v>
      </c>
      <c r="W24" s="23"/>
      <c r="X24" s="26" t="n">
        <f>5777</f>
        <v>5777.0</v>
      </c>
      <c r="Y24" s="24"/>
      <c r="Z24" s="25" t="n">
        <f>616253</f>
        <v>616253.0</v>
      </c>
      <c r="AA24" s="23"/>
      <c r="AB24" s="25" t="n">
        <f>368866</f>
        <v>368866.0</v>
      </c>
      <c r="AC24" s="23"/>
      <c r="AD24" s="26" t="n">
        <f>985119</f>
        <v>985119.0</v>
      </c>
    </row>
    <row r="25">
      <c r="A25" s="30" t="s">
        <v>45</v>
      </c>
      <c r="B25" s="22" t="s">
        <v>27</v>
      </c>
      <c r="C25" s="22" t="s">
        <v>28</v>
      </c>
      <c r="D25" s="24"/>
      <c r="E25" s="25"/>
      <c r="F25" s="23"/>
      <c r="G25" s="25"/>
      <c r="H25" s="23"/>
      <c r="I25" s="26"/>
      <c r="J25" s="24"/>
      <c r="K25" s="25"/>
      <c r="L25" s="23"/>
      <c r="M25" s="25"/>
      <c r="N25" s="23"/>
      <c r="O25" s="26"/>
      <c r="P25" s="27"/>
      <c r="Q25" s="28"/>
      <c r="R25" s="29"/>
      <c r="S25" s="24"/>
      <c r="T25" s="25"/>
      <c r="U25" s="23"/>
      <c r="V25" s="25"/>
      <c r="W25" s="23"/>
      <c r="X25" s="26"/>
      <c r="Y25" s="24"/>
      <c r="Z25" s="25"/>
      <c r="AA25" s="23"/>
      <c r="AB25" s="25"/>
      <c r="AC25" s="23"/>
      <c r="AD25" s="26"/>
    </row>
    <row r="26">
      <c r="A26" s="30" t="s">
        <v>46</v>
      </c>
      <c r="B26" s="22" t="s">
        <v>27</v>
      </c>
      <c r="C26" s="22" t="s">
        <v>28</v>
      </c>
      <c r="D26" s="24"/>
      <c r="E26" s="25"/>
      <c r="F26" s="23"/>
      <c r="G26" s="25"/>
      <c r="H26" s="23"/>
      <c r="I26" s="26"/>
      <c r="J26" s="24"/>
      <c r="K26" s="25"/>
      <c r="L26" s="23"/>
      <c r="M26" s="25"/>
      <c r="N26" s="23"/>
      <c r="O26" s="26"/>
      <c r="P26" s="27"/>
      <c r="Q26" s="28"/>
      <c r="R26" s="29"/>
      <c r="S26" s="24"/>
      <c r="T26" s="25"/>
      <c r="U26" s="23"/>
      <c r="V26" s="25"/>
      <c r="W26" s="23"/>
      <c r="X26" s="26"/>
      <c r="Y26" s="24"/>
      <c r="Z26" s="25"/>
      <c r="AA26" s="23"/>
      <c r="AB26" s="25"/>
      <c r="AC26" s="23"/>
      <c r="AD26" s="26"/>
    </row>
    <row r="27">
      <c r="A27" s="30" t="s">
        <v>47</v>
      </c>
      <c r="B27" s="22" t="s">
        <v>27</v>
      </c>
      <c r="C27" s="22" t="s">
        <v>28</v>
      </c>
      <c r="D27" s="24"/>
      <c r="E27" s="25" t="n">
        <f>25181</f>
        <v>25181.0</v>
      </c>
      <c r="F27" s="23"/>
      <c r="G27" s="25" t="n">
        <f>16896</f>
        <v>16896.0</v>
      </c>
      <c r="H27" s="23"/>
      <c r="I27" s="26" t="n">
        <f>42077</f>
        <v>42077.0</v>
      </c>
      <c r="J27" s="24"/>
      <c r="K27" s="25" t="n">
        <f>11536048260</f>
        <v>1.153604826E10</v>
      </c>
      <c r="L27" s="23"/>
      <c r="M27" s="25" t="n">
        <f>5860365170</f>
        <v>5.86036517E9</v>
      </c>
      <c r="N27" s="23"/>
      <c r="O27" s="26" t="n">
        <f>17396413430</f>
        <v>1.739641343E10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2341</f>
        <v>2341.0</v>
      </c>
      <c r="U27" s="23"/>
      <c r="V27" s="25" t="n">
        <f>1395</f>
        <v>1395.0</v>
      </c>
      <c r="W27" s="23"/>
      <c r="X27" s="26" t="n">
        <f>3736</f>
        <v>3736.0</v>
      </c>
      <c r="Y27" s="24"/>
      <c r="Z27" s="25" t="n">
        <f>622837</f>
        <v>622837.0</v>
      </c>
      <c r="AA27" s="23"/>
      <c r="AB27" s="25" t="n">
        <f>372686</f>
        <v>372686.0</v>
      </c>
      <c r="AC27" s="23"/>
      <c r="AD27" s="26" t="n">
        <f>995523</f>
        <v>995523.0</v>
      </c>
    </row>
    <row r="28">
      <c r="A28" s="30" t="s">
        <v>48</v>
      </c>
      <c r="B28" s="22" t="s">
        <v>27</v>
      </c>
      <c r="C28" s="22" t="s">
        <v>28</v>
      </c>
      <c r="D28" s="24" t="s">
        <v>37</v>
      </c>
      <c r="E28" s="25" t="n">
        <f>12567</f>
        <v>12567.0</v>
      </c>
      <c r="F28" s="23"/>
      <c r="G28" s="25" t="n">
        <f>11785</f>
        <v>11785.0</v>
      </c>
      <c r="H28" s="23"/>
      <c r="I28" s="26" t="n">
        <f>24352</f>
        <v>24352.0</v>
      </c>
      <c r="J28" s="24"/>
      <c r="K28" s="25" t="n">
        <f>6557688143</f>
        <v>6.557688143E9</v>
      </c>
      <c r="L28" s="23"/>
      <c r="M28" s="25" t="n">
        <f>5410581840</f>
        <v>5.41058184E9</v>
      </c>
      <c r="N28" s="23"/>
      <c r="O28" s="26" t="n">
        <f>11968269983</f>
        <v>1.1968269983E10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1781</f>
        <v>1781.0</v>
      </c>
      <c r="U28" s="23"/>
      <c r="V28" s="25" t="n">
        <f>1352</f>
        <v>1352.0</v>
      </c>
      <c r="W28" s="23" t="s">
        <v>37</v>
      </c>
      <c r="X28" s="26" t="n">
        <f>3133</f>
        <v>3133.0</v>
      </c>
      <c r="Y28" s="24"/>
      <c r="Z28" s="25" t="n">
        <f>625493</f>
        <v>625493.0</v>
      </c>
      <c r="AA28" s="23"/>
      <c r="AB28" s="25" t="n">
        <f>374734</f>
        <v>374734.0</v>
      </c>
      <c r="AC28" s="23"/>
      <c r="AD28" s="26" t="n">
        <f>1000227</f>
        <v>1000227.0</v>
      </c>
    </row>
    <row r="29">
      <c r="A29" s="30" t="s">
        <v>49</v>
      </c>
      <c r="B29" s="22" t="s">
        <v>27</v>
      </c>
      <c r="C29" s="22" t="s">
        <v>28</v>
      </c>
      <c r="D29" s="24"/>
      <c r="E29" s="25" t="n">
        <f>36102</f>
        <v>36102.0</v>
      </c>
      <c r="F29" s="23"/>
      <c r="G29" s="25" t="n">
        <f>19130</f>
        <v>19130.0</v>
      </c>
      <c r="H29" s="23"/>
      <c r="I29" s="26" t="n">
        <f>55232</f>
        <v>55232.0</v>
      </c>
      <c r="J29" s="24"/>
      <c r="K29" s="25" t="n">
        <f>13533976520</f>
        <v>1.353397652E10</v>
      </c>
      <c r="L29" s="23"/>
      <c r="M29" s="25" t="n">
        <f>7869083690</f>
        <v>7.86908369E9</v>
      </c>
      <c r="N29" s="23"/>
      <c r="O29" s="26" t="n">
        <f>21403060210</f>
        <v>2.140306021E10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5601</f>
        <v>5601.0</v>
      </c>
      <c r="U29" s="23"/>
      <c r="V29" s="25" t="n">
        <f>1946</f>
        <v>1946.0</v>
      </c>
      <c r="W29" s="23"/>
      <c r="X29" s="26" t="n">
        <f>7547</f>
        <v>7547.0</v>
      </c>
      <c r="Y29" s="24"/>
      <c r="Z29" s="25" t="n">
        <f>635155</f>
        <v>635155.0</v>
      </c>
      <c r="AA29" s="23"/>
      <c r="AB29" s="25" t="n">
        <f>377200</f>
        <v>377200.0</v>
      </c>
      <c r="AC29" s="23"/>
      <c r="AD29" s="26" t="n">
        <f>1012355</f>
        <v>1012355.0</v>
      </c>
    </row>
    <row r="30">
      <c r="A30" s="30" t="s">
        <v>50</v>
      </c>
      <c r="B30" s="22" t="s">
        <v>27</v>
      </c>
      <c r="C30" s="22" t="s">
        <v>28</v>
      </c>
      <c r="D30" s="24"/>
      <c r="E30" s="25" t="n">
        <f>28039</f>
        <v>28039.0</v>
      </c>
      <c r="F30" s="23"/>
      <c r="G30" s="25" t="n">
        <f>19315</f>
        <v>19315.0</v>
      </c>
      <c r="H30" s="23"/>
      <c r="I30" s="26" t="n">
        <f>47354</f>
        <v>47354.0</v>
      </c>
      <c r="J30" s="24"/>
      <c r="K30" s="25" t="n">
        <f>14646100169</f>
        <v>1.4646100169E10</v>
      </c>
      <c r="L30" s="23"/>
      <c r="M30" s="25" t="n">
        <f>5718163140</f>
        <v>5.71816314E9</v>
      </c>
      <c r="N30" s="23"/>
      <c r="O30" s="26" t="n">
        <f>20364263309</f>
        <v>2.0364263309E10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2484</f>
        <v>2484.0</v>
      </c>
      <c r="U30" s="23"/>
      <c r="V30" s="25" t="n">
        <f>3102</f>
        <v>3102.0</v>
      </c>
      <c r="W30" s="23"/>
      <c r="X30" s="26" t="n">
        <f>5586</f>
        <v>5586.0</v>
      </c>
      <c r="Y30" s="24"/>
      <c r="Z30" s="25" t="n">
        <f>641164</f>
        <v>641164.0</v>
      </c>
      <c r="AA30" s="23"/>
      <c r="AB30" s="25" t="n">
        <f>380885</f>
        <v>380885.0</v>
      </c>
      <c r="AC30" s="23"/>
      <c r="AD30" s="26" t="n">
        <f>1022049</f>
        <v>1022049.0</v>
      </c>
    </row>
    <row r="31">
      <c r="A31" s="30" t="s">
        <v>51</v>
      </c>
      <c r="B31" s="22" t="s">
        <v>27</v>
      </c>
      <c r="C31" s="22" t="s">
        <v>28</v>
      </c>
      <c r="D31" s="24"/>
      <c r="E31" s="25" t="n">
        <f>27892</f>
        <v>27892.0</v>
      </c>
      <c r="F31" s="23"/>
      <c r="G31" s="25" t="n">
        <f>22585</f>
        <v>22585.0</v>
      </c>
      <c r="H31" s="23"/>
      <c r="I31" s="26" t="n">
        <f>50477</f>
        <v>50477.0</v>
      </c>
      <c r="J31" s="24" t="s">
        <v>35</v>
      </c>
      <c r="K31" s="25" t="n">
        <f>14763627017</f>
        <v>1.4763627017E10</v>
      </c>
      <c r="L31" s="23"/>
      <c r="M31" s="25" t="n">
        <f>9585634274</f>
        <v>9.585634274E9</v>
      </c>
      <c r="N31" s="23" t="s">
        <v>35</v>
      </c>
      <c r="O31" s="26" t="n">
        <f>24349261291</f>
        <v>2.4349261291E10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4280</f>
        <v>4280.0</v>
      </c>
      <c r="U31" s="23"/>
      <c r="V31" s="25" t="n">
        <f>6235</f>
        <v>6235.0</v>
      </c>
      <c r="W31" s="23"/>
      <c r="X31" s="26" t="n">
        <f>10515</f>
        <v>10515.0</v>
      </c>
      <c r="Y31" s="24"/>
      <c r="Z31" s="25" t="n">
        <f>644426</f>
        <v>644426.0</v>
      </c>
      <c r="AA31" s="23"/>
      <c r="AB31" s="25" t="n">
        <f>386164</f>
        <v>386164.0</v>
      </c>
      <c r="AC31" s="23"/>
      <c r="AD31" s="26" t="n">
        <f>1030590</f>
        <v>1030590.0</v>
      </c>
    </row>
    <row r="32">
      <c r="A32" s="30" t="s">
        <v>52</v>
      </c>
      <c r="B32" s="22" t="s">
        <v>27</v>
      </c>
      <c r="C32" s="22" t="s">
        <v>28</v>
      </c>
      <c r="D32" s="24"/>
      <c r="E32" s="25"/>
      <c r="F32" s="23"/>
      <c r="G32" s="25"/>
      <c r="H32" s="23"/>
      <c r="I32" s="26"/>
      <c r="J32" s="24"/>
      <c r="K32" s="25"/>
      <c r="L32" s="23"/>
      <c r="M32" s="25"/>
      <c r="N32" s="23"/>
      <c r="O32" s="26"/>
      <c r="P32" s="27"/>
      <c r="Q32" s="28"/>
      <c r="R32" s="29"/>
      <c r="S32" s="24"/>
      <c r="T32" s="25"/>
      <c r="U32" s="23"/>
      <c r="V32" s="25"/>
      <c r="W32" s="23"/>
      <c r="X32" s="26"/>
      <c r="Y32" s="24"/>
      <c r="Z32" s="25"/>
      <c r="AA32" s="23"/>
      <c r="AB32" s="25"/>
      <c r="AC32" s="23"/>
      <c r="AD32" s="26"/>
    </row>
    <row r="33">
      <c r="A33" s="30" t="s">
        <v>53</v>
      </c>
      <c r="B33" s="22" t="s">
        <v>27</v>
      </c>
      <c r="C33" s="22" t="s">
        <v>28</v>
      </c>
      <c r="D33" s="24"/>
      <c r="E33" s="25"/>
      <c r="F33" s="23"/>
      <c r="G33" s="25"/>
      <c r="H33" s="23"/>
      <c r="I33" s="26"/>
      <c r="J33" s="24"/>
      <c r="K33" s="25"/>
      <c r="L33" s="23"/>
      <c r="M33" s="25"/>
      <c r="N33" s="23"/>
      <c r="O33" s="26"/>
      <c r="P33" s="27"/>
      <c r="Q33" s="28"/>
      <c r="R33" s="29"/>
      <c r="S33" s="24"/>
      <c r="T33" s="25"/>
      <c r="U33" s="23"/>
      <c r="V33" s="25"/>
      <c r="W33" s="23"/>
      <c r="X33" s="26"/>
      <c r="Y33" s="24"/>
      <c r="Z33" s="25"/>
      <c r="AA33" s="23"/>
      <c r="AB33" s="25"/>
      <c r="AC33" s="23"/>
      <c r="AD33" s="26"/>
    </row>
    <row r="34">
      <c r="A34" s="30" t="s">
        <v>54</v>
      </c>
      <c r="B34" s="22" t="s">
        <v>27</v>
      </c>
      <c r="C34" s="22" t="s">
        <v>28</v>
      </c>
      <c r="D34" s="24"/>
      <c r="E34" s="25" t="n">
        <f>21403</f>
        <v>21403.0</v>
      </c>
      <c r="F34" s="23"/>
      <c r="G34" s="25" t="n">
        <f>15510</f>
        <v>15510.0</v>
      </c>
      <c r="H34" s="23"/>
      <c r="I34" s="26" t="n">
        <f>36913</f>
        <v>36913.0</v>
      </c>
      <c r="J34" s="24"/>
      <c r="K34" s="25" t="n">
        <f>5864106770</f>
        <v>5.86410677E9</v>
      </c>
      <c r="L34" s="23"/>
      <c r="M34" s="25" t="n">
        <f>5202569301</f>
        <v>5.202569301E9</v>
      </c>
      <c r="N34" s="23"/>
      <c r="O34" s="26" t="n">
        <f>11066676071</f>
        <v>1.1066676071E10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4676</f>
        <v>4676.0</v>
      </c>
      <c r="U34" s="23"/>
      <c r="V34" s="25" t="n">
        <f>2767</f>
        <v>2767.0</v>
      </c>
      <c r="W34" s="23"/>
      <c r="X34" s="26" t="n">
        <f>7443</f>
        <v>7443.0</v>
      </c>
      <c r="Y34" s="24"/>
      <c r="Z34" s="25" t="n">
        <f>645179</f>
        <v>645179.0</v>
      </c>
      <c r="AA34" s="23"/>
      <c r="AB34" s="25" t="n">
        <f>388706</f>
        <v>388706.0</v>
      </c>
      <c r="AC34" s="23"/>
      <c r="AD34" s="26" t="n">
        <f>1033885</f>
        <v>1033885.0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19327</f>
        <v>19327.0</v>
      </c>
      <c r="F35" s="23"/>
      <c r="G35" s="25" t="n">
        <f>17286</f>
        <v>17286.0</v>
      </c>
      <c r="H35" s="23"/>
      <c r="I35" s="26" t="n">
        <f>36613</f>
        <v>36613.0</v>
      </c>
      <c r="J35" s="24"/>
      <c r="K35" s="25" t="n">
        <f>6507274331</f>
        <v>6.507274331E9</v>
      </c>
      <c r="L35" s="23"/>
      <c r="M35" s="25" t="n">
        <f>4046622560</f>
        <v>4.04662256E9</v>
      </c>
      <c r="N35" s="23"/>
      <c r="O35" s="26" t="n">
        <f>10553896891</f>
        <v>1.0553896891E10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3080</f>
        <v>3080.0</v>
      </c>
      <c r="U35" s="23"/>
      <c r="V35" s="25" t="n">
        <f>3196</f>
        <v>3196.0</v>
      </c>
      <c r="W35" s="23"/>
      <c r="X35" s="26" t="n">
        <f>6276</f>
        <v>6276.0</v>
      </c>
      <c r="Y35" s="24"/>
      <c r="Z35" s="25" t="n">
        <f>647481</f>
        <v>647481.0</v>
      </c>
      <c r="AA35" s="23"/>
      <c r="AB35" s="25" t="n">
        <f>390412</f>
        <v>390412.0</v>
      </c>
      <c r="AC35" s="23"/>
      <c r="AD35" s="26" t="n">
        <f>1037893</f>
        <v>1037893.0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20460</f>
        <v>20460.0</v>
      </c>
      <c r="F36" s="23"/>
      <c r="G36" s="25" t="n">
        <f>13561</f>
        <v>13561.0</v>
      </c>
      <c r="H36" s="23"/>
      <c r="I36" s="26" t="n">
        <f>34021</f>
        <v>34021.0</v>
      </c>
      <c r="J36" s="24"/>
      <c r="K36" s="25" t="n">
        <f>4722937565</f>
        <v>4.722937565E9</v>
      </c>
      <c r="L36" s="23"/>
      <c r="M36" s="25" t="n">
        <f>3442202720</f>
        <v>3.44220272E9</v>
      </c>
      <c r="N36" s="23"/>
      <c r="O36" s="26" t="n">
        <f>8165140285</f>
        <v>8.165140285E9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 t="s">
        <v>37</v>
      </c>
      <c r="T36" s="25" t="n">
        <f>1484</f>
        <v>1484.0</v>
      </c>
      <c r="U36" s="23"/>
      <c r="V36" s="25" t="n">
        <f>2157</f>
        <v>2157.0</v>
      </c>
      <c r="W36" s="23"/>
      <c r="X36" s="26" t="n">
        <f>3641</f>
        <v>3641.0</v>
      </c>
      <c r="Y36" s="24"/>
      <c r="Z36" s="25" t="n">
        <f>649996</f>
        <v>649996.0</v>
      </c>
      <c r="AA36" s="23"/>
      <c r="AB36" s="25" t="n">
        <f>392903</f>
        <v>392903.0</v>
      </c>
      <c r="AC36" s="23"/>
      <c r="AD36" s="26" t="n">
        <f>1042899</f>
        <v>1042899.0</v>
      </c>
    </row>
    <row r="37">
      <c r="A37" s="30" t="s">
        <v>57</v>
      </c>
      <c r="B37" s="22" t="s">
        <v>27</v>
      </c>
      <c r="C37" s="22" t="s">
        <v>28</v>
      </c>
      <c r="D37" s="24"/>
      <c r="E37" s="25" t="n">
        <f>28161</f>
        <v>28161.0</v>
      </c>
      <c r="F37" s="23"/>
      <c r="G37" s="25" t="n">
        <f>17246</f>
        <v>17246.0</v>
      </c>
      <c r="H37" s="23"/>
      <c r="I37" s="26" t="n">
        <f>45407</f>
        <v>45407.0</v>
      </c>
      <c r="J37" s="24"/>
      <c r="K37" s="25" t="n">
        <f>6742846430</f>
        <v>6.74284643E9</v>
      </c>
      <c r="L37" s="23"/>
      <c r="M37" s="25" t="n">
        <f>4276922730</f>
        <v>4.27692273E9</v>
      </c>
      <c r="N37" s="23"/>
      <c r="O37" s="26" t="n">
        <f>11019769160</f>
        <v>1.101976916E10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5780</f>
        <v>5780.0</v>
      </c>
      <c r="U37" s="23"/>
      <c r="V37" s="25" t="n">
        <f>3848</f>
        <v>3848.0</v>
      </c>
      <c r="W37" s="23"/>
      <c r="X37" s="26" t="n">
        <f>9628</f>
        <v>9628.0</v>
      </c>
      <c r="Y37" s="24"/>
      <c r="Z37" s="25" t="n">
        <f>652053</f>
        <v>652053.0</v>
      </c>
      <c r="AA37" s="23"/>
      <c r="AB37" s="25" t="n">
        <f>394635</f>
        <v>394635.0</v>
      </c>
      <c r="AC37" s="23"/>
      <c r="AD37" s="26" t="n">
        <f>1046688</f>
        <v>1046688.0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23032</f>
        <v>23032.0</v>
      </c>
      <c r="F38" s="23"/>
      <c r="G38" s="25" t="n">
        <f>10463</f>
        <v>10463.0</v>
      </c>
      <c r="H38" s="23"/>
      <c r="I38" s="26" t="n">
        <f>33495</f>
        <v>33495.0</v>
      </c>
      <c r="J38" s="24" t="s">
        <v>37</v>
      </c>
      <c r="K38" s="25" t="n">
        <f>4544233490</f>
        <v>4.54423349E9</v>
      </c>
      <c r="L38" s="23" t="s">
        <v>37</v>
      </c>
      <c r="M38" s="25" t="n">
        <f>2269892680</f>
        <v>2.26989268E9</v>
      </c>
      <c r="N38" s="23" t="s">
        <v>37</v>
      </c>
      <c r="O38" s="26" t="n">
        <f>6814126170</f>
        <v>6.81412617E9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3237</f>
        <v>3237.0</v>
      </c>
      <c r="U38" s="23"/>
      <c r="V38" s="25" t="n">
        <f>1696</f>
        <v>1696.0</v>
      </c>
      <c r="W38" s="23"/>
      <c r="X38" s="26" t="n">
        <f>4933</f>
        <v>4933.0</v>
      </c>
      <c r="Y38" s="24"/>
      <c r="Z38" s="25" t="n">
        <f>658762</f>
        <v>658762.0</v>
      </c>
      <c r="AA38" s="23"/>
      <c r="AB38" s="25" t="n">
        <f>395252</f>
        <v>395252.0</v>
      </c>
      <c r="AC38" s="23"/>
      <c r="AD38" s="26" t="n">
        <f>1054014</f>
        <v>1054014.0</v>
      </c>
    </row>
    <row r="39">
      <c r="A39" s="30" t="s">
        <v>59</v>
      </c>
      <c r="B39" s="22" t="s">
        <v>27</v>
      </c>
      <c r="C39" s="22" t="s">
        <v>28</v>
      </c>
      <c r="D39" s="24"/>
      <c r="E39" s="25"/>
      <c r="F39" s="23"/>
      <c r="G39" s="25"/>
      <c r="H39" s="23"/>
      <c r="I39" s="26"/>
      <c r="J39" s="24"/>
      <c r="K39" s="25"/>
      <c r="L39" s="23"/>
      <c r="M39" s="25"/>
      <c r="N39" s="23"/>
      <c r="O39" s="26"/>
      <c r="P39" s="27"/>
      <c r="Q39" s="28"/>
      <c r="R39" s="29"/>
      <c r="S39" s="24"/>
      <c r="T39" s="25"/>
      <c r="U39" s="23"/>
      <c r="V39" s="25"/>
      <c r="W39" s="23"/>
      <c r="X39" s="26"/>
      <c r="Y39" s="24"/>
      <c r="Z39" s="25"/>
      <c r="AA39" s="23"/>
      <c r="AB39" s="25"/>
      <c r="AC39" s="23"/>
      <c r="AD39" s="26"/>
    </row>
    <row r="40">
      <c r="A40" s="30" t="s">
        <v>26</v>
      </c>
      <c r="B40" s="22" t="s">
        <v>60</v>
      </c>
      <c r="C40" s="22" t="s">
        <v>61</v>
      </c>
      <c r="D40" s="24" t="s">
        <v>37</v>
      </c>
      <c r="E40" s="25" t="n">
        <f>12012</f>
        <v>12012.0</v>
      </c>
      <c r="F40" s="23"/>
      <c r="G40" s="25" t="n">
        <f>11945</f>
        <v>11945.0</v>
      </c>
      <c r="H40" s="23"/>
      <c r="I40" s="26" t="n">
        <f>23957</f>
        <v>23957.0</v>
      </c>
      <c r="J40" s="24"/>
      <c r="K40" s="25" t="n">
        <f>356152480</f>
        <v>3.5615248E8</v>
      </c>
      <c r="L40" s="23"/>
      <c r="M40" s="25" t="n">
        <f>221051950</f>
        <v>2.2105195E8</v>
      </c>
      <c r="N40" s="23"/>
      <c r="O40" s="26" t="n">
        <f>577204430</f>
        <v>5.7720443E8</v>
      </c>
      <c r="P40" s="27" t="n">
        <f>6408</f>
        <v>6408.0</v>
      </c>
      <c r="Q40" s="28" t="n">
        <f>622</f>
        <v>622.0</v>
      </c>
      <c r="R40" s="29" t="n">
        <f>7030</f>
        <v>7030.0</v>
      </c>
      <c r="S40" s="24"/>
      <c r="T40" s="25" t="n">
        <f>940</f>
        <v>940.0</v>
      </c>
      <c r="U40" s="23" t="s">
        <v>37</v>
      </c>
      <c r="V40" s="25" t="n">
        <f>450</f>
        <v>450.0</v>
      </c>
      <c r="W40" s="23"/>
      <c r="X40" s="26" t="n">
        <f>1390</f>
        <v>1390.0</v>
      </c>
      <c r="Y40" s="24" t="s">
        <v>37</v>
      </c>
      <c r="Z40" s="25" t="n">
        <f>13863</f>
        <v>13863.0</v>
      </c>
      <c r="AA40" s="23" t="s">
        <v>37</v>
      </c>
      <c r="AB40" s="25" t="n">
        <f>9640</f>
        <v>9640.0</v>
      </c>
      <c r="AC40" s="23" t="s">
        <v>37</v>
      </c>
      <c r="AD40" s="26" t="n">
        <f>23503</f>
        <v>23503.0</v>
      </c>
    </row>
    <row r="41">
      <c r="A41" s="30" t="s">
        <v>29</v>
      </c>
      <c r="B41" s="22" t="s">
        <v>60</v>
      </c>
      <c r="C41" s="22" t="s">
        <v>61</v>
      </c>
      <c r="D41" s="24"/>
      <c r="E41" s="25"/>
      <c r="F41" s="23"/>
      <c r="G41" s="25"/>
      <c r="H41" s="23"/>
      <c r="I41" s="26"/>
      <c r="J41" s="24"/>
      <c r="K41" s="25"/>
      <c r="L41" s="23"/>
      <c r="M41" s="25"/>
      <c r="N41" s="23"/>
      <c r="O41" s="26"/>
      <c r="P41" s="27"/>
      <c r="Q41" s="28"/>
      <c r="R41" s="29"/>
      <c r="S41" s="24"/>
      <c r="T41" s="25"/>
      <c r="U41" s="23"/>
      <c r="V41" s="25"/>
      <c r="W41" s="23"/>
      <c r="X41" s="26"/>
      <c r="Y41" s="24"/>
      <c r="Z41" s="25"/>
      <c r="AA41" s="23"/>
      <c r="AB41" s="25"/>
      <c r="AC41" s="23"/>
      <c r="AD41" s="26"/>
    </row>
    <row r="42">
      <c r="A42" s="30" t="s">
        <v>30</v>
      </c>
      <c r="B42" s="22" t="s">
        <v>60</v>
      </c>
      <c r="C42" s="22" t="s">
        <v>61</v>
      </c>
      <c r="D42" s="24"/>
      <c r="E42" s="25"/>
      <c r="F42" s="23"/>
      <c r="G42" s="25"/>
      <c r="H42" s="23"/>
      <c r="I42" s="26"/>
      <c r="J42" s="24"/>
      <c r="K42" s="25"/>
      <c r="L42" s="23"/>
      <c r="M42" s="25"/>
      <c r="N42" s="23"/>
      <c r="O42" s="26"/>
      <c r="P42" s="27"/>
      <c r="Q42" s="28"/>
      <c r="R42" s="29"/>
      <c r="S42" s="24"/>
      <c r="T42" s="25"/>
      <c r="U42" s="23"/>
      <c r="V42" s="25"/>
      <c r="W42" s="23"/>
      <c r="X42" s="26"/>
      <c r="Y42" s="24"/>
      <c r="Z42" s="25"/>
      <c r="AA42" s="23"/>
      <c r="AB42" s="25"/>
      <c r="AC42" s="23"/>
      <c r="AD42" s="26"/>
    </row>
    <row r="43">
      <c r="A43" s="30" t="s">
        <v>31</v>
      </c>
      <c r="B43" s="22" t="s">
        <v>60</v>
      </c>
      <c r="C43" s="22" t="s">
        <v>61</v>
      </c>
      <c r="D43" s="24"/>
      <c r="E43" s="25"/>
      <c r="F43" s="23"/>
      <c r="G43" s="25"/>
      <c r="H43" s="23"/>
      <c r="I43" s="26"/>
      <c r="J43" s="24"/>
      <c r="K43" s="25"/>
      <c r="L43" s="23"/>
      <c r="M43" s="25"/>
      <c r="N43" s="23"/>
      <c r="O43" s="26"/>
      <c r="P43" s="27"/>
      <c r="Q43" s="28"/>
      <c r="R43" s="29"/>
      <c r="S43" s="24"/>
      <c r="T43" s="25"/>
      <c r="U43" s="23"/>
      <c r="V43" s="25"/>
      <c r="W43" s="23"/>
      <c r="X43" s="26"/>
      <c r="Y43" s="24"/>
      <c r="Z43" s="25"/>
      <c r="AA43" s="23"/>
      <c r="AB43" s="25"/>
      <c r="AC43" s="23"/>
      <c r="AD43" s="26"/>
    </row>
    <row r="44">
      <c r="A44" s="30" t="s">
        <v>32</v>
      </c>
      <c r="B44" s="22" t="s">
        <v>60</v>
      </c>
      <c r="C44" s="22" t="s">
        <v>61</v>
      </c>
      <c r="D44" s="24"/>
      <c r="E44" s="25" t="n">
        <f>12838</f>
        <v>12838.0</v>
      </c>
      <c r="F44" s="23"/>
      <c r="G44" s="25" t="n">
        <f>12333</f>
        <v>12333.0</v>
      </c>
      <c r="H44" s="23"/>
      <c r="I44" s="26" t="n">
        <f>25171</f>
        <v>25171.0</v>
      </c>
      <c r="J44" s="24"/>
      <c r="K44" s="25" t="n">
        <f>294744280</f>
        <v>2.9474428E8</v>
      </c>
      <c r="L44" s="23"/>
      <c r="M44" s="25" t="n">
        <f>254230560</f>
        <v>2.5423056E8</v>
      </c>
      <c r="N44" s="23"/>
      <c r="O44" s="26" t="n">
        <f>548974840</f>
        <v>5.4897484E8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670</f>
        <v>670.0</v>
      </c>
      <c r="U44" s="23"/>
      <c r="V44" s="25" t="n">
        <f>715</f>
        <v>715.0</v>
      </c>
      <c r="W44" s="23"/>
      <c r="X44" s="26" t="n">
        <f>1385</f>
        <v>1385.0</v>
      </c>
      <c r="Y44" s="24"/>
      <c r="Z44" s="25" t="n">
        <f>15752</f>
        <v>15752.0</v>
      </c>
      <c r="AA44" s="23"/>
      <c r="AB44" s="25" t="n">
        <f>11841</f>
        <v>11841.0</v>
      </c>
      <c r="AC44" s="23"/>
      <c r="AD44" s="26" t="n">
        <f>27593</f>
        <v>27593.0</v>
      </c>
    </row>
    <row r="45">
      <c r="A45" s="30" t="s">
        <v>33</v>
      </c>
      <c r="B45" s="22" t="s">
        <v>60</v>
      </c>
      <c r="C45" s="22" t="s">
        <v>61</v>
      </c>
      <c r="D45" s="24"/>
      <c r="E45" s="25" t="n">
        <f>27701</f>
        <v>27701.0</v>
      </c>
      <c r="F45" s="23"/>
      <c r="G45" s="25" t="n">
        <f>18735</f>
        <v>18735.0</v>
      </c>
      <c r="H45" s="23"/>
      <c r="I45" s="26" t="n">
        <f>46436</f>
        <v>46436.0</v>
      </c>
      <c r="J45" s="24"/>
      <c r="K45" s="25" t="n">
        <f>386147340</f>
        <v>3.8614734E8</v>
      </c>
      <c r="L45" s="23" t="s">
        <v>35</v>
      </c>
      <c r="M45" s="25" t="n">
        <f>421925780</f>
        <v>4.2192578E8</v>
      </c>
      <c r="N45" s="23" t="s">
        <v>35</v>
      </c>
      <c r="O45" s="26" t="n">
        <f>808073120</f>
        <v>8.0807312E8</v>
      </c>
      <c r="P45" s="27" t="str">
        <f>"－"</f>
        <v>－</v>
      </c>
      <c r="Q45" s="28" t="str">
        <f>"－"</f>
        <v>－</v>
      </c>
      <c r="R45" s="29" t="str">
        <f>"－"</f>
        <v>－</v>
      </c>
      <c r="S45" s="24"/>
      <c r="T45" s="25" t="n">
        <f>950</f>
        <v>950.0</v>
      </c>
      <c r="U45" s="23"/>
      <c r="V45" s="25" t="n">
        <f>1290</f>
        <v>1290.0</v>
      </c>
      <c r="W45" s="23"/>
      <c r="X45" s="26" t="n">
        <f>2240</f>
        <v>2240.0</v>
      </c>
      <c r="Y45" s="24"/>
      <c r="Z45" s="25" t="n">
        <f>17444</f>
        <v>17444.0</v>
      </c>
      <c r="AA45" s="23"/>
      <c r="AB45" s="25" t="n">
        <f>14636</f>
        <v>14636.0</v>
      </c>
      <c r="AC45" s="23"/>
      <c r="AD45" s="26" t="n">
        <f>32080</f>
        <v>32080.0</v>
      </c>
    </row>
    <row r="46">
      <c r="A46" s="30" t="s">
        <v>34</v>
      </c>
      <c r="B46" s="22" t="s">
        <v>60</v>
      </c>
      <c r="C46" s="22" t="s">
        <v>61</v>
      </c>
      <c r="D46" s="24"/>
      <c r="E46" s="25" t="n">
        <f>27003</f>
        <v>27003.0</v>
      </c>
      <c r="F46" s="23"/>
      <c r="G46" s="25" t="n">
        <f>22131</f>
        <v>22131.0</v>
      </c>
      <c r="H46" s="23"/>
      <c r="I46" s="26" t="n">
        <f>49134</f>
        <v>49134.0</v>
      </c>
      <c r="J46" s="24"/>
      <c r="K46" s="25" t="n">
        <f>374442010</f>
        <v>3.7444201E8</v>
      </c>
      <c r="L46" s="23"/>
      <c r="M46" s="25" t="n">
        <f>379003410</f>
        <v>3.7900341E8</v>
      </c>
      <c r="N46" s="23"/>
      <c r="O46" s="26" t="n">
        <f>753445420</f>
        <v>7.5344542E8</v>
      </c>
      <c r="P46" s="27" t="str">
        <f>"－"</f>
        <v>－</v>
      </c>
      <c r="Q46" s="28" t="str">
        <f>"－"</f>
        <v>－</v>
      </c>
      <c r="R46" s="29" t="str">
        <f>"－"</f>
        <v>－</v>
      </c>
      <c r="S46" s="24"/>
      <c r="T46" s="25" t="n">
        <f>1660</f>
        <v>1660.0</v>
      </c>
      <c r="U46" s="23"/>
      <c r="V46" s="25" t="n">
        <f>1170</f>
        <v>1170.0</v>
      </c>
      <c r="W46" s="23"/>
      <c r="X46" s="26" t="n">
        <f>2830</f>
        <v>2830.0</v>
      </c>
      <c r="Y46" s="24"/>
      <c r="Z46" s="25" t="n">
        <f>22810</f>
        <v>22810.0</v>
      </c>
      <c r="AA46" s="23"/>
      <c r="AB46" s="25" t="n">
        <f>14935</f>
        <v>14935.0</v>
      </c>
      <c r="AC46" s="23"/>
      <c r="AD46" s="26" t="n">
        <f>37745</f>
        <v>37745.0</v>
      </c>
    </row>
    <row r="47">
      <c r="A47" s="30" t="s">
        <v>36</v>
      </c>
      <c r="B47" s="22" t="s">
        <v>60</v>
      </c>
      <c r="C47" s="22" t="s">
        <v>61</v>
      </c>
      <c r="D47" s="24"/>
      <c r="E47" s="25" t="n">
        <f>17075</f>
        <v>17075.0</v>
      </c>
      <c r="F47" s="23"/>
      <c r="G47" s="25" t="n">
        <f>12308</f>
        <v>12308.0</v>
      </c>
      <c r="H47" s="23"/>
      <c r="I47" s="26" t="n">
        <f>29383</f>
        <v>29383.0</v>
      </c>
      <c r="J47" s="24"/>
      <c r="K47" s="25" t="n">
        <f>215942920</f>
        <v>2.1594292E8</v>
      </c>
      <c r="L47" s="23"/>
      <c r="M47" s="25" t="n">
        <f>230368090</f>
        <v>2.3036809E8</v>
      </c>
      <c r="N47" s="23"/>
      <c r="O47" s="26" t="n">
        <f>446311010</f>
        <v>4.4631101E8</v>
      </c>
      <c r="P47" s="27" t="n">
        <f>376</f>
        <v>376.0</v>
      </c>
      <c r="Q47" s="28" t="n">
        <f>3059</f>
        <v>3059.0</v>
      </c>
      <c r="R47" s="29" t="n">
        <f>3435</f>
        <v>3435.0</v>
      </c>
      <c r="S47" s="24"/>
      <c r="T47" s="25" t="n">
        <f>880</f>
        <v>880.0</v>
      </c>
      <c r="U47" s="23" t="s">
        <v>35</v>
      </c>
      <c r="V47" s="25" t="n">
        <f>2810</f>
        <v>2810.0</v>
      </c>
      <c r="W47" s="23"/>
      <c r="X47" s="26" t="n">
        <f>3690</f>
        <v>3690.0</v>
      </c>
      <c r="Y47" s="24"/>
      <c r="Z47" s="25" t="n">
        <f>15375</f>
        <v>15375.0</v>
      </c>
      <c r="AA47" s="23"/>
      <c r="AB47" s="25" t="n">
        <f>11180</f>
        <v>11180.0</v>
      </c>
      <c r="AC47" s="23"/>
      <c r="AD47" s="26" t="n">
        <f>26555</f>
        <v>26555.0</v>
      </c>
    </row>
    <row r="48">
      <c r="A48" s="30" t="s">
        <v>38</v>
      </c>
      <c r="B48" s="22" t="s">
        <v>60</v>
      </c>
      <c r="C48" s="22" t="s">
        <v>61</v>
      </c>
      <c r="D48" s="24"/>
      <c r="E48" s="25"/>
      <c r="F48" s="23"/>
      <c r="G48" s="25"/>
      <c r="H48" s="23"/>
      <c r="I48" s="26"/>
      <c r="J48" s="24"/>
      <c r="K48" s="25"/>
      <c r="L48" s="23"/>
      <c r="M48" s="25"/>
      <c r="N48" s="23"/>
      <c r="O48" s="26"/>
      <c r="P48" s="27"/>
      <c r="Q48" s="28"/>
      <c r="R48" s="29"/>
      <c r="S48" s="24"/>
      <c r="T48" s="25"/>
      <c r="U48" s="23"/>
      <c r="V48" s="25"/>
      <c r="W48" s="23"/>
      <c r="X48" s="26"/>
      <c r="Y48" s="24"/>
      <c r="Z48" s="25"/>
      <c r="AA48" s="23"/>
      <c r="AB48" s="25"/>
      <c r="AC48" s="23"/>
      <c r="AD48" s="26"/>
    </row>
    <row r="49">
      <c r="A49" s="30" t="s">
        <v>39</v>
      </c>
      <c r="B49" s="22" t="s">
        <v>60</v>
      </c>
      <c r="C49" s="22" t="s">
        <v>61</v>
      </c>
      <c r="D49" s="24"/>
      <c r="E49" s="25"/>
      <c r="F49" s="23"/>
      <c r="G49" s="25"/>
      <c r="H49" s="23"/>
      <c r="I49" s="26"/>
      <c r="J49" s="24"/>
      <c r="K49" s="25"/>
      <c r="L49" s="23"/>
      <c r="M49" s="25"/>
      <c r="N49" s="23"/>
      <c r="O49" s="26"/>
      <c r="P49" s="27"/>
      <c r="Q49" s="28"/>
      <c r="R49" s="29"/>
      <c r="S49" s="24"/>
      <c r="T49" s="25"/>
      <c r="U49" s="23"/>
      <c r="V49" s="25"/>
      <c r="W49" s="23"/>
      <c r="X49" s="26"/>
      <c r="Y49" s="24"/>
      <c r="Z49" s="25"/>
      <c r="AA49" s="23"/>
      <c r="AB49" s="25"/>
      <c r="AC49" s="23"/>
      <c r="AD49" s="26"/>
    </row>
    <row r="50">
      <c r="A50" s="30" t="s">
        <v>40</v>
      </c>
      <c r="B50" s="22" t="s">
        <v>60</v>
      </c>
      <c r="C50" s="22" t="s">
        <v>61</v>
      </c>
      <c r="D50" s="24"/>
      <c r="E50" s="25" t="n">
        <f>20198</f>
        <v>20198.0</v>
      </c>
      <c r="F50" s="23"/>
      <c r="G50" s="25" t="n">
        <f>16847</f>
        <v>16847.0</v>
      </c>
      <c r="H50" s="23"/>
      <c r="I50" s="26" t="n">
        <f>37045</f>
        <v>37045.0</v>
      </c>
      <c r="J50" s="24"/>
      <c r="K50" s="25" t="n">
        <f>318944810</f>
        <v>3.1894481E8</v>
      </c>
      <c r="L50" s="23"/>
      <c r="M50" s="25" t="n">
        <f>232553140</f>
        <v>2.3255314E8</v>
      </c>
      <c r="N50" s="23"/>
      <c r="O50" s="26" t="n">
        <f>551497950</f>
        <v>5.5149795E8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1560</f>
        <v>1560.0</v>
      </c>
      <c r="U50" s="23"/>
      <c r="V50" s="25" t="n">
        <f>1000</f>
        <v>1000.0</v>
      </c>
      <c r="W50" s="23"/>
      <c r="X50" s="26" t="n">
        <f>2560</f>
        <v>2560.0</v>
      </c>
      <c r="Y50" s="24"/>
      <c r="Z50" s="25" t="n">
        <f>23515</f>
        <v>23515.0</v>
      </c>
      <c r="AA50" s="23"/>
      <c r="AB50" s="25" t="n">
        <f>17430</f>
        <v>17430.0</v>
      </c>
      <c r="AC50" s="23"/>
      <c r="AD50" s="26" t="n">
        <f>40945</f>
        <v>40945.0</v>
      </c>
    </row>
    <row r="51">
      <c r="A51" s="30" t="s">
        <v>41</v>
      </c>
      <c r="B51" s="22" t="s">
        <v>60</v>
      </c>
      <c r="C51" s="22" t="s">
        <v>61</v>
      </c>
      <c r="D51" s="24"/>
      <c r="E51" s="25" t="n">
        <f>26686</f>
        <v>26686.0</v>
      </c>
      <c r="F51" s="23"/>
      <c r="G51" s="25" t="n">
        <f>25091</f>
        <v>25091.0</v>
      </c>
      <c r="H51" s="23"/>
      <c r="I51" s="26" t="n">
        <f>51777</f>
        <v>51777.0</v>
      </c>
      <c r="J51" s="24"/>
      <c r="K51" s="25" t="n">
        <f>360629510</f>
        <v>3.6062951E8</v>
      </c>
      <c r="L51" s="23"/>
      <c r="M51" s="25" t="n">
        <f>298257060</f>
        <v>2.9825706E8</v>
      </c>
      <c r="N51" s="23"/>
      <c r="O51" s="26" t="n">
        <f>658886570</f>
        <v>6.5888657E8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1690</f>
        <v>1690.0</v>
      </c>
      <c r="U51" s="23"/>
      <c r="V51" s="25" t="n">
        <f>2210</f>
        <v>2210.0</v>
      </c>
      <c r="W51" s="23"/>
      <c r="X51" s="26" t="n">
        <f>3900</f>
        <v>3900.0</v>
      </c>
      <c r="Y51" s="24"/>
      <c r="Z51" s="25" t="n">
        <f>28238</f>
        <v>28238.0</v>
      </c>
      <c r="AA51" s="23"/>
      <c r="AB51" s="25" t="n">
        <f>25874</f>
        <v>25874.0</v>
      </c>
      <c r="AC51" s="23"/>
      <c r="AD51" s="26" t="n">
        <f>54112</f>
        <v>54112.0</v>
      </c>
    </row>
    <row r="52">
      <c r="A52" s="30" t="s">
        <v>42</v>
      </c>
      <c r="B52" s="22" t="s">
        <v>60</v>
      </c>
      <c r="C52" s="22" t="s">
        <v>61</v>
      </c>
      <c r="D52" s="24"/>
      <c r="E52" s="25" t="n">
        <f>22173</f>
        <v>22173.0</v>
      </c>
      <c r="F52" s="23"/>
      <c r="G52" s="25" t="n">
        <f>27573</f>
        <v>27573.0</v>
      </c>
      <c r="H52" s="23"/>
      <c r="I52" s="26" t="n">
        <f>49746</f>
        <v>49746.0</v>
      </c>
      <c r="J52" s="24"/>
      <c r="K52" s="25" t="n">
        <f>324318140</f>
        <v>3.2431814E8</v>
      </c>
      <c r="L52" s="23"/>
      <c r="M52" s="25" t="n">
        <f>245378560</f>
        <v>2.4537856E8</v>
      </c>
      <c r="N52" s="23"/>
      <c r="O52" s="26" t="n">
        <f>569696700</f>
        <v>5.696967E8</v>
      </c>
      <c r="P52" s="27" t="str">
        <f>"－"</f>
        <v>－</v>
      </c>
      <c r="Q52" s="28" t="str">
        <f>"－"</f>
        <v>－</v>
      </c>
      <c r="R52" s="29" t="str">
        <f>"－"</f>
        <v>－</v>
      </c>
      <c r="S52" s="24"/>
      <c r="T52" s="25" t="n">
        <f>1310</f>
        <v>1310.0</v>
      </c>
      <c r="U52" s="23"/>
      <c r="V52" s="25" t="n">
        <f>2690</f>
        <v>2690.0</v>
      </c>
      <c r="W52" s="23"/>
      <c r="X52" s="26" t="n">
        <f>4000</f>
        <v>4000.0</v>
      </c>
      <c r="Y52" s="24"/>
      <c r="Z52" s="25" t="n">
        <f>31664</f>
        <v>31664.0</v>
      </c>
      <c r="AA52" s="23"/>
      <c r="AB52" s="25" t="n">
        <f>29690</f>
        <v>29690.0</v>
      </c>
      <c r="AC52" s="23"/>
      <c r="AD52" s="26" t="n">
        <f>61354</f>
        <v>61354.0</v>
      </c>
    </row>
    <row r="53">
      <c r="A53" s="30" t="s">
        <v>43</v>
      </c>
      <c r="B53" s="22" t="s">
        <v>60</v>
      </c>
      <c r="C53" s="22" t="s">
        <v>61</v>
      </c>
      <c r="D53" s="24"/>
      <c r="E53" s="25" t="n">
        <f>26591</f>
        <v>26591.0</v>
      </c>
      <c r="F53" s="23"/>
      <c r="G53" s="25" t="n">
        <f>23579</f>
        <v>23579.0</v>
      </c>
      <c r="H53" s="23"/>
      <c r="I53" s="26" t="n">
        <f>50170</f>
        <v>50170.0</v>
      </c>
      <c r="J53" s="24"/>
      <c r="K53" s="25" t="n">
        <f>306849470</f>
        <v>3.0684947E8</v>
      </c>
      <c r="L53" s="23"/>
      <c r="M53" s="25" t="n">
        <f>222414530</f>
        <v>2.2241453E8</v>
      </c>
      <c r="N53" s="23"/>
      <c r="O53" s="26" t="n">
        <f>529264000</f>
        <v>5.29264E8</v>
      </c>
      <c r="P53" s="27" t="str">
        <f>"－"</f>
        <v>－</v>
      </c>
      <c r="Q53" s="28" t="str">
        <f>"－"</f>
        <v>－</v>
      </c>
      <c r="R53" s="29" t="str">
        <f>"－"</f>
        <v>－</v>
      </c>
      <c r="S53" s="24"/>
      <c r="T53" s="25" t="n">
        <f>2030</f>
        <v>2030.0</v>
      </c>
      <c r="U53" s="23"/>
      <c r="V53" s="25" t="n">
        <f>1420</f>
        <v>1420.0</v>
      </c>
      <c r="W53" s="23"/>
      <c r="X53" s="26" t="n">
        <f>3450</f>
        <v>3450.0</v>
      </c>
      <c r="Y53" s="24" t="s">
        <v>35</v>
      </c>
      <c r="Z53" s="25" t="n">
        <f>36756</f>
        <v>36756.0</v>
      </c>
      <c r="AA53" s="23" t="s">
        <v>35</v>
      </c>
      <c r="AB53" s="25" t="n">
        <f>34051</f>
        <v>34051.0</v>
      </c>
      <c r="AC53" s="23" t="s">
        <v>35</v>
      </c>
      <c r="AD53" s="26" t="n">
        <f>70807</f>
        <v>70807.0</v>
      </c>
    </row>
    <row r="54">
      <c r="A54" s="30" t="s">
        <v>44</v>
      </c>
      <c r="B54" s="22" t="s">
        <v>60</v>
      </c>
      <c r="C54" s="22" t="s">
        <v>61</v>
      </c>
      <c r="D54" s="24"/>
      <c r="E54" s="25" t="n">
        <f>19502</f>
        <v>19502.0</v>
      </c>
      <c r="F54" s="23"/>
      <c r="G54" s="25" t="n">
        <f>12673</f>
        <v>12673.0</v>
      </c>
      <c r="H54" s="23"/>
      <c r="I54" s="26" t="n">
        <f>32175</f>
        <v>32175.0</v>
      </c>
      <c r="J54" s="24"/>
      <c r="K54" s="25" t="n">
        <f>264750440</f>
        <v>2.6475044E8</v>
      </c>
      <c r="L54" s="23"/>
      <c r="M54" s="25" t="n">
        <f>209391690</f>
        <v>2.0939169E8</v>
      </c>
      <c r="N54" s="23"/>
      <c r="O54" s="26" t="n">
        <f>474142130</f>
        <v>4.7414213E8</v>
      </c>
      <c r="P54" s="27" t="n">
        <f>3032</f>
        <v>3032.0</v>
      </c>
      <c r="Q54" s="28" t="n">
        <f>256</f>
        <v>256.0</v>
      </c>
      <c r="R54" s="29" t="n">
        <f>3288</f>
        <v>3288.0</v>
      </c>
      <c r="S54" s="24"/>
      <c r="T54" s="25" t="n">
        <f>550</f>
        <v>550.0</v>
      </c>
      <c r="U54" s="23"/>
      <c r="V54" s="25" t="n">
        <f>1670</f>
        <v>1670.0</v>
      </c>
      <c r="W54" s="23"/>
      <c r="X54" s="26" t="n">
        <f>2220</f>
        <v>2220.0</v>
      </c>
      <c r="Y54" s="24"/>
      <c r="Z54" s="25" t="n">
        <f>21519</f>
        <v>21519.0</v>
      </c>
      <c r="AA54" s="23"/>
      <c r="AB54" s="25" t="n">
        <f>12972</f>
        <v>12972.0</v>
      </c>
      <c r="AC54" s="23"/>
      <c r="AD54" s="26" t="n">
        <f>34491</f>
        <v>34491.0</v>
      </c>
    </row>
    <row r="55">
      <c r="A55" s="30" t="s">
        <v>45</v>
      </c>
      <c r="B55" s="22" t="s">
        <v>60</v>
      </c>
      <c r="C55" s="22" t="s">
        <v>61</v>
      </c>
      <c r="D55" s="24"/>
      <c r="E55" s="25"/>
      <c r="F55" s="23"/>
      <c r="G55" s="25"/>
      <c r="H55" s="23"/>
      <c r="I55" s="26"/>
      <c r="J55" s="24"/>
      <c r="K55" s="25"/>
      <c r="L55" s="23"/>
      <c r="M55" s="25"/>
      <c r="N55" s="23"/>
      <c r="O55" s="26"/>
      <c r="P55" s="27"/>
      <c r="Q55" s="28"/>
      <c r="R55" s="29"/>
      <c r="S55" s="24"/>
      <c r="T55" s="25"/>
      <c r="U55" s="23"/>
      <c r="V55" s="25"/>
      <c r="W55" s="23"/>
      <c r="X55" s="26"/>
      <c r="Y55" s="24"/>
      <c r="Z55" s="25"/>
      <c r="AA55" s="23"/>
      <c r="AB55" s="25"/>
      <c r="AC55" s="23"/>
      <c r="AD55" s="26"/>
    </row>
    <row r="56">
      <c r="A56" s="30" t="s">
        <v>46</v>
      </c>
      <c r="B56" s="22" t="s">
        <v>60</v>
      </c>
      <c r="C56" s="22" t="s">
        <v>61</v>
      </c>
      <c r="D56" s="24"/>
      <c r="E56" s="25"/>
      <c r="F56" s="23"/>
      <c r="G56" s="25"/>
      <c r="H56" s="23"/>
      <c r="I56" s="26"/>
      <c r="J56" s="24"/>
      <c r="K56" s="25"/>
      <c r="L56" s="23"/>
      <c r="M56" s="25"/>
      <c r="N56" s="23"/>
      <c r="O56" s="26"/>
      <c r="P56" s="27"/>
      <c r="Q56" s="28"/>
      <c r="R56" s="29"/>
      <c r="S56" s="24"/>
      <c r="T56" s="25"/>
      <c r="U56" s="23"/>
      <c r="V56" s="25"/>
      <c r="W56" s="23"/>
      <c r="X56" s="26"/>
      <c r="Y56" s="24"/>
      <c r="Z56" s="25"/>
      <c r="AA56" s="23"/>
      <c r="AB56" s="25"/>
      <c r="AC56" s="23"/>
      <c r="AD56" s="26"/>
    </row>
    <row r="57">
      <c r="A57" s="30" t="s">
        <v>47</v>
      </c>
      <c r="B57" s="22" t="s">
        <v>60</v>
      </c>
      <c r="C57" s="22" t="s">
        <v>61</v>
      </c>
      <c r="D57" s="24"/>
      <c r="E57" s="25" t="n">
        <f>20241</f>
        <v>20241.0</v>
      </c>
      <c r="F57" s="23"/>
      <c r="G57" s="25" t="n">
        <f>23343</f>
        <v>23343.0</v>
      </c>
      <c r="H57" s="23"/>
      <c r="I57" s="26" t="n">
        <f>43584</f>
        <v>43584.0</v>
      </c>
      <c r="J57" s="24" t="s">
        <v>35</v>
      </c>
      <c r="K57" s="25" t="n">
        <f>399535870</f>
        <v>3.9953587E8</v>
      </c>
      <c r="L57" s="23"/>
      <c r="M57" s="25" t="n">
        <f>273736320</f>
        <v>2.7373632E8</v>
      </c>
      <c r="N57" s="23"/>
      <c r="O57" s="26" t="n">
        <f>673272190</f>
        <v>6.7327219E8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1650</f>
        <v>1650.0</v>
      </c>
      <c r="U57" s="23"/>
      <c r="V57" s="25" t="n">
        <f>2630</f>
        <v>2630.0</v>
      </c>
      <c r="W57" s="23"/>
      <c r="X57" s="26" t="n">
        <f>4280</f>
        <v>4280.0</v>
      </c>
      <c r="Y57" s="24"/>
      <c r="Z57" s="25" t="n">
        <f>25635</f>
        <v>25635.0</v>
      </c>
      <c r="AA57" s="23"/>
      <c r="AB57" s="25" t="n">
        <f>20566</f>
        <v>20566.0</v>
      </c>
      <c r="AC57" s="23"/>
      <c r="AD57" s="26" t="n">
        <f>46201</f>
        <v>46201.0</v>
      </c>
    </row>
    <row r="58">
      <c r="A58" s="30" t="s">
        <v>48</v>
      </c>
      <c r="B58" s="22" t="s">
        <v>60</v>
      </c>
      <c r="C58" s="22" t="s">
        <v>61</v>
      </c>
      <c r="D58" s="24"/>
      <c r="E58" s="25" t="n">
        <f>13372</f>
        <v>13372.0</v>
      </c>
      <c r="F58" s="23"/>
      <c r="G58" s="25" t="n">
        <f>13442</f>
        <v>13442.0</v>
      </c>
      <c r="H58" s="23"/>
      <c r="I58" s="26" t="n">
        <f>26814</f>
        <v>26814.0</v>
      </c>
      <c r="J58" s="24"/>
      <c r="K58" s="25" t="n">
        <f>202157670</f>
        <v>2.0215767E8</v>
      </c>
      <c r="L58" s="23"/>
      <c r="M58" s="25" t="n">
        <f>173507160</f>
        <v>1.7350716E8</v>
      </c>
      <c r="N58" s="23"/>
      <c r="O58" s="26" t="n">
        <f>375664830</f>
        <v>3.7566483E8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1430</f>
        <v>1430.0</v>
      </c>
      <c r="U58" s="23"/>
      <c r="V58" s="25" t="n">
        <f>1490</f>
        <v>1490.0</v>
      </c>
      <c r="W58" s="23"/>
      <c r="X58" s="26" t="n">
        <f>2920</f>
        <v>2920.0</v>
      </c>
      <c r="Y58" s="24"/>
      <c r="Z58" s="25" t="n">
        <f>27460</f>
        <v>27460.0</v>
      </c>
      <c r="AA58" s="23"/>
      <c r="AB58" s="25" t="n">
        <f>20726</f>
        <v>20726.0</v>
      </c>
      <c r="AC58" s="23"/>
      <c r="AD58" s="26" t="n">
        <f>48186</f>
        <v>48186.0</v>
      </c>
    </row>
    <row r="59">
      <c r="A59" s="30" t="s">
        <v>49</v>
      </c>
      <c r="B59" s="22" t="s">
        <v>60</v>
      </c>
      <c r="C59" s="22" t="s">
        <v>61</v>
      </c>
      <c r="D59" s="24"/>
      <c r="E59" s="25" t="n">
        <f>20556</f>
        <v>20556.0</v>
      </c>
      <c r="F59" s="23"/>
      <c r="G59" s="25" t="n">
        <f>20457</f>
        <v>20457.0</v>
      </c>
      <c r="H59" s="23"/>
      <c r="I59" s="26" t="n">
        <f>41013</f>
        <v>41013.0</v>
      </c>
      <c r="J59" s="24"/>
      <c r="K59" s="25" t="n">
        <f>323261410</f>
        <v>3.2326141E8</v>
      </c>
      <c r="L59" s="23"/>
      <c r="M59" s="25" t="n">
        <f>237483160</f>
        <v>2.3748316E8</v>
      </c>
      <c r="N59" s="23"/>
      <c r="O59" s="26" t="n">
        <f>560744570</f>
        <v>5.6074457E8</v>
      </c>
      <c r="P59" s="27" t="str">
        <f>"－"</f>
        <v>－</v>
      </c>
      <c r="Q59" s="28" t="str">
        <f>"－"</f>
        <v>－</v>
      </c>
      <c r="R59" s="29" t="str">
        <f>"－"</f>
        <v>－</v>
      </c>
      <c r="S59" s="24"/>
      <c r="T59" s="25" t="n">
        <f>1610</f>
        <v>1610.0</v>
      </c>
      <c r="U59" s="23"/>
      <c r="V59" s="25" t="n">
        <f>2638</f>
        <v>2638.0</v>
      </c>
      <c r="W59" s="23"/>
      <c r="X59" s="26" t="n">
        <f>4248</f>
        <v>4248.0</v>
      </c>
      <c r="Y59" s="24"/>
      <c r="Z59" s="25" t="n">
        <f>29904</f>
        <v>29904.0</v>
      </c>
      <c r="AA59" s="23"/>
      <c r="AB59" s="25" t="n">
        <f>23151</f>
        <v>23151.0</v>
      </c>
      <c r="AC59" s="23"/>
      <c r="AD59" s="26" t="n">
        <f>53055</f>
        <v>53055.0</v>
      </c>
    </row>
    <row r="60">
      <c r="A60" s="30" t="s">
        <v>50</v>
      </c>
      <c r="B60" s="22" t="s">
        <v>60</v>
      </c>
      <c r="C60" s="22" t="s">
        <v>61</v>
      </c>
      <c r="D60" s="24" t="s">
        <v>35</v>
      </c>
      <c r="E60" s="25" t="n">
        <f>34917</f>
        <v>34917.0</v>
      </c>
      <c r="F60" s="23"/>
      <c r="G60" s="25" t="n">
        <f>25425</f>
        <v>25425.0</v>
      </c>
      <c r="H60" s="23" t="s">
        <v>35</v>
      </c>
      <c r="I60" s="26" t="n">
        <f>60342</f>
        <v>60342.0</v>
      </c>
      <c r="J60" s="24"/>
      <c r="K60" s="25" t="n">
        <f>372613070</f>
        <v>3.7261307E8</v>
      </c>
      <c r="L60" s="23"/>
      <c r="M60" s="25" t="n">
        <f>203476360</f>
        <v>2.0347636E8</v>
      </c>
      <c r="N60" s="23"/>
      <c r="O60" s="26" t="n">
        <f>576089430</f>
        <v>5.7608943E8</v>
      </c>
      <c r="P60" s="27" t="str">
        <f>"－"</f>
        <v>－</v>
      </c>
      <c r="Q60" s="28" t="str">
        <f>"－"</f>
        <v>－</v>
      </c>
      <c r="R60" s="29" t="str">
        <f>"－"</f>
        <v>－</v>
      </c>
      <c r="S60" s="24" t="s">
        <v>35</v>
      </c>
      <c r="T60" s="25" t="n">
        <f>4520</f>
        <v>4520.0</v>
      </c>
      <c r="U60" s="23"/>
      <c r="V60" s="25" t="n">
        <f>2710</f>
        <v>2710.0</v>
      </c>
      <c r="W60" s="23" t="s">
        <v>35</v>
      </c>
      <c r="X60" s="26" t="n">
        <f>7230</f>
        <v>7230.0</v>
      </c>
      <c r="Y60" s="24"/>
      <c r="Z60" s="25" t="n">
        <f>35623</f>
        <v>35623.0</v>
      </c>
      <c r="AA60" s="23"/>
      <c r="AB60" s="25" t="n">
        <f>28276</f>
        <v>28276.0</v>
      </c>
      <c r="AC60" s="23"/>
      <c r="AD60" s="26" t="n">
        <f>63899</f>
        <v>63899.0</v>
      </c>
    </row>
    <row r="61">
      <c r="A61" s="30" t="s">
        <v>51</v>
      </c>
      <c r="B61" s="22" t="s">
        <v>60</v>
      </c>
      <c r="C61" s="22" t="s">
        <v>61</v>
      </c>
      <c r="D61" s="24"/>
      <c r="E61" s="25" t="n">
        <f>14813</f>
        <v>14813.0</v>
      </c>
      <c r="F61" s="23"/>
      <c r="G61" s="25" t="n">
        <f>13014</f>
        <v>13014.0</v>
      </c>
      <c r="H61" s="23"/>
      <c r="I61" s="26" t="n">
        <f>27827</f>
        <v>27827.0</v>
      </c>
      <c r="J61" s="24"/>
      <c r="K61" s="25" t="n">
        <f>272716910</f>
        <v>2.7271691E8</v>
      </c>
      <c r="L61" s="23"/>
      <c r="M61" s="25" t="n">
        <f>179488700</f>
        <v>1.794887E8</v>
      </c>
      <c r="N61" s="23"/>
      <c r="O61" s="26" t="n">
        <f>452205610</f>
        <v>4.5220561E8</v>
      </c>
      <c r="P61" s="27" t="n">
        <f>2422</f>
        <v>2422.0</v>
      </c>
      <c r="Q61" s="28" t="n">
        <f>424</f>
        <v>424.0</v>
      </c>
      <c r="R61" s="29" t="n">
        <f>2846</f>
        <v>2846.0</v>
      </c>
      <c r="S61" s="24"/>
      <c r="T61" s="25" t="n">
        <f>750</f>
        <v>750.0</v>
      </c>
      <c r="U61" s="23"/>
      <c r="V61" s="25" t="n">
        <f>610</f>
        <v>610.0</v>
      </c>
      <c r="W61" s="23" t="s">
        <v>37</v>
      </c>
      <c r="X61" s="26" t="n">
        <f>1360</f>
        <v>1360.0</v>
      </c>
      <c r="Y61" s="24"/>
      <c r="Z61" s="25" t="n">
        <f>16360</f>
        <v>16360.0</v>
      </c>
      <c r="AA61" s="23"/>
      <c r="AB61" s="25" t="n">
        <f>14203</f>
        <v>14203.0</v>
      </c>
      <c r="AC61" s="23"/>
      <c r="AD61" s="26" t="n">
        <f>30563</f>
        <v>30563.0</v>
      </c>
    </row>
    <row r="62">
      <c r="A62" s="30" t="s">
        <v>52</v>
      </c>
      <c r="B62" s="22" t="s">
        <v>60</v>
      </c>
      <c r="C62" s="22" t="s">
        <v>61</v>
      </c>
      <c r="D62" s="24"/>
      <c r="E62" s="25"/>
      <c r="F62" s="23"/>
      <c r="G62" s="25"/>
      <c r="H62" s="23"/>
      <c r="I62" s="26"/>
      <c r="J62" s="24"/>
      <c r="K62" s="25"/>
      <c r="L62" s="23"/>
      <c r="M62" s="25"/>
      <c r="N62" s="23"/>
      <c r="O62" s="26"/>
      <c r="P62" s="27"/>
      <c r="Q62" s="28"/>
      <c r="R62" s="29"/>
      <c r="S62" s="24"/>
      <c r="T62" s="25"/>
      <c r="U62" s="23"/>
      <c r="V62" s="25"/>
      <c r="W62" s="23"/>
      <c r="X62" s="26"/>
      <c r="Y62" s="24"/>
      <c r="Z62" s="25"/>
      <c r="AA62" s="23"/>
      <c r="AB62" s="25"/>
      <c r="AC62" s="23"/>
      <c r="AD62" s="26"/>
    </row>
    <row r="63">
      <c r="A63" s="30" t="s">
        <v>53</v>
      </c>
      <c r="B63" s="22" t="s">
        <v>60</v>
      </c>
      <c r="C63" s="22" t="s">
        <v>61</v>
      </c>
      <c r="D63" s="24"/>
      <c r="E63" s="25"/>
      <c r="F63" s="23"/>
      <c r="G63" s="25"/>
      <c r="H63" s="23"/>
      <c r="I63" s="26"/>
      <c r="J63" s="24"/>
      <c r="K63" s="25"/>
      <c r="L63" s="23"/>
      <c r="M63" s="25"/>
      <c r="N63" s="23"/>
      <c r="O63" s="26"/>
      <c r="P63" s="27"/>
      <c r="Q63" s="28"/>
      <c r="R63" s="29"/>
      <c r="S63" s="24"/>
      <c r="T63" s="25"/>
      <c r="U63" s="23"/>
      <c r="V63" s="25"/>
      <c r="W63" s="23"/>
      <c r="X63" s="26"/>
      <c r="Y63" s="24"/>
      <c r="Z63" s="25"/>
      <c r="AA63" s="23"/>
      <c r="AB63" s="25"/>
      <c r="AC63" s="23"/>
      <c r="AD63" s="26"/>
    </row>
    <row r="64">
      <c r="A64" s="30" t="s">
        <v>54</v>
      </c>
      <c r="B64" s="22" t="s">
        <v>60</v>
      </c>
      <c r="C64" s="22" t="s">
        <v>61</v>
      </c>
      <c r="D64" s="24"/>
      <c r="E64" s="25" t="n">
        <f>30968</f>
        <v>30968.0</v>
      </c>
      <c r="F64" s="23"/>
      <c r="G64" s="25" t="n">
        <f>22693</f>
        <v>22693.0</v>
      </c>
      <c r="H64" s="23"/>
      <c r="I64" s="26" t="n">
        <f>53661</f>
        <v>53661.0</v>
      </c>
      <c r="J64" s="24"/>
      <c r="K64" s="25" t="n">
        <f>298865330</f>
        <v>2.9886533E8</v>
      </c>
      <c r="L64" s="23"/>
      <c r="M64" s="25" t="n">
        <f>266528780</f>
        <v>2.6652878E8</v>
      </c>
      <c r="N64" s="23"/>
      <c r="O64" s="26" t="n">
        <f>565394110</f>
        <v>5.6539411E8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2720</f>
        <v>2720.0</v>
      </c>
      <c r="U64" s="23"/>
      <c r="V64" s="25" t="n">
        <f>1230</f>
        <v>1230.0</v>
      </c>
      <c r="W64" s="23"/>
      <c r="X64" s="26" t="n">
        <f>3950</f>
        <v>3950.0</v>
      </c>
      <c r="Y64" s="24"/>
      <c r="Z64" s="25" t="n">
        <f>27341</f>
        <v>27341.0</v>
      </c>
      <c r="AA64" s="23"/>
      <c r="AB64" s="25" t="n">
        <f>17080</f>
        <v>17080.0</v>
      </c>
      <c r="AC64" s="23"/>
      <c r="AD64" s="26" t="n">
        <f>44421</f>
        <v>44421.0</v>
      </c>
    </row>
    <row r="65">
      <c r="A65" s="30" t="s">
        <v>55</v>
      </c>
      <c r="B65" s="22" t="s">
        <v>60</v>
      </c>
      <c r="C65" s="22" t="s">
        <v>61</v>
      </c>
      <c r="D65" s="24"/>
      <c r="E65" s="25" t="n">
        <f>21163</f>
        <v>21163.0</v>
      </c>
      <c r="F65" s="23"/>
      <c r="G65" s="25" t="n">
        <f>23857</f>
        <v>23857.0</v>
      </c>
      <c r="H65" s="23"/>
      <c r="I65" s="26" t="n">
        <f>45020</f>
        <v>45020.0</v>
      </c>
      <c r="J65" s="24"/>
      <c r="K65" s="25" t="n">
        <f>271190300</f>
        <v>2.711903E8</v>
      </c>
      <c r="L65" s="23"/>
      <c r="M65" s="25" t="n">
        <f>233747420</f>
        <v>2.3374742E8</v>
      </c>
      <c r="N65" s="23"/>
      <c r="O65" s="26" t="n">
        <f>504937720</f>
        <v>5.0493772E8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/>
      <c r="T65" s="25" t="n">
        <f>1570</f>
        <v>1570.0</v>
      </c>
      <c r="U65" s="23"/>
      <c r="V65" s="25" t="n">
        <f>2690</f>
        <v>2690.0</v>
      </c>
      <c r="W65" s="23"/>
      <c r="X65" s="26" t="n">
        <f>4260</f>
        <v>4260.0</v>
      </c>
      <c r="Y65" s="24"/>
      <c r="Z65" s="25" t="n">
        <f>28522</f>
        <v>28522.0</v>
      </c>
      <c r="AA65" s="23"/>
      <c r="AB65" s="25" t="n">
        <f>20052</f>
        <v>20052.0</v>
      </c>
      <c r="AC65" s="23"/>
      <c r="AD65" s="26" t="n">
        <f>48574</f>
        <v>48574.0</v>
      </c>
    </row>
    <row r="66">
      <c r="A66" s="30" t="s">
        <v>56</v>
      </c>
      <c r="B66" s="22" t="s">
        <v>60</v>
      </c>
      <c r="C66" s="22" t="s">
        <v>61</v>
      </c>
      <c r="D66" s="24"/>
      <c r="E66" s="25" t="n">
        <f>12681</f>
        <v>12681.0</v>
      </c>
      <c r="F66" s="23"/>
      <c r="G66" s="25" t="n">
        <f>18219</f>
        <v>18219.0</v>
      </c>
      <c r="H66" s="23"/>
      <c r="I66" s="26" t="n">
        <f>30900</f>
        <v>30900.0</v>
      </c>
      <c r="J66" s="24" t="s">
        <v>37</v>
      </c>
      <c r="K66" s="25" t="n">
        <f>153745450</f>
        <v>1.5374545E8</v>
      </c>
      <c r="L66" s="23"/>
      <c r="M66" s="25" t="n">
        <f>149497080</f>
        <v>1.4949708E8</v>
      </c>
      <c r="N66" s="23"/>
      <c r="O66" s="26" t="n">
        <f>303242530</f>
        <v>3.0324253E8</v>
      </c>
      <c r="P66" s="27" t="str">
        <f>"－"</f>
        <v>－</v>
      </c>
      <c r="Q66" s="28" t="str">
        <f>"－"</f>
        <v>－</v>
      </c>
      <c r="R66" s="29" t="str">
        <f>"－"</f>
        <v>－</v>
      </c>
      <c r="S66" s="24" t="s">
        <v>37</v>
      </c>
      <c r="T66" s="25" t="n">
        <f>540</f>
        <v>540.0</v>
      </c>
      <c r="U66" s="23"/>
      <c r="V66" s="25" t="n">
        <f>1900</f>
        <v>1900.0</v>
      </c>
      <c r="W66" s="23"/>
      <c r="X66" s="26" t="n">
        <f>2440</f>
        <v>2440.0</v>
      </c>
      <c r="Y66" s="24"/>
      <c r="Z66" s="25" t="n">
        <f>30984</f>
        <v>30984.0</v>
      </c>
      <c r="AA66" s="23"/>
      <c r="AB66" s="25" t="n">
        <f>24378</f>
        <v>24378.0</v>
      </c>
      <c r="AC66" s="23"/>
      <c r="AD66" s="26" t="n">
        <f>55362</f>
        <v>55362.0</v>
      </c>
    </row>
    <row r="67">
      <c r="A67" s="30" t="s">
        <v>57</v>
      </c>
      <c r="B67" s="22" t="s">
        <v>60</v>
      </c>
      <c r="C67" s="22" t="s">
        <v>61</v>
      </c>
      <c r="D67" s="24"/>
      <c r="E67" s="25" t="n">
        <f>30007</f>
        <v>30007.0</v>
      </c>
      <c r="F67" s="23" t="s">
        <v>35</v>
      </c>
      <c r="G67" s="25" t="n">
        <f>28109</f>
        <v>28109.0</v>
      </c>
      <c r="H67" s="23"/>
      <c r="I67" s="26" t="n">
        <f>58116</f>
        <v>58116.0</v>
      </c>
      <c r="J67" s="24"/>
      <c r="K67" s="25" t="n">
        <f>227509480</f>
        <v>2.2750948E8</v>
      </c>
      <c r="L67" s="23"/>
      <c r="M67" s="25" t="n">
        <f>209609890</f>
        <v>2.0960989E8</v>
      </c>
      <c r="N67" s="23"/>
      <c r="O67" s="26" t="n">
        <f>437119370</f>
        <v>4.3711937E8</v>
      </c>
      <c r="P67" s="27" t="str">
        <f>"－"</f>
        <v>－</v>
      </c>
      <c r="Q67" s="28" t="str">
        <f>"－"</f>
        <v>－</v>
      </c>
      <c r="R67" s="29" t="str">
        <f>"－"</f>
        <v>－</v>
      </c>
      <c r="S67" s="24"/>
      <c r="T67" s="25" t="n">
        <f>2930</f>
        <v>2930.0</v>
      </c>
      <c r="U67" s="23"/>
      <c r="V67" s="25" t="n">
        <f>1730</f>
        <v>1730.0</v>
      </c>
      <c r="W67" s="23"/>
      <c r="X67" s="26" t="n">
        <f>4660</f>
        <v>4660.0</v>
      </c>
      <c r="Y67" s="24"/>
      <c r="Z67" s="25" t="n">
        <f>35723</f>
        <v>35723.0</v>
      </c>
      <c r="AA67" s="23"/>
      <c r="AB67" s="25" t="n">
        <f>27614</f>
        <v>27614.0</v>
      </c>
      <c r="AC67" s="23"/>
      <c r="AD67" s="26" t="n">
        <f>63337</f>
        <v>63337.0</v>
      </c>
    </row>
    <row r="68">
      <c r="A68" s="30" t="s">
        <v>58</v>
      </c>
      <c r="B68" s="22" t="s">
        <v>60</v>
      </c>
      <c r="C68" s="22" t="s">
        <v>61</v>
      </c>
      <c r="D68" s="24"/>
      <c r="E68" s="25" t="n">
        <f>13475</f>
        <v>13475.0</v>
      </c>
      <c r="F68" s="23" t="s">
        <v>37</v>
      </c>
      <c r="G68" s="25" t="n">
        <f>9679</f>
        <v>9679.0</v>
      </c>
      <c r="H68" s="23" t="s">
        <v>37</v>
      </c>
      <c r="I68" s="26" t="n">
        <f>23154</f>
        <v>23154.0</v>
      </c>
      <c r="J68" s="24"/>
      <c r="K68" s="25" t="n">
        <f>164056780</f>
        <v>1.6405678E8</v>
      </c>
      <c r="L68" s="23" t="s">
        <v>37</v>
      </c>
      <c r="M68" s="25" t="n">
        <f>102400270</f>
        <v>1.0240027E8</v>
      </c>
      <c r="N68" s="23" t="s">
        <v>37</v>
      </c>
      <c r="O68" s="26" t="n">
        <f>266457050</f>
        <v>2.6645705E8</v>
      </c>
      <c r="P68" s="27" t="n">
        <f>587</f>
        <v>587.0</v>
      </c>
      <c r="Q68" s="28" t="n">
        <f>482</f>
        <v>482.0</v>
      </c>
      <c r="R68" s="29" t="n">
        <f>1069</f>
        <v>1069.0</v>
      </c>
      <c r="S68" s="24"/>
      <c r="T68" s="25" t="n">
        <f>760</f>
        <v>760.0</v>
      </c>
      <c r="U68" s="23"/>
      <c r="V68" s="25" t="n">
        <f>840</f>
        <v>840.0</v>
      </c>
      <c r="W68" s="23"/>
      <c r="X68" s="26" t="n">
        <f>1600</f>
        <v>1600.0</v>
      </c>
      <c r="Y68" s="24"/>
      <c r="Z68" s="25" t="n">
        <f>19609</f>
        <v>19609.0</v>
      </c>
      <c r="AA68" s="23"/>
      <c r="AB68" s="25" t="n">
        <f>14083</f>
        <v>14083.0</v>
      </c>
      <c r="AC68" s="23"/>
      <c r="AD68" s="26" t="n">
        <f>33692</f>
        <v>33692.0</v>
      </c>
    </row>
    <row r="69">
      <c r="A69" s="30" t="s">
        <v>59</v>
      </c>
      <c r="B69" s="22" t="s">
        <v>60</v>
      </c>
      <c r="C69" s="22" t="s">
        <v>61</v>
      </c>
      <c r="D69" s="24"/>
      <c r="E69" s="25"/>
      <c r="F69" s="23"/>
      <c r="G69" s="25"/>
      <c r="H69" s="23"/>
      <c r="I69" s="26"/>
      <c r="J69" s="24"/>
      <c r="K69" s="25"/>
      <c r="L69" s="23"/>
      <c r="M69" s="25"/>
      <c r="N69" s="23"/>
      <c r="O69" s="26"/>
      <c r="P69" s="27"/>
      <c r="Q69" s="28"/>
      <c r="R69" s="29"/>
      <c r="S69" s="24"/>
      <c r="T69" s="25"/>
      <c r="U69" s="23"/>
      <c r="V69" s="25"/>
      <c r="W69" s="23"/>
      <c r="X69" s="26"/>
      <c r="Y69" s="24"/>
      <c r="Z69" s="25"/>
      <c r="AA69" s="23"/>
      <c r="AB69" s="25"/>
      <c r="AC69" s="23"/>
      <c r="AD69" s="26"/>
    </row>
    <row r="70">
      <c r="A70" s="30" t="s">
        <v>26</v>
      </c>
      <c r="B70" s="22" t="s">
        <v>62</v>
      </c>
      <c r="C70" s="22" t="s">
        <v>63</v>
      </c>
      <c r="D70" s="24" t="s">
        <v>37</v>
      </c>
      <c r="E70" s="25" t="n">
        <f>236</f>
        <v>236.0</v>
      </c>
      <c r="F70" s="23"/>
      <c r="G70" s="25" t="n">
        <f>31</f>
        <v>31.0</v>
      </c>
      <c r="H70" s="23" t="s">
        <v>37</v>
      </c>
      <c r="I70" s="26" t="n">
        <f>267</f>
        <v>267.0</v>
      </c>
      <c r="J70" s="24"/>
      <c r="K70" s="25" t="n">
        <f>133320000</f>
        <v>1.3332E8</v>
      </c>
      <c r="L70" s="23"/>
      <c r="M70" s="25" t="n">
        <f>5912000</f>
        <v>5912000.0</v>
      </c>
      <c r="N70" s="23"/>
      <c r="O70" s="26" t="n">
        <f>139232000</f>
        <v>1.39232E8</v>
      </c>
      <c r="P70" s="27" t="str">
        <f>"－"</f>
        <v>－</v>
      </c>
      <c r="Q70" s="28" t="str">
        <f>"－"</f>
        <v>－</v>
      </c>
      <c r="R70" s="29" t="str">
        <f>"－"</f>
        <v>－</v>
      </c>
      <c r="S70" s="24"/>
      <c r="T70" s="25" t="n">
        <f>26</f>
        <v>26.0</v>
      </c>
      <c r="U70" s="23"/>
      <c r="V70" s="25" t="n">
        <f>26</f>
        <v>26.0</v>
      </c>
      <c r="W70" s="23"/>
      <c r="X70" s="26" t="n">
        <f>52</f>
        <v>52.0</v>
      </c>
      <c r="Y70" s="24" t="s">
        <v>37</v>
      </c>
      <c r="Z70" s="25" t="n">
        <f>109171</f>
        <v>109171.0</v>
      </c>
      <c r="AA70" s="23" t="s">
        <v>37</v>
      </c>
      <c r="AB70" s="25" t="n">
        <f>73660</f>
        <v>73660.0</v>
      </c>
      <c r="AC70" s="23" t="s">
        <v>37</v>
      </c>
      <c r="AD70" s="26" t="n">
        <f>182831</f>
        <v>182831.0</v>
      </c>
    </row>
    <row r="71">
      <c r="A71" s="30" t="s">
        <v>29</v>
      </c>
      <c r="B71" s="22" t="s">
        <v>62</v>
      </c>
      <c r="C71" s="22" t="s">
        <v>63</v>
      </c>
      <c r="D71" s="24"/>
      <c r="E71" s="25"/>
      <c r="F71" s="23"/>
      <c r="G71" s="25"/>
      <c r="H71" s="23"/>
      <c r="I71" s="26"/>
      <c r="J71" s="24"/>
      <c r="K71" s="25"/>
      <c r="L71" s="23"/>
      <c r="M71" s="25"/>
      <c r="N71" s="23"/>
      <c r="O71" s="26"/>
      <c r="P71" s="27"/>
      <c r="Q71" s="28"/>
      <c r="R71" s="29"/>
      <c r="S71" s="24"/>
      <c r="T71" s="25"/>
      <c r="U71" s="23"/>
      <c r="V71" s="25"/>
      <c r="W71" s="23"/>
      <c r="X71" s="26"/>
      <c r="Y71" s="24"/>
      <c r="Z71" s="25"/>
      <c r="AA71" s="23"/>
      <c r="AB71" s="25"/>
      <c r="AC71" s="23"/>
      <c r="AD71" s="26"/>
    </row>
    <row r="72">
      <c r="A72" s="30" t="s">
        <v>30</v>
      </c>
      <c r="B72" s="22" t="s">
        <v>62</v>
      </c>
      <c r="C72" s="22" t="s">
        <v>63</v>
      </c>
      <c r="D72" s="24"/>
      <c r="E72" s="25"/>
      <c r="F72" s="23"/>
      <c r="G72" s="25"/>
      <c r="H72" s="23"/>
      <c r="I72" s="26"/>
      <c r="J72" s="24"/>
      <c r="K72" s="25"/>
      <c r="L72" s="23"/>
      <c r="M72" s="25"/>
      <c r="N72" s="23"/>
      <c r="O72" s="26"/>
      <c r="P72" s="27"/>
      <c r="Q72" s="28"/>
      <c r="R72" s="29"/>
      <c r="S72" s="24"/>
      <c r="T72" s="25"/>
      <c r="U72" s="23"/>
      <c r="V72" s="25"/>
      <c r="W72" s="23"/>
      <c r="X72" s="26"/>
      <c r="Y72" s="24"/>
      <c r="Z72" s="25"/>
      <c r="AA72" s="23"/>
      <c r="AB72" s="25"/>
      <c r="AC72" s="23"/>
      <c r="AD72" s="26"/>
    </row>
    <row r="73">
      <c r="A73" s="30" t="s">
        <v>31</v>
      </c>
      <c r="B73" s="22" t="s">
        <v>62</v>
      </c>
      <c r="C73" s="22" t="s">
        <v>63</v>
      </c>
      <c r="D73" s="24"/>
      <c r="E73" s="25"/>
      <c r="F73" s="23"/>
      <c r="G73" s="25"/>
      <c r="H73" s="23"/>
      <c r="I73" s="26"/>
      <c r="J73" s="24"/>
      <c r="K73" s="25"/>
      <c r="L73" s="23"/>
      <c r="M73" s="25"/>
      <c r="N73" s="23"/>
      <c r="O73" s="26"/>
      <c r="P73" s="27"/>
      <c r="Q73" s="28"/>
      <c r="R73" s="29"/>
      <c r="S73" s="24"/>
      <c r="T73" s="25"/>
      <c r="U73" s="23"/>
      <c r="V73" s="25"/>
      <c r="W73" s="23"/>
      <c r="X73" s="26"/>
      <c r="Y73" s="24"/>
      <c r="Z73" s="25"/>
      <c r="AA73" s="23"/>
      <c r="AB73" s="25"/>
      <c r="AC73" s="23"/>
      <c r="AD73" s="26"/>
    </row>
    <row r="74">
      <c r="A74" s="30" t="s">
        <v>32</v>
      </c>
      <c r="B74" s="22" t="s">
        <v>62</v>
      </c>
      <c r="C74" s="22" t="s">
        <v>63</v>
      </c>
      <c r="D74" s="24"/>
      <c r="E74" s="25" t="n">
        <f>960</f>
        <v>960.0</v>
      </c>
      <c r="F74" s="23"/>
      <c r="G74" s="25" t="n">
        <f>360</f>
        <v>360.0</v>
      </c>
      <c r="H74" s="23"/>
      <c r="I74" s="26" t="n">
        <f>1320</f>
        <v>1320.0</v>
      </c>
      <c r="J74" s="24"/>
      <c r="K74" s="25" t="n">
        <f>650750000</f>
        <v>6.5075E8</v>
      </c>
      <c r="L74" s="23"/>
      <c r="M74" s="25" t="n">
        <f>8600000</f>
        <v>8600000.0</v>
      </c>
      <c r="N74" s="23"/>
      <c r="O74" s="26" t="n">
        <f>659350000</f>
        <v>6.5935E8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 t="s">
        <v>37</v>
      </c>
      <c r="T74" s="25" t="str">
        <f>"－"</f>
        <v>－</v>
      </c>
      <c r="U74" s="23" t="s">
        <v>37</v>
      </c>
      <c r="V74" s="25" t="str">
        <f>"－"</f>
        <v>－</v>
      </c>
      <c r="W74" s="23" t="s">
        <v>37</v>
      </c>
      <c r="X74" s="26" t="str">
        <f>"－"</f>
        <v>－</v>
      </c>
      <c r="Y74" s="24"/>
      <c r="Z74" s="25" t="n">
        <f>109695</f>
        <v>109695.0</v>
      </c>
      <c r="AA74" s="23"/>
      <c r="AB74" s="25" t="n">
        <f>73974</f>
        <v>73974.0</v>
      </c>
      <c r="AC74" s="23"/>
      <c r="AD74" s="26" t="n">
        <f>183669</f>
        <v>183669.0</v>
      </c>
    </row>
    <row r="75">
      <c r="A75" s="30" t="s">
        <v>33</v>
      </c>
      <c r="B75" s="22" t="s">
        <v>62</v>
      </c>
      <c r="C75" s="22" t="s">
        <v>63</v>
      </c>
      <c r="D75" s="24"/>
      <c r="E75" s="25" t="n">
        <f>941</f>
        <v>941.0</v>
      </c>
      <c r="F75" s="23"/>
      <c r="G75" s="25" t="n">
        <f>1798</f>
        <v>1798.0</v>
      </c>
      <c r="H75" s="23"/>
      <c r="I75" s="26" t="n">
        <f>2739</f>
        <v>2739.0</v>
      </c>
      <c r="J75" s="24"/>
      <c r="K75" s="25" t="n">
        <f>259414596</f>
        <v>2.59414596E8</v>
      </c>
      <c r="L75" s="23"/>
      <c r="M75" s="25" t="n">
        <f>551284060</f>
        <v>5.5128406E8</v>
      </c>
      <c r="N75" s="23"/>
      <c r="O75" s="26" t="n">
        <f>810698656</f>
        <v>8.10698656E8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 t="s">
        <v>35</v>
      </c>
      <c r="T75" s="25" t="n">
        <f>691</f>
        <v>691.0</v>
      </c>
      <c r="U75" s="23"/>
      <c r="V75" s="25" t="n">
        <f>691</f>
        <v>691.0</v>
      </c>
      <c r="W75" s="23"/>
      <c r="X75" s="26" t="n">
        <f>1382</f>
        <v>1382.0</v>
      </c>
      <c r="Y75" s="24"/>
      <c r="Z75" s="25" t="n">
        <f>110386</f>
        <v>110386.0</v>
      </c>
      <c r="AA75" s="23"/>
      <c r="AB75" s="25" t="n">
        <f>74560</f>
        <v>74560.0</v>
      </c>
      <c r="AC75" s="23"/>
      <c r="AD75" s="26" t="n">
        <f>184946</f>
        <v>184946.0</v>
      </c>
    </row>
    <row r="76">
      <c r="A76" s="30" t="s">
        <v>34</v>
      </c>
      <c r="B76" s="22" t="s">
        <v>62</v>
      </c>
      <c r="C76" s="22" t="s">
        <v>63</v>
      </c>
      <c r="D76" s="24"/>
      <c r="E76" s="25" t="n">
        <f>935</f>
        <v>935.0</v>
      </c>
      <c r="F76" s="23" t="s">
        <v>35</v>
      </c>
      <c r="G76" s="25" t="n">
        <f>1839</f>
        <v>1839.0</v>
      </c>
      <c r="H76" s="23" t="s">
        <v>35</v>
      </c>
      <c r="I76" s="26" t="n">
        <f>2774</f>
        <v>2774.0</v>
      </c>
      <c r="J76" s="24"/>
      <c r="K76" s="25" t="n">
        <f>312444800</f>
        <v>3.124448E8</v>
      </c>
      <c r="L76" s="23"/>
      <c r="M76" s="25" t="n">
        <f>324805000</f>
        <v>3.24805E8</v>
      </c>
      <c r="N76" s="23"/>
      <c r="O76" s="26" t="n">
        <f>637249800</f>
        <v>6.372498E8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/>
      <c r="T76" s="25" t="n">
        <f>525</f>
        <v>525.0</v>
      </c>
      <c r="U76" s="23"/>
      <c r="V76" s="25" t="n">
        <f>625</f>
        <v>625.0</v>
      </c>
      <c r="W76" s="23"/>
      <c r="X76" s="26" t="n">
        <f>1150</f>
        <v>1150.0</v>
      </c>
      <c r="Y76" s="24"/>
      <c r="Z76" s="25" t="n">
        <f>111011</f>
        <v>111011.0</v>
      </c>
      <c r="AA76" s="23"/>
      <c r="AB76" s="25" t="n">
        <f>75346</f>
        <v>75346.0</v>
      </c>
      <c r="AC76" s="23"/>
      <c r="AD76" s="26" t="n">
        <f>186357</f>
        <v>186357.0</v>
      </c>
    </row>
    <row r="77">
      <c r="A77" s="30" t="s">
        <v>36</v>
      </c>
      <c r="B77" s="22" t="s">
        <v>62</v>
      </c>
      <c r="C77" s="22" t="s">
        <v>63</v>
      </c>
      <c r="D77" s="24" t="s">
        <v>35</v>
      </c>
      <c r="E77" s="25" t="n">
        <f>1854</f>
        <v>1854.0</v>
      </c>
      <c r="F77" s="23"/>
      <c r="G77" s="25" t="n">
        <f>702</f>
        <v>702.0</v>
      </c>
      <c r="H77" s="23"/>
      <c r="I77" s="26" t="n">
        <f>2556</f>
        <v>2556.0</v>
      </c>
      <c r="J77" s="24"/>
      <c r="K77" s="25" t="n">
        <f>643237000</f>
        <v>6.43237E8</v>
      </c>
      <c r="L77" s="23"/>
      <c r="M77" s="25" t="n">
        <f>291234000</f>
        <v>2.91234E8</v>
      </c>
      <c r="N77" s="23"/>
      <c r="O77" s="26" t="n">
        <f>934471000</f>
        <v>9.34471E8</v>
      </c>
      <c r="P77" s="27" t="str">
        <f>"－"</f>
        <v>－</v>
      </c>
      <c r="Q77" s="28" t="n">
        <f>1364</f>
        <v>1364.0</v>
      </c>
      <c r="R77" s="29" t="n">
        <f>1364</f>
        <v>1364.0</v>
      </c>
      <c r="S77" s="24"/>
      <c r="T77" s="25" t="str">
        <f>"－"</f>
        <v>－</v>
      </c>
      <c r="U77" s="23"/>
      <c r="V77" s="25" t="str">
        <f>"－"</f>
        <v>－</v>
      </c>
      <c r="W77" s="23"/>
      <c r="X77" s="26" t="str">
        <f>"－"</f>
        <v>－</v>
      </c>
      <c r="Y77" s="24"/>
      <c r="Z77" s="25" t="n">
        <f>109690</f>
        <v>109690.0</v>
      </c>
      <c r="AA77" s="23"/>
      <c r="AB77" s="25" t="n">
        <f>73959</f>
        <v>73959.0</v>
      </c>
      <c r="AC77" s="23"/>
      <c r="AD77" s="26" t="n">
        <f>183649</f>
        <v>183649.0</v>
      </c>
    </row>
    <row r="78">
      <c r="A78" s="30" t="s">
        <v>38</v>
      </c>
      <c r="B78" s="22" t="s">
        <v>62</v>
      </c>
      <c r="C78" s="22" t="s">
        <v>63</v>
      </c>
      <c r="D78" s="24"/>
      <c r="E78" s="25"/>
      <c r="F78" s="23"/>
      <c r="G78" s="25"/>
      <c r="H78" s="23"/>
      <c r="I78" s="26"/>
      <c r="J78" s="24"/>
      <c r="K78" s="25"/>
      <c r="L78" s="23"/>
      <c r="M78" s="25"/>
      <c r="N78" s="23"/>
      <c r="O78" s="26"/>
      <c r="P78" s="27"/>
      <c r="Q78" s="28"/>
      <c r="R78" s="29"/>
      <c r="S78" s="24"/>
      <c r="T78" s="25"/>
      <c r="U78" s="23"/>
      <c r="V78" s="25"/>
      <c r="W78" s="23"/>
      <c r="X78" s="26"/>
      <c r="Y78" s="24"/>
      <c r="Z78" s="25"/>
      <c r="AA78" s="23"/>
      <c r="AB78" s="25"/>
      <c r="AC78" s="23"/>
      <c r="AD78" s="26"/>
    </row>
    <row r="79">
      <c r="A79" s="30" t="s">
        <v>39</v>
      </c>
      <c r="B79" s="22" t="s">
        <v>62</v>
      </c>
      <c r="C79" s="22" t="s">
        <v>63</v>
      </c>
      <c r="D79" s="24"/>
      <c r="E79" s="25"/>
      <c r="F79" s="23"/>
      <c r="G79" s="25"/>
      <c r="H79" s="23"/>
      <c r="I79" s="26"/>
      <c r="J79" s="24"/>
      <c r="K79" s="25"/>
      <c r="L79" s="23"/>
      <c r="M79" s="25"/>
      <c r="N79" s="23"/>
      <c r="O79" s="26"/>
      <c r="P79" s="27"/>
      <c r="Q79" s="28"/>
      <c r="R79" s="29"/>
      <c r="S79" s="24"/>
      <c r="T79" s="25"/>
      <c r="U79" s="23"/>
      <c r="V79" s="25"/>
      <c r="W79" s="23"/>
      <c r="X79" s="26"/>
      <c r="Y79" s="24"/>
      <c r="Z79" s="25"/>
      <c r="AA79" s="23"/>
      <c r="AB79" s="25"/>
      <c r="AC79" s="23"/>
      <c r="AD79" s="26"/>
    </row>
    <row r="80">
      <c r="A80" s="30" t="s">
        <v>40</v>
      </c>
      <c r="B80" s="22" t="s">
        <v>62</v>
      </c>
      <c r="C80" s="22" t="s">
        <v>63</v>
      </c>
      <c r="D80" s="24"/>
      <c r="E80" s="25" t="n">
        <f>813</f>
        <v>813.0</v>
      </c>
      <c r="F80" s="23" t="s">
        <v>37</v>
      </c>
      <c r="G80" s="25" t="str">
        <f>"－"</f>
        <v>－</v>
      </c>
      <c r="H80" s="23"/>
      <c r="I80" s="26" t="n">
        <f>813</f>
        <v>813.0</v>
      </c>
      <c r="J80" s="24"/>
      <c r="K80" s="25" t="n">
        <f>324961850</f>
        <v>3.2496185E8</v>
      </c>
      <c r="L80" s="23" t="s">
        <v>37</v>
      </c>
      <c r="M80" s="25" t="str">
        <f>"－"</f>
        <v>－</v>
      </c>
      <c r="N80" s="23"/>
      <c r="O80" s="26" t="n">
        <f>324961850</f>
        <v>3.2496185E8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n">
        <f>113</f>
        <v>113.0</v>
      </c>
      <c r="U80" s="23"/>
      <c r="V80" s="25" t="str">
        <f>"－"</f>
        <v>－</v>
      </c>
      <c r="W80" s="23"/>
      <c r="X80" s="26" t="n">
        <f>113</f>
        <v>113.0</v>
      </c>
      <c r="Y80" s="24"/>
      <c r="Z80" s="25" t="n">
        <f>110503</f>
        <v>110503.0</v>
      </c>
      <c r="AA80" s="23"/>
      <c r="AB80" s="25" t="n">
        <f>73959</f>
        <v>73959.0</v>
      </c>
      <c r="AC80" s="23"/>
      <c r="AD80" s="26" t="n">
        <f>184462</f>
        <v>184462.0</v>
      </c>
    </row>
    <row r="81">
      <c r="A81" s="30" t="s">
        <v>41</v>
      </c>
      <c r="B81" s="22" t="s">
        <v>62</v>
      </c>
      <c r="C81" s="22" t="s">
        <v>63</v>
      </c>
      <c r="D81" s="24"/>
      <c r="E81" s="25" t="n">
        <f>566</f>
        <v>566.0</v>
      </c>
      <c r="F81" s="23"/>
      <c r="G81" s="25" t="n">
        <f>1126</f>
        <v>1126.0</v>
      </c>
      <c r="H81" s="23"/>
      <c r="I81" s="26" t="n">
        <f>1692</f>
        <v>1692.0</v>
      </c>
      <c r="J81" s="24" t="s">
        <v>37</v>
      </c>
      <c r="K81" s="25" t="n">
        <f>50940000</f>
        <v>5.094E7</v>
      </c>
      <c r="L81" s="23"/>
      <c r="M81" s="25" t="n">
        <f>333139790</f>
        <v>3.3313979E8</v>
      </c>
      <c r="N81" s="23"/>
      <c r="O81" s="26" t="n">
        <f>384079790</f>
        <v>3.8407979E8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566</f>
        <v>566.0</v>
      </c>
      <c r="U81" s="23"/>
      <c r="V81" s="25" t="n">
        <f>1126</f>
        <v>1126.0</v>
      </c>
      <c r="W81" s="23" t="s">
        <v>35</v>
      </c>
      <c r="X81" s="26" t="n">
        <f>1692</f>
        <v>1692.0</v>
      </c>
      <c r="Y81" s="24"/>
      <c r="Z81" s="25" t="n">
        <f>110503</f>
        <v>110503.0</v>
      </c>
      <c r="AA81" s="23"/>
      <c r="AB81" s="25" t="n">
        <f>74519</f>
        <v>74519.0</v>
      </c>
      <c r="AC81" s="23"/>
      <c r="AD81" s="26" t="n">
        <f>185022</f>
        <v>185022.0</v>
      </c>
    </row>
    <row r="82">
      <c r="A82" s="30" t="s">
        <v>42</v>
      </c>
      <c r="B82" s="22" t="s">
        <v>62</v>
      </c>
      <c r="C82" s="22" t="s">
        <v>63</v>
      </c>
      <c r="D82" s="24"/>
      <c r="E82" s="25" t="n">
        <f>300</f>
        <v>300.0</v>
      </c>
      <c r="F82" s="23"/>
      <c r="G82" s="25" t="str">
        <f>"－"</f>
        <v>－</v>
      </c>
      <c r="H82" s="23"/>
      <c r="I82" s="26" t="n">
        <f>300</f>
        <v>300.0</v>
      </c>
      <c r="J82" s="24"/>
      <c r="K82" s="25" t="n">
        <f>138667500</f>
        <v>1.386675E8</v>
      </c>
      <c r="L82" s="23"/>
      <c r="M82" s="25" t="str">
        <f>"－"</f>
        <v>－</v>
      </c>
      <c r="N82" s="23" t="s">
        <v>37</v>
      </c>
      <c r="O82" s="26" t="n">
        <f>138667500</f>
        <v>1.386675E8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n">
        <f>100</f>
        <v>100.0</v>
      </c>
      <c r="U82" s="23"/>
      <c r="V82" s="25" t="str">
        <f>"－"</f>
        <v>－</v>
      </c>
      <c r="W82" s="23"/>
      <c r="X82" s="26" t="n">
        <f>100</f>
        <v>100.0</v>
      </c>
      <c r="Y82" s="24"/>
      <c r="Z82" s="25" t="n">
        <f>110603</f>
        <v>110603.0</v>
      </c>
      <c r="AA82" s="23"/>
      <c r="AB82" s="25" t="n">
        <f>74519</f>
        <v>74519.0</v>
      </c>
      <c r="AC82" s="23"/>
      <c r="AD82" s="26" t="n">
        <f>185122</f>
        <v>185122.0</v>
      </c>
    </row>
    <row r="83">
      <c r="A83" s="30" t="s">
        <v>43</v>
      </c>
      <c r="B83" s="22" t="s">
        <v>62</v>
      </c>
      <c r="C83" s="22" t="s">
        <v>63</v>
      </c>
      <c r="D83" s="24"/>
      <c r="E83" s="25" t="n">
        <f>950</f>
        <v>950.0</v>
      </c>
      <c r="F83" s="23"/>
      <c r="G83" s="25" t="n">
        <f>750</f>
        <v>750.0</v>
      </c>
      <c r="H83" s="23"/>
      <c r="I83" s="26" t="n">
        <f>1700</f>
        <v>1700.0</v>
      </c>
      <c r="J83" s="24"/>
      <c r="K83" s="25" t="n">
        <f>1478910000</f>
        <v>1.47891E9</v>
      </c>
      <c r="L83" s="23"/>
      <c r="M83" s="25" t="n">
        <f>1485330000</f>
        <v>1.48533E9</v>
      </c>
      <c r="N83" s="23"/>
      <c r="O83" s="26" t="n">
        <f>2964240000</f>
        <v>2.96424E9</v>
      </c>
      <c r="P83" s="27" t="str">
        <f>"－"</f>
        <v>－</v>
      </c>
      <c r="Q83" s="28" t="str">
        <f>"－"</f>
        <v>－</v>
      </c>
      <c r="R83" s="29" t="str">
        <f>"－"</f>
        <v>－</v>
      </c>
      <c r="S83" s="24"/>
      <c r="T83" s="25" t="n">
        <f>50</f>
        <v>50.0</v>
      </c>
      <c r="U83" s="23"/>
      <c r="V83" s="25" t="n">
        <f>50</f>
        <v>50.0</v>
      </c>
      <c r="W83" s="23"/>
      <c r="X83" s="26" t="n">
        <f>100</f>
        <v>100.0</v>
      </c>
      <c r="Y83" s="24"/>
      <c r="Z83" s="25" t="n">
        <f>110903</f>
        <v>110903.0</v>
      </c>
      <c r="AA83" s="23"/>
      <c r="AB83" s="25" t="n">
        <f>75119</f>
        <v>75119.0</v>
      </c>
      <c r="AC83" s="23"/>
      <c r="AD83" s="26" t="n">
        <f>186022</f>
        <v>186022.0</v>
      </c>
    </row>
    <row r="84">
      <c r="A84" s="30" t="s">
        <v>44</v>
      </c>
      <c r="B84" s="22" t="s">
        <v>62</v>
      </c>
      <c r="C84" s="22" t="s">
        <v>63</v>
      </c>
      <c r="D84" s="24"/>
      <c r="E84" s="25" t="n">
        <f>1296</f>
        <v>1296.0</v>
      </c>
      <c r="F84" s="23"/>
      <c r="G84" s="25" t="n">
        <f>326</f>
        <v>326.0</v>
      </c>
      <c r="H84" s="23"/>
      <c r="I84" s="26" t="n">
        <f>1622</f>
        <v>1622.0</v>
      </c>
      <c r="J84" s="24"/>
      <c r="K84" s="25" t="n">
        <f>311745785</f>
        <v>3.11745785E8</v>
      </c>
      <c r="L84" s="23"/>
      <c r="M84" s="25" t="n">
        <f>94104000</f>
        <v>9.4104E7</v>
      </c>
      <c r="N84" s="23"/>
      <c r="O84" s="26" t="n">
        <f>405849785</f>
        <v>4.05849785E8</v>
      </c>
      <c r="P84" s="27" t="str">
        <f>"－"</f>
        <v>－</v>
      </c>
      <c r="Q84" s="28" t="str">
        <f>"－"</f>
        <v>－</v>
      </c>
      <c r="R84" s="29" t="str">
        <f>"－"</f>
        <v>－</v>
      </c>
      <c r="S84" s="24"/>
      <c r="T84" s="25" t="n">
        <f>226</f>
        <v>226.0</v>
      </c>
      <c r="U84" s="23"/>
      <c r="V84" s="25" t="n">
        <f>126</f>
        <v>126.0</v>
      </c>
      <c r="W84" s="23"/>
      <c r="X84" s="26" t="n">
        <f>352</f>
        <v>352.0</v>
      </c>
      <c r="Y84" s="24"/>
      <c r="Z84" s="25" t="n">
        <f>110903</f>
        <v>110903.0</v>
      </c>
      <c r="AA84" s="23"/>
      <c r="AB84" s="25" t="n">
        <f>75445</f>
        <v>75445.0</v>
      </c>
      <c r="AC84" s="23"/>
      <c r="AD84" s="26" t="n">
        <f>186348</f>
        <v>186348.0</v>
      </c>
    </row>
    <row r="85">
      <c r="A85" s="30" t="s">
        <v>45</v>
      </c>
      <c r="B85" s="22" t="s">
        <v>62</v>
      </c>
      <c r="C85" s="22" t="s">
        <v>63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46</v>
      </c>
      <c r="B86" s="22" t="s">
        <v>62</v>
      </c>
      <c r="C86" s="22" t="s">
        <v>63</v>
      </c>
      <c r="D86" s="24"/>
      <c r="E86" s="25"/>
      <c r="F86" s="23"/>
      <c r="G86" s="25"/>
      <c r="H86" s="23"/>
      <c r="I86" s="26"/>
      <c r="J86" s="24"/>
      <c r="K86" s="25"/>
      <c r="L86" s="23"/>
      <c r="M86" s="25"/>
      <c r="N86" s="23"/>
      <c r="O86" s="26"/>
      <c r="P86" s="27"/>
      <c r="Q86" s="28"/>
      <c r="R86" s="29"/>
      <c r="S86" s="24"/>
      <c r="T86" s="25"/>
      <c r="U86" s="23"/>
      <c r="V86" s="25"/>
      <c r="W86" s="23"/>
      <c r="X86" s="26"/>
      <c r="Y86" s="24"/>
      <c r="Z86" s="25"/>
      <c r="AA86" s="23"/>
      <c r="AB86" s="25"/>
      <c r="AC86" s="23"/>
      <c r="AD86" s="26"/>
    </row>
    <row r="87">
      <c r="A87" s="30" t="s">
        <v>47</v>
      </c>
      <c r="B87" s="22" t="s">
        <v>62</v>
      </c>
      <c r="C87" s="22" t="s">
        <v>63</v>
      </c>
      <c r="D87" s="24"/>
      <c r="E87" s="25" t="n">
        <f>812</f>
        <v>812.0</v>
      </c>
      <c r="F87" s="23"/>
      <c r="G87" s="25" t="n">
        <f>50</f>
        <v>50.0</v>
      </c>
      <c r="H87" s="23"/>
      <c r="I87" s="26" t="n">
        <f>862</f>
        <v>862.0</v>
      </c>
      <c r="J87" s="24"/>
      <c r="K87" s="25" t="n">
        <f>235882000</f>
        <v>2.35882E8</v>
      </c>
      <c r="L87" s="23"/>
      <c r="M87" s="25" t="n">
        <f>43000000</f>
        <v>4.3E7</v>
      </c>
      <c r="N87" s="23"/>
      <c r="O87" s="26" t="n">
        <f>278882000</f>
        <v>2.78882E8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612</f>
        <v>612.0</v>
      </c>
      <c r="U87" s="23"/>
      <c r="V87" s="25" t="str">
        <f>"－"</f>
        <v>－</v>
      </c>
      <c r="W87" s="23"/>
      <c r="X87" s="26" t="n">
        <f>612</f>
        <v>612.0</v>
      </c>
      <c r="Y87" s="24"/>
      <c r="Z87" s="25" t="n">
        <f>110519</f>
        <v>110519.0</v>
      </c>
      <c r="AA87" s="23"/>
      <c r="AB87" s="25" t="n">
        <f>75469</f>
        <v>75469.0</v>
      </c>
      <c r="AC87" s="23"/>
      <c r="AD87" s="26" t="n">
        <f>185988</f>
        <v>185988.0</v>
      </c>
    </row>
    <row r="88">
      <c r="A88" s="30" t="s">
        <v>48</v>
      </c>
      <c r="B88" s="22" t="s">
        <v>62</v>
      </c>
      <c r="C88" s="22" t="s">
        <v>63</v>
      </c>
      <c r="D88" s="24"/>
      <c r="E88" s="25" t="n">
        <f>400</f>
        <v>400.0</v>
      </c>
      <c r="F88" s="23"/>
      <c r="G88" s="25" t="n">
        <f>40</f>
        <v>40.0</v>
      </c>
      <c r="H88" s="23"/>
      <c r="I88" s="26" t="n">
        <f>440</f>
        <v>440.0</v>
      </c>
      <c r="J88" s="24"/>
      <c r="K88" s="25" t="n">
        <f>320600000</f>
        <v>3.206E8</v>
      </c>
      <c r="L88" s="23"/>
      <c r="M88" s="25" t="n">
        <f>2560000</f>
        <v>2560000.0</v>
      </c>
      <c r="N88" s="23"/>
      <c r="O88" s="26" t="n">
        <f>323160000</f>
        <v>3.2316E8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400</f>
        <v>400.0</v>
      </c>
      <c r="U88" s="23"/>
      <c r="V88" s="25" t="str">
        <f>"－"</f>
        <v>－</v>
      </c>
      <c r="W88" s="23"/>
      <c r="X88" s="26" t="n">
        <f>400</f>
        <v>400.0</v>
      </c>
      <c r="Y88" s="24"/>
      <c r="Z88" s="25" t="n">
        <f>110919</f>
        <v>110919.0</v>
      </c>
      <c r="AA88" s="23"/>
      <c r="AB88" s="25" t="n">
        <f>75509</f>
        <v>75509.0</v>
      </c>
      <c r="AC88" s="23"/>
      <c r="AD88" s="26" t="n">
        <f>186428</f>
        <v>186428.0</v>
      </c>
    </row>
    <row r="89">
      <c r="A89" s="30" t="s">
        <v>49</v>
      </c>
      <c r="B89" s="22" t="s">
        <v>62</v>
      </c>
      <c r="C89" s="22" t="s">
        <v>63</v>
      </c>
      <c r="D89" s="24"/>
      <c r="E89" s="25" t="n">
        <f>800</f>
        <v>800.0</v>
      </c>
      <c r="F89" s="23"/>
      <c r="G89" s="25" t="n">
        <f>800</f>
        <v>800.0</v>
      </c>
      <c r="H89" s="23"/>
      <c r="I89" s="26" t="n">
        <f>1600</f>
        <v>1600.0</v>
      </c>
      <c r="J89" s="24"/>
      <c r="K89" s="25" t="n">
        <f>211000000</f>
        <v>2.11E8</v>
      </c>
      <c r="L89" s="23"/>
      <c r="M89" s="25" t="n">
        <f>108000000</f>
        <v>1.08E8</v>
      </c>
      <c r="N89" s="23"/>
      <c r="O89" s="26" t="n">
        <f>319000000</f>
        <v>3.19E8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str">
        <f>"－"</f>
        <v>－</v>
      </c>
      <c r="U89" s="23"/>
      <c r="V89" s="25" t="str">
        <f>"－"</f>
        <v>－</v>
      </c>
      <c r="W89" s="23"/>
      <c r="X89" s="26" t="str">
        <f>"－"</f>
        <v>－</v>
      </c>
      <c r="Y89" s="24"/>
      <c r="Z89" s="25" t="n">
        <f>110869</f>
        <v>110869.0</v>
      </c>
      <c r="AA89" s="23"/>
      <c r="AB89" s="25" t="n">
        <f>75509</f>
        <v>75509.0</v>
      </c>
      <c r="AC89" s="23"/>
      <c r="AD89" s="26" t="n">
        <f>186378</f>
        <v>186378.0</v>
      </c>
    </row>
    <row r="90">
      <c r="A90" s="30" t="s">
        <v>50</v>
      </c>
      <c r="B90" s="22" t="s">
        <v>62</v>
      </c>
      <c r="C90" s="22" t="s">
        <v>63</v>
      </c>
      <c r="D90" s="24"/>
      <c r="E90" s="25" t="n">
        <f>603</f>
        <v>603.0</v>
      </c>
      <c r="F90" s="23"/>
      <c r="G90" s="25" t="n">
        <f>160</f>
        <v>160.0</v>
      </c>
      <c r="H90" s="23"/>
      <c r="I90" s="26" t="n">
        <f>763</f>
        <v>763.0</v>
      </c>
      <c r="J90" s="24"/>
      <c r="K90" s="25" t="n">
        <f>279822500</f>
        <v>2.798225E8</v>
      </c>
      <c r="L90" s="23"/>
      <c r="M90" s="25" t="n">
        <f>14240000</f>
        <v>1.424E7</v>
      </c>
      <c r="N90" s="23"/>
      <c r="O90" s="26" t="n">
        <f>294062500</f>
        <v>2.940625E8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/>
      <c r="T90" s="25" t="str">
        <f>"－"</f>
        <v>－</v>
      </c>
      <c r="U90" s="23"/>
      <c r="V90" s="25" t="n">
        <f>160</f>
        <v>160.0</v>
      </c>
      <c r="W90" s="23"/>
      <c r="X90" s="26" t="n">
        <f>160</f>
        <v>160.0</v>
      </c>
      <c r="Y90" s="24"/>
      <c r="Z90" s="25" t="n">
        <f>110766</f>
        <v>110766.0</v>
      </c>
      <c r="AA90" s="23"/>
      <c r="AB90" s="25" t="n">
        <f>75669</f>
        <v>75669.0</v>
      </c>
      <c r="AC90" s="23"/>
      <c r="AD90" s="26" t="n">
        <f>186435</f>
        <v>186435.0</v>
      </c>
    </row>
    <row r="91">
      <c r="A91" s="30" t="s">
        <v>51</v>
      </c>
      <c r="B91" s="22" t="s">
        <v>62</v>
      </c>
      <c r="C91" s="22" t="s">
        <v>63</v>
      </c>
      <c r="D91" s="24"/>
      <c r="E91" s="25" t="n">
        <f>600</f>
        <v>600.0</v>
      </c>
      <c r="F91" s="23"/>
      <c r="G91" s="25" t="n">
        <f>300</f>
        <v>300.0</v>
      </c>
      <c r="H91" s="23"/>
      <c r="I91" s="26" t="n">
        <f>900</f>
        <v>900.0</v>
      </c>
      <c r="J91" s="24"/>
      <c r="K91" s="25" t="n">
        <f>266946600</f>
        <v>2.669466E8</v>
      </c>
      <c r="L91" s="23"/>
      <c r="M91" s="25" t="n">
        <f>4280000</f>
        <v>4280000.0</v>
      </c>
      <c r="N91" s="23"/>
      <c r="O91" s="26" t="n">
        <f>271226600</f>
        <v>2.712266E8</v>
      </c>
      <c r="P91" s="27" t="str">
        <f>"－"</f>
        <v>－</v>
      </c>
      <c r="Q91" s="28" t="str">
        <f>"－"</f>
        <v>－</v>
      </c>
      <c r="R91" s="29" t="str">
        <f>"－"</f>
        <v>－</v>
      </c>
      <c r="S91" s="24"/>
      <c r="T91" s="25" t="n">
        <f>600</f>
        <v>600.0</v>
      </c>
      <c r="U91" s="23"/>
      <c r="V91" s="25" t="n">
        <f>300</f>
        <v>300.0</v>
      </c>
      <c r="W91" s="23"/>
      <c r="X91" s="26" t="n">
        <f>900</f>
        <v>900.0</v>
      </c>
      <c r="Y91" s="24"/>
      <c r="Z91" s="25" t="n">
        <f>111366</f>
        <v>111366.0</v>
      </c>
      <c r="AA91" s="23"/>
      <c r="AB91" s="25" t="n">
        <f>75209</f>
        <v>75209.0</v>
      </c>
      <c r="AC91" s="23"/>
      <c r="AD91" s="26" t="n">
        <f>186575</f>
        <v>186575.0</v>
      </c>
    </row>
    <row r="92">
      <c r="A92" s="30" t="s">
        <v>52</v>
      </c>
      <c r="B92" s="22" t="s">
        <v>62</v>
      </c>
      <c r="C92" s="22" t="s">
        <v>63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53</v>
      </c>
      <c r="B93" s="22" t="s">
        <v>62</v>
      </c>
      <c r="C93" s="22" t="s">
        <v>63</v>
      </c>
      <c r="D93" s="24"/>
      <c r="E93" s="25"/>
      <c r="F93" s="23"/>
      <c r="G93" s="25"/>
      <c r="H93" s="23"/>
      <c r="I93" s="26"/>
      <c r="J93" s="24"/>
      <c r="K93" s="25"/>
      <c r="L93" s="23"/>
      <c r="M93" s="25"/>
      <c r="N93" s="23"/>
      <c r="O93" s="26"/>
      <c r="P93" s="27"/>
      <c r="Q93" s="28"/>
      <c r="R93" s="29"/>
      <c r="S93" s="24"/>
      <c r="T93" s="25"/>
      <c r="U93" s="23"/>
      <c r="V93" s="25"/>
      <c r="W93" s="23"/>
      <c r="X93" s="26"/>
      <c r="Y93" s="24"/>
      <c r="Z93" s="25"/>
      <c r="AA93" s="23"/>
      <c r="AB93" s="25"/>
      <c r="AC93" s="23"/>
      <c r="AD93" s="26"/>
    </row>
    <row r="94">
      <c r="A94" s="30" t="s">
        <v>54</v>
      </c>
      <c r="B94" s="22" t="s">
        <v>62</v>
      </c>
      <c r="C94" s="22" t="s">
        <v>63</v>
      </c>
      <c r="D94" s="24"/>
      <c r="E94" s="25" t="n">
        <f>708</f>
        <v>708.0</v>
      </c>
      <c r="F94" s="23"/>
      <c r="G94" s="25" t="n">
        <f>1132</f>
        <v>1132.0</v>
      </c>
      <c r="H94" s="23"/>
      <c r="I94" s="26" t="n">
        <f>1840</f>
        <v>1840.0</v>
      </c>
      <c r="J94" s="24"/>
      <c r="K94" s="25" t="n">
        <f>82822400</f>
        <v>8.28224E7</v>
      </c>
      <c r="L94" s="23"/>
      <c r="M94" s="25" t="n">
        <f>467861826</f>
        <v>4.67861826E8</v>
      </c>
      <c r="N94" s="23"/>
      <c r="O94" s="26" t="n">
        <f>550684226</f>
        <v>5.50684226E8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n">
        <f>108</f>
        <v>108.0</v>
      </c>
      <c r="U94" s="23" t="s">
        <v>35</v>
      </c>
      <c r="V94" s="25" t="n">
        <f>1132</f>
        <v>1132.0</v>
      </c>
      <c r="W94" s="23"/>
      <c r="X94" s="26" t="n">
        <f>1240</f>
        <v>1240.0</v>
      </c>
      <c r="Y94" s="24"/>
      <c r="Z94" s="25" t="n">
        <f>111074</f>
        <v>111074.0</v>
      </c>
      <c r="AA94" s="23"/>
      <c r="AB94" s="25" t="n">
        <f>76341</f>
        <v>76341.0</v>
      </c>
      <c r="AC94" s="23"/>
      <c r="AD94" s="26" t="n">
        <f>187415</f>
        <v>187415.0</v>
      </c>
    </row>
    <row r="95">
      <c r="A95" s="30" t="s">
        <v>55</v>
      </c>
      <c r="B95" s="22" t="s">
        <v>62</v>
      </c>
      <c r="C95" s="22" t="s">
        <v>63</v>
      </c>
      <c r="D95" s="24"/>
      <c r="E95" s="25" t="n">
        <f>1150</f>
        <v>1150.0</v>
      </c>
      <c r="F95" s="23"/>
      <c r="G95" s="25" t="n">
        <f>600</f>
        <v>600.0</v>
      </c>
      <c r="H95" s="23"/>
      <c r="I95" s="26" t="n">
        <f>1750</f>
        <v>1750.0</v>
      </c>
      <c r="J95" s="24"/>
      <c r="K95" s="25" t="n">
        <f>240500000</f>
        <v>2.405E8</v>
      </c>
      <c r="L95" s="23"/>
      <c r="M95" s="25" t="n">
        <f>76650000</f>
        <v>7.665E7</v>
      </c>
      <c r="N95" s="23"/>
      <c r="O95" s="26" t="n">
        <f>317150000</f>
        <v>3.1715E8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str">
        <f>"－"</f>
        <v>－</v>
      </c>
      <c r="U95" s="23"/>
      <c r="V95" s="25" t="str">
        <f>"－"</f>
        <v>－</v>
      </c>
      <c r="W95" s="23"/>
      <c r="X95" s="26" t="str">
        <f>"－"</f>
        <v>－</v>
      </c>
      <c r="Y95" s="24"/>
      <c r="Z95" s="25" t="n">
        <f>111379</f>
        <v>111379.0</v>
      </c>
      <c r="AA95" s="23"/>
      <c r="AB95" s="25" t="n">
        <f>76441</f>
        <v>76441.0</v>
      </c>
      <c r="AC95" s="23"/>
      <c r="AD95" s="26" t="n">
        <f>187820</f>
        <v>187820.0</v>
      </c>
    </row>
    <row r="96">
      <c r="A96" s="30" t="s">
        <v>56</v>
      </c>
      <c r="B96" s="22" t="s">
        <v>62</v>
      </c>
      <c r="C96" s="22" t="s">
        <v>63</v>
      </c>
      <c r="D96" s="24"/>
      <c r="E96" s="25" t="n">
        <f>300</f>
        <v>300.0</v>
      </c>
      <c r="F96" s="23"/>
      <c r="G96" s="25" t="n">
        <f>325</f>
        <v>325.0</v>
      </c>
      <c r="H96" s="23"/>
      <c r="I96" s="26" t="n">
        <f>625</f>
        <v>625.0</v>
      </c>
      <c r="J96" s="24"/>
      <c r="K96" s="25" t="n">
        <f>484500000</f>
        <v>4.845E8</v>
      </c>
      <c r="L96" s="23"/>
      <c r="M96" s="25" t="n">
        <f>184400000</f>
        <v>1.844E8</v>
      </c>
      <c r="N96" s="23"/>
      <c r="O96" s="26" t="n">
        <f>668900000</f>
        <v>6.689E8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str">
        <f>"－"</f>
        <v>－</v>
      </c>
      <c r="U96" s="23"/>
      <c r="V96" s="25" t="str">
        <f>"－"</f>
        <v>－</v>
      </c>
      <c r="W96" s="23"/>
      <c r="X96" s="26" t="str">
        <f>"－"</f>
        <v>－</v>
      </c>
      <c r="Y96" s="24"/>
      <c r="Z96" s="25" t="n">
        <f>111679</f>
        <v>111679.0</v>
      </c>
      <c r="AA96" s="23"/>
      <c r="AB96" s="25" t="n">
        <f>76391</f>
        <v>76391.0</v>
      </c>
      <c r="AC96" s="23"/>
      <c r="AD96" s="26" t="n">
        <f>188070</f>
        <v>188070.0</v>
      </c>
    </row>
    <row r="97">
      <c r="A97" s="30" t="s">
        <v>57</v>
      </c>
      <c r="B97" s="22" t="s">
        <v>62</v>
      </c>
      <c r="C97" s="22" t="s">
        <v>63</v>
      </c>
      <c r="D97" s="24"/>
      <c r="E97" s="25" t="n">
        <f>1614</f>
        <v>1614.0</v>
      </c>
      <c r="F97" s="23"/>
      <c r="G97" s="25" t="n">
        <f>1000</f>
        <v>1000.0</v>
      </c>
      <c r="H97" s="23"/>
      <c r="I97" s="26" t="n">
        <f>2614</f>
        <v>2614.0</v>
      </c>
      <c r="J97" s="24" t="s">
        <v>35</v>
      </c>
      <c r="K97" s="25" t="n">
        <f>2309688000</f>
        <v>2.309688E9</v>
      </c>
      <c r="L97" s="23" t="s">
        <v>35</v>
      </c>
      <c r="M97" s="25" t="n">
        <f>2041000000</f>
        <v>2.041E9</v>
      </c>
      <c r="N97" s="23" t="s">
        <v>35</v>
      </c>
      <c r="O97" s="26" t="n">
        <f>4350688000</f>
        <v>4.350688E9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n">
        <f>14</f>
        <v>14.0</v>
      </c>
      <c r="U97" s="23"/>
      <c r="V97" s="25" t="str">
        <f>"－"</f>
        <v>－</v>
      </c>
      <c r="W97" s="23"/>
      <c r="X97" s="26" t="n">
        <f>14</f>
        <v>14.0</v>
      </c>
      <c r="Y97" s="24" t="s">
        <v>35</v>
      </c>
      <c r="Z97" s="25" t="n">
        <f>112393</f>
        <v>112393.0</v>
      </c>
      <c r="AA97" s="23" t="s">
        <v>35</v>
      </c>
      <c r="AB97" s="25" t="n">
        <f>77291</f>
        <v>77291.0</v>
      </c>
      <c r="AC97" s="23" t="s">
        <v>35</v>
      </c>
      <c r="AD97" s="26" t="n">
        <f>189684</f>
        <v>189684.0</v>
      </c>
    </row>
    <row r="98">
      <c r="A98" s="30" t="s">
        <v>58</v>
      </c>
      <c r="B98" s="22" t="s">
        <v>62</v>
      </c>
      <c r="C98" s="22" t="s">
        <v>63</v>
      </c>
      <c r="D98" s="24"/>
      <c r="E98" s="25" t="n">
        <f>425</f>
        <v>425.0</v>
      </c>
      <c r="F98" s="23"/>
      <c r="G98" s="25" t="n">
        <f>525</f>
        <v>525.0</v>
      </c>
      <c r="H98" s="23"/>
      <c r="I98" s="26" t="n">
        <f>950</f>
        <v>950.0</v>
      </c>
      <c r="J98" s="24"/>
      <c r="K98" s="25" t="n">
        <f>204000000</f>
        <v>2.04E8</v>
      </c>
      <c r="L98" s="23"/>
      <c r="M98" s="25" t="n">
        <f>151969400</f>
        <v>1.519694E8</v>
      </c>
      <c r="N98" s="23"/>
      <c r="O98" s="26" t="n">
        <f>355969400</f>
        <v>3.559694E8</v>
      </c>
      <c r="P98" s="27" t="str">
        <f>"－"</f>
        <v>－</v>
      </c>
      <c r="Q98" s="28" t="str">
        <f>"－"</f>
        <v>－</v>
      </c>
      <c r="R98" s="29" t="str">
        <f>"－"</f>
        <v>－</v>
      </c>
      <c r="S98" s="24"/>
      <c r="T98" s="25" t="str">
        <f>"－"</f>
        <v>－</v>
      </c>
      <c r="U98" s="23"/>
      <c r="V98" s="25" t="str">
        <f>"－"</f>
        <v>－</v>
      </c>
      <c r="W98" s="23"/>
      <c r="X98" s="26" t="str">
        <f>"－"</f>
        <v>－</v>
      </c>
      <c r="Y98" s="24"/>
      <c r="Z98" s="25" t="n">
        <f>112263</f>
        <v>112263.0</v>
      </c>
      <c r="AA98" s="23"/>
      <c r="AB98" s="25" t="n">
        <f>76966</f>
        <v>76966.0</v>
      </c>
      <c r="AC98" s="23"/>
      <c r="AD98" s="26" t="n">
        <f>189229</f>
        <v>189229.0</v>
      </c>
    </row>
    <row r="99">
      <c r="A99" s="30" t="s">
        <v>59</v>
      </c>
      <c r="B99" s="22" t="s">
        <v>62</v>
      </c>
      <c r="C99" s="22" t="s">
        <v>63</v>
      </c>
      <c r="D99" s="24"/>
      <c r="E99" s="25"/>
      <c r="F99" s="23"/>
      <c r="G99" s="25"/>
      <c r="H99" s="23"/>
      <c r="I99" s="26"/>
      <c r="J99" s="24"/>
      <c r="K99" s="25"/>
      <c r="L99" s="23"/>
      <c r="M99" s="25"/>
      <c r="N99" s="23"/>
      <c r="O99" s="26"/>
      <c r="P99" s="27"/>
      <c r="Q99" s="28"/>
      <c r="R99" s="29"/>
      <c r="S99" s="24"/>
      <c r="T99" s="25"/>
      <c r="U99" s="23"/>
      <c r="V99" s="25"/>
      <c r="W99" s="23"/>
      <c r="X99" s="26"/>
      <c r="Y99" s="24"/>
      <c r="Z99" s="25"/>
      <c r="AA99" s="23"/>
      <c r="AB99" s="25"/>
      <c r="AC99" s="23"/>
      <c r="AD99" s="26"/>
    </row>
    <row r="100">
      <c r="A100" s="30" t="s">
        <v>26</v>
      </c>
      <c r="B100" s="22" t="s">
        <v>64</v>
      </c>
      <c r="C100" s="22" t="s">
        <v>65</v>
      </c>
      <c r="D100" s="24" t="s">
        <v>66</v>
      </c>
      <c r="E100" s="25" t="str">
        <f>"－"</f>
        <v>－</v>
      </c>
      <c r="F100" s="23" t="s">
        <v>66</v>
      </c>
      <c r="G100" s="25" t="str">
        <f>"－"</f>
        <v>－</v>
      </c>
      <c r="H100" s="23" t="s">
        <v>66</v>
      </c>
      <c r="I100" s="26" t="str">
        <f>"－"</f>
        <v>－</v>
      </c>
      <c r="J100" s="24" t="s">
        <v>66</v>
      </c>
      <c r="K100" s="25" t="str">
        <f>"－"</f>
        <v>－</v>
      </c>
      <c r="L100" s="23" t="s">
        <v>66</v>
      </c>
      <c r="M100" s="25" t="str">
        <f>"－"</f>
        <v>－</v>
      </c>
      <c r="N100" s="23" t="s">
        <v>66</v>
      </c>
      <c r="O100" s="26" t="str">
        <f>"－"</f>
        <v>－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 t="s">
        <v>66</v>
      </c>
      <c r="T100" s="25" t="str">
        <f>"－"</f>
        <v>－</v>
      </c>
      <c r="U100" s="23" t="s">
        <v>66</v>
      </c>
      <c r="V100" s="25" t="str">
        <f>"－"</f>
        <v>－</v>
      </c>
      <c r="W100" s="23" t="s">
        <v>66</v>
      </c>
      <c r="X100" s="26" t="str">
        <f>"－"</f>
        <v>－</v>
      </c>
      <c r="Y100" s="24" t="s">
        <v>66</v>
      </c>
      <c r="Z100" s="25" t="str">
        <f>"－"</f>
        <v>－</v>
      </c>
      <c r="AA100" s="23" t="s">
        <v>66</v>
      </c>
      <c r="AB100" s="25" t="str">
        <f>"－"</f>
        <v>－</v>
      </c>
      <c r="AC100" s="23" t="s">
        <v>66</v>
      </c>
      <c r="AD100" s="26" t="str">
        <f>"－"</f>
        <v>－</v>
      </c>
    </row>
    <row r="101">
      <c r="A101" s="30" t="s">
        <v>29</v>
      </c>
      <c r="B101" s="22" t="s">
        <v>64</v>
      </c>
      <c r="C101" s="22" t="s">
        <v>65</v>
      </c>
      <c r="D101" s="24"/>
      <c r="E101" s="25"/>
      <c r="F101" s="23"/>
      <c r="G101" s="25"/>
      <c r="H101" s="23"/>
      <c r="I101" s="26"/>
      <c r="J101" s="24"/>
      <c r="K101" s="25"/>
      <c r="L101" s="23"/>
      <c r="M101" s="25"/>
      <c r="N101" s="23"/>
      <c r="O101" s="26"/>
      <c r="P101" s="27"/>
      <c r="Q101" s="28"/>
      <c r="R101" s="29"/>
      <c r="S101" s="24"/>
      <c r="T101" s="25"/>
      <c r="U101" s="23"/>
      <c r="V101" s="25"/>
      <c r="W101" s="23"/>
      <c r="X101" s="26"/>
      <c r="Y101" s="24"/>
      <c r="Z101" s="25"/>
      <c r="AA101" s="23"/>
      <c r="AB101" s="25"/>
      <c r="AC101" s="23"/>
      <c r="AD101" s="26"/>
    </row>
    <row r="102">
      <c r="A102" s="30" t="s">
        <v>30</v>
      </c>
      <c r="B102" s="22" t="s">
        <v>64</v>
      </c>
      <c r="C102" s="22" t="s">
        <v>65</v>
      </c>
      <c r="D102" s="24"/>
      <c r="E102" s="25"/>
      <c r="F102" s="23"/>
      <c r="G102" s="25"/>
      <c r="H102" s="23"/>
      <c r="I102" s="26"/>
      <c r="J102" s="24"/>
      <c r="K102" s="25"/>
      <c r="L102" s="23"/>
      <c r="M102" s="25"/>
      <c r="N102" s="23"/>
      <c r="O102" s="26"/>
      <c r="P102" s="27"/>
      <c r="Q102" s="28"/>
      <c r="R102" s="29"/>
      <c r="S102" s="24"/>
      <c r="T102" s="25"/>
      <c r="U102" s="23"/>
      <c r="V102" s="25"/>
      <c r="W102" s="23"/>
      <c r="X102" s="26"/>
      <c r="Y102" s="24"/>
      <c r="Z102" s="25"/>
      <c r="AA102" s="23"/>
      <c r="AB102" s="25"/>
      <c r="AC102" s="23"/>
      <c r="AD102" s="26"/>
    </row>
    <row r="103">
      <c r="A103" s="30" t="s">
        <v>31</v>
      </c>
      <c r="B103" s="22" t="s">
        <v>64</v>
      </c>
      <c r="C103" s="22" t="s">
        <v>65</v>
      </c>
      <c r="D103" s="24"/>
      <c r="E103" s="25"/>
      <c r="F103" s="23"/>
      <c r="G103" s="25"/>
      <c r="H103" s="23"/>
      <c r="I103" s="26"/>
      <c r="J103" s="24"/>
      <c r="K103" s="25"/>
      <c r="L103" s="23"/>
      <c r="M103" s="25"/>
      <c r="N103" s="23"/>
      <c r="O103" s="26"/>
      <c r="P103" s="27"/>
      <c r="Q103" s="28"/>
      <c r="R103" s="29"/>
      <c r="S103" s="24"/>
      <c r="T103" s="25"/>
      <c r="U103" s="23"/>
      <c r="V103" s="25"/>
      <c r="W103" s="23"/>
      <c r="X103" s="26"/>
      <c r="Y103" s="24"/>
      <c r="Z103" s="25"/>
      <c r="AA103" s="23"/>
      <c r="AB103" s="25"/>
      <c r="AC103" s="23"/>
      <c r="AD103" s="26"/>
    </row>
    <row r="104">
      <c r="A104" s="30" t="s">
        <v>32</v>
      </c>
      <c r="B104" s="22" t="s">
        <v>64</v>
      </c>
      <c r="C104" s="22" t="s">
        <v>65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33</v>
      </c>
      <c r="B105" s="22" t="s">
        <v>64</v>
      </c>
      <c r="C105" s="22" t="s">
        <v>65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34</v>
      </c>
      <c r="B106" s="22" t="s">
        <v>64</v>
      </c>
      <c r="C106" s="22" t="s">
        <v>65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36</v>
      </c>
      <c r="B107" s="22" t="s">
        <v>64</v>
      </c>
      <c r="C107" s="22" t="s">
        <v>65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38</v>
      </c>
      <c r="B108" s="22" t="s">
        <v>64</v>
      </c>
      <c r="C108" s="22" t="s">
        <v>65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39</v>
      </c>
      <c r="B109" s="22" t="s">
        <v>64</v>
      </c>
      <c r="C109" s="22" t="s">
        <v>65</v>
      </c>
      <c r="D109" s="24"/>
      <c r="E109" s="25"/>
      <c r="F109" s="23"/>
      <c r="G109" s="25"/>
      <c r="H109" s="23"/>
      <c r="I109" s="26"/>
      <c r="J109" s="24"/>
      <c r="K109" s="25"/>
      <c r="L109" s="23"/>
      <c r="M109" s="25"/>
      <c r="N109" s="23"/>
      <c r="O109" s="26"/>
      <c r="P109" s="27"/>
      <c r="Q109" s="28"/>
      <c r="R109" s="29"/>
      <c r="S109" s="24"/>
      <c r="T109" s="25"/>
      <c r="U109" s="23"/>
      <c r="V109" s="25"/>
      <c r="W109" s="23"/>
      <c r="X109" s="26"/>
      <c r="Y109" s="24"/>
      <c r="Z109" s="25"/>
      <c r="AA109" s="23"/>
      <c r="AB109" s="25"/>
      <c r="AC109" s="23"/>
      <c r="AD109" s="26"/>
    </row>
    <row r="110">
      <c r="A110" s="30" t="s">
        <v>40</v>
      </c>
      <c r="B110" s="22" t="s">
        <v>64</v>
      </c>
      <c r="C110" s="22" t="s">
        <v>65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41</v>
      </c>
      <c r="B111" s="22" t="s">
        <v>64</v>
      </c>
      <c r="C111" s="22" t="s">
        <v>65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42</v>
      </c>
      <c r="B112" s="22" t="s">
        <v>64</v>
      </c>
      <c r="C112" s="22" t="s">
        <v>65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43</v>
      </c>
      <c r="B113" s="22" t="s">
        <v>64</v>
      </c>
      <c r="C113" s="22" t="s">
        <v>65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44</v>
      </c>
      <c r="B114" s="22" t="s">
        <v>64</v>
      </c>
      <c r="C114" s="22" t="s">
        <v>65</v>
      </c>
      <c r="D114" s="24"/>
      <c r="E114" s="25" t="str">
        <f>"－"</f>
        <v>－</v>
      </c>
      <c r="F114" s="23"/>
      <c r="G114" s="25" t="str">
        <f>"－"</f>
        <v>－</v>
      </c>
      <c r="H114" s="23"/>
      <c r="I114" s="26" t="str">
        <f>"－"</f>
        <v>－</v>
      </c>
      <c r="J114" s="24"/>
      <c r="K114" s="25" t="str">
        <f>"－"</f>
        <v>－</v>
      </c>
      <c r="L114" s="23"/>
      <c r="M114" s="25" t="str">
        <f>"－"</f>
        <v>－</v>
      </c>
      <c r="N114" s="23"/>
      <c r="O114" s="26" t="str">
        <f>"－"</f>
        <v>－</v>
      </c>
      <c r="P114" s="27" t="str">
        <f>"－"</f>
        <v>－</v>
      </c>
      <c r="Q114" s="28" t="str">
        <f>"－"</f>
        <v>－</v>
      </c>
      <c r="R114" s="29" t="str">
        <f>"－"</f>
        <v>－</v>
      </c>
      <c r="S114" s="24"/>
      <c r="T114" s="25" t="str">
        <f>"－"</f>
        <v>－</v>
      </c>
      <c r="U114" s="23"/>
      <c r="V114" s="25" t="str">
        <f>"－"</f>
        <v>－</v>
      </c>
      <c r="W114" s="23"/>
      <c r="X114" s="26" t="str">
        <f>"－"</f>
        <v>－</v>
      </c>
      <c r="Y114" s="24"/>
      <c r="Z114" s="25" t="str">
        <f>"－"</f>
        <v>－</v>
      </c>
      <c r="AA114" s="23"/>
      <c r="AB114" s="25" t="str">
        <f>"－"</f>
        <v>－</v>
      </c>
      <c r="AC114" s="23"/>
      <c r="AD114" s="26" t="str">
        <f>"－"</f>
        <v>－</v>
      </c>
    </row>
    <row r="115">
      <c r="A115" s="30" t="s">
        <v>45</v>
      </c>
      <c r="B115" s="22" t="s">
        <v>64</v>
      </c>
      <c r="C115" s="22" t="s">
        <v>65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46</v>
      </c>
      <c r="B116" s="22" t="s">
        <v>64</v>
      </c>
      <c r="C116" s="22" t="s">
        <v>65</v>
      </c>
      <c r="D116" s="24"/>
      <c r="E116" s="25"/>
      <c r="F116" s="23"/>
      <c r="G116" s="25"/>
      <c r="H116" s="23"/>
      <c r="I116" s="26"/>
      <c r="J116" s="24"/>
      <c r="K116" s="25"/>
      <c r="L116" s="23"/>
      <c r="M116" s="25"/>
      <c r="N116" s="23"/>
      <c r="O116" s="26"/>
      <c r="P116" s="27"/>
      <c r="Q116" s="28"/>
      <c r="R116" s="29"/>
      <c r="S116" s="24"/>
      <c r="T116" s="25"/>
      <c r="U116" s="23"/>
      <c r="V116" s="25"/>
      <c r="W116" s="23"/>
      <c r="X116" s="26"/>
      <c r="Y116" s="24"/>
      <c r="Z116" s="25"/>
      <c r="AA116" s="23"/>
      <c r="AB116" s="25"/>
      <c r="AC116" s="23"/>
      <c r="AD116" s="26"/>
    </row>
    <row r="117">
      <c r="A117" s="30" t="s">
        <v>47</v>
      </c>
      <c r="B117" s="22" t="s">
        <v>64</v>
      </c>
      <c r="C117" s="22" t="s">
        <v>65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48</v>
      </c>
      <c r="B118" s="22" t="s">
        <v>64</v>
      </c>
      <c r="C118" s="22" t="s">
        <v>65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49</v>
      </c>
      <c r="B119" s="22" t="s">
        <v>64</v>
      </c>
      <c r="C119" s="22" t="s">
        <v>65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50</v>
      </c>
      <c r="B120" s="22" t="s">
        <v>64</v>
      </c>
      <c r="C120" s="22" t="s">
        <v>65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51</v>
      </c>
      <c r="B121" s="22" t="s">
        <v>64</v>
      </c>
      <c r="C121" s="22" t="s">
        <v>65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52</v>
      </c>
      <c r="B122" s="22" t="s">
        <v>64</v>
      </c>
      <c r="C122" s="22" t="s">
        <v>65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53</v>
      </c>
      <c r="B123" s="22" t="s">
        <v>64</v>
      </c>
      <c r="C123" s="22" t="s">
        <v>65</v>
      </c>
      <c r="D123" s="24"/>
      <c r="E123" s="25"/>
      <c r="F123" s="23"/>
      <c r="G123" s="25"/>
      <c r="H123" s="23"/>
      <c r="I123" s="26"/>
      <c r="J123" s="24"/>
      <c r="K123" s="25"/>
      <c r="L123" s="23"/>
      <c r="M123" s="25"/>
      <c r="N123" s="23"/>
      <c r="O123" s="26"/>
      <c r="P123" s="27"/>
      <c r="Q123" s="28"/>
      <c r="R123" s="29"/>
      <c r="S123" s="24"/>
      <c r="T123" s="25"/>
      <c r="U123" s="23"/>
      <c r="V123" s="25"/>
      <c r="W123" s="23"/>
      <c r="X123" s="26"/>
      <c r="Y123" s="24"/>
      <c r="Z123" s="25"/>
      <c r="AA123" s="23"/>
      <c r="AB123" s="25"/>
      <c r="AC123" s="23"/>
      <c r="AD123" s="26"/>
    </row>
    <row r="124">
      <c r="A124" s="30" t="s">
        <v>54</v>
      </c>
      <c r="B124" s="22" t="s">
        <v>64</v>
      </c>
      <c r="C124" s="22" t="s">
        <v>65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55</v>
      </c>
      <c r="B125" s="22" t="s">
        <v>64</v>
      </c>
      <c r="C125" s="22" t="s">
        <v>65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56</v>
      </c>
      <c r="B126" s="22" t="s">
        <v>64</v>
      </c>
      <c r="C126" s="22" t="s">
        <v>65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57</v>
      </c>
      <c r="B127" s="22" t="s">
        <v>64</v>
      </c>
      <c r="C127" s="22" t="s">
        <v>65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58</v>
      </c>
      <c r="B128" s="22" t="s">
        <v>64</v>
      </c>
      <c r="C128" s="22" t="s">
        <v>65</v>
      </c>
      <c r="D128" s="24"/>
      <c r="E128" s="25" t="str">
        <f>"－"</f>
        <v>－</v>
      </c>
      <c r="F128" s="23"/>
      <c r="G128" s="25" t="str">
        <f>"－"</f>
        <v>－</v>
      </c>
      <c r="H128" s="23"/>
      <c r="I128" s="26" t="str">
        <f>"－"</f>
        <v>－</v>
      </c>
      <c r="J128" s="24"/>
      <c r="K128" s="25" t="str">
        <f>"－"</f>
        <v>－</v>
      </c>
      <c r="L128" s="23"/>
      <c r="M128" s="25" t="str">
        <f>"－"</f>
        <v>－</v>
      </c>
      <c r="N128" s="23"/>
      <c r="O128" s="26" t="str">
        <f>"－"</f>
        <v>－</v>
      </c>
      <c r="P128" s="27" t="str">
        <f>"－"</f>
        <v>－</v>
      </c>
      <c r="Q128" s="28" t="str">
        <f>"－"</f>
        <v>－</v>
      </c>
      <c r="R128" s="29" t="str">
        <f>"－"</f>
        <v>－</v>
      </c>
      <c r="S128" s="24"/>
      <c r="T128" s="25" t="str">
        <f>"－"</f>
        <v>－</v>
      </c>
      <c r="U128" s="23"/>
      <c r="V128" s="25" t="str">
        <f>"－"</f>
        <v>－</v>
      </c>
      <c r="W128" s="23"/>
      <c r="X128" s="26" t="str">
        <f>"－"</f>
        <v>－</v>
      </c>
      <c r="Y128" s="24"/>
      <c r="Z128" s="25" t="str">
        <f>"－"</f>
        <v>－</v>
      </c>
      <c r="AA128" s="23"/>
      <c r="AB128" s="25" t="str">
        <f>"－"</f>
        <v>－</v>
      </c>
      <c r="AC128" s="23"/>
      <c r="AD128" s="26" t="str">
        <f>"－"</f>
        <v>－</v>
      </c>
    </row>
    <row r="129">
      <c r="A129" s="30" t="s">
        <v>59</v>
      </c>
      <c r="B129" s="22" t="s">
        <v>64</v>
      </c>
      <c r="C129" s="22" t="s">
        <v>65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26</v>
      </c>
      <c r="B130" s="22" t="s">
        <v>67</v>
      </c>
      <c r="C130" s="22" t="s">
        <v>68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29</v>
      </c>
      <c r="B131" s="22" t="s">
        <v>67</v>
      </c>
      <c r="C131" s="22" t="s">
        <v>68</v>
      </c>
      <c r="D131" s="24"/>
      <c r="E131" s="25"/>
      <c r="F131" s="23"/>
      <c r="G131" s="25"/>
      <c r="H131" s="23"/>
      <c r="I131" s="26"/>
      <c r="J131" s="24"/>
      <c r="K131" s="25"/>
      <c r="L131" s="23"/>
      <c r="M131" s="25"/>
      <c r="N131" s="23"/>
      <c r="O131" s="26"/>
      <c r="P131" s="27"/>
      <c r="Q131" s="28"/>
      <c r="R131" s="29"/>
      <c r="S131" s="24"/>
      <c r="T131" s="25"/>
      <c r="U131" s="23"/>
      <c r="V131" s="25"/>
      <c r="W131" s="23"/>
      <c r="X131" s="26"/>
      <c r="Y131" s="24"/>
      <c r="Z131" s="25"/>
      <c r="AA131" s="23"/>
      <c r="AB131" s="25"/>
      <c r="AC131" s="23"/>
      <c r="AD131" s="26"/>
    </row>
    <row r="132">
      <c r="A132" s="30" t="s">
        <v>30</v>
      </c>
      <c r="B132" s="22" t="s">
        <v>67</v>
      </c>
      <c r="C132" s="22" t="s">
        <v>68</v>
      </c>
      <c r="D132" s="24"/>
      <c r="E132" s="25"/>
      <c r="F132" s="23"/>
      <c r="G132" s="25"/>
      <c r="H132" s="23"/>
      <c r="I132" s="26"/>
      <c r="J132" s="24"/>
      <c r="K132" s="25"/>
      <c r="L132" s="23"/>
      <c r="M132" s="25"/>
      <c r="N132" s="23"/>
      <c r="O132" s="26"/>
      <c r="P132" s="27"/>
      <c r="Q132" s="28"/>
      <c r="R132" s="29"/>
      <c r="S132" s="24"/>
      <c r="T132" s="25"/>
      <c r="U132" s="23"/>
      <c r="V132" s="25"/>
      <c r="W132" s="23"/>
      <c r="X132" s="26"/>
      <c r="Y132" s="24"/>
      <c r="Z132" s="25"/>
      <c r="AA132" s="23"/>
      <c r="AB132" s="25"/>
      <c r="AC132" s="23"/>
      <c r="AD132" s="26"/>
    </row>
    <row r="133">
      <c r="A133" s="30" t="s">
        <v>31</v>
      </c>
      <c r="B133" s="22" t="s">
        <v>67</v>
      </c>
      <c r="C133" s="22" t="s">
        <v>68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32</v>
      </c>
      <c r="B134" s="22" t="s">
        <v>67</v>
      </c>
      <c r="C134" s="22" t="s">
        <v>68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33</v>
      </c>
      <c r="B135" s="22" t="s">
        <v>67</v>
      </c>
      <c r="C135" s="22" t="s">
        <v>68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34</v>
      </c>
      <c r="B136" s="22" t="s">
        <v>67</v>
      </c>
      <c r="C136" s="22" t="s">
        <v>68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36</v>
      </c>
      <c r="B137" s="22" t="s">
        <v>67</v>
      </c>
      <c r="C137" s="22" t="s">
        <v>68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38</v>
      </c>
      <c r="B138" s="22" t="s">
        <v>67</v>
      </c>
      <c r="C138" s="22" t="s">
        <v>68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39</v>
      </c>
      <c r="B139" s="22" t="s">
        <v>67</v>
      </c>
      <c r="C139" s="22" t="s">
        <v>68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40</v>
      </c>
      <c r="B140" s="22" t="s">
        <v>67</v>
      </c>
      <c r="C140" s="22" t="s">
        <v>68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41</v>
      </c>
      <c r="B141" s="22" t="s">
        <v>67</v>
      </c>
      <c r="C141" s="22" t="s">
        <v>68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42</v>
      </c>
      <c r="B142" s="22" t="s">
        <v>67</v>
      </c>
      <c r="C142" s="22" t="s">
        <v>68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43</v>
      </c>
      <c r="B143" s="22" t="s">
        <v>67</v>
      </c>
      <c r="C143" s="22" t="s">
        <v>68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44</v>
      </c>
      <c r="B144" s="22" t="s">
        <v>67</v>
      </c>
      <c r="C144" s="22" t="s">
        <v>68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45</v>
      </c>
      <c r="B145" s="22" t="s">
        <v>67</v>
      </c>
      <c r="C145" s="22" t="s">
        <v>68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46</v>
      </c>
      <c r="B146" s="22" t="s">
        <v>67</v>
      </c>
      <c r="C146" s="22" t="s">
        <v>68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47</v>
      </c>
      <c r="B147" s="22" t="s">
        <v>67</v>
      </c>
      <c r="C147" s="22" t="s">
        <v>68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48</v>
      </c>
      <c r="B148" s="22" t="s">
        <v>67</v>
      </c>
      <c r="C148" s="22" t="s">
        <v>68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49</v>
      </c>
      <c r="B149" s="22" t="s">
        <v>67</v>
      </c>
      <c r="C149" s="22" t="s">
        <v>68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50</v>
      </c>
      <c r="B150" s="22" t="s">
        <v>67</v>
      </c>
      <c r="C150" s="22" t="s">
        <v>68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51</v>
      </c>
      <c r="B151" s="22" t="s">
        <v>67</v>
      </c>
      <c r="C151" s="22" t="s">
        <v>68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52</v>
      </c>
      <c r="B152" s="22" t="s">
        <v>67</v>
      </c>
      <c r="C152" s="22" t="s">
        <v>68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53</v>
      </c>
      <c r="B153" s="22" t="s">
        <v>67</v>
      </c>
      <c r="C153" s="22" t="s">
        <v>68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54</v>
      </c>
      <c r="B154" s="22" t="s">
        <v>67</v>
      </c>
      <c r="C154" s="22" t="s">
        <v>68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55</v>
      </c>
      <c r="B155" s="22" t="s">
        <v>67</v>
      </c>
      <c r="C155" s="22" t="s">
        <v>68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56</v>
      </c>
      <c r="B156" s="22" t="s">
        <v>67</v>
      </c>
      <c r="C156" s="22" t="s">
        <v>68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57</v>
      </c>
      <c r="B157" s="22" t="s">
        <v>67</v>
      </c>
      <c r="C157" s="22" t="s">
        <v>68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58</v>
      </c>
      <c r="B158" s="22" t="s">
        <v>67</v>
      </c>
      <c r="C158" s="22" t="s">
        <v>68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59</v>
      </c>
      <c r="B159" s="22" t="s">
        <v>67</v>
      </c>
      <c r="C159" s="22" t="s">
        <v>68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26</v>
      </c>
      <c r="B160" s="22" t="s">
        <v>69</v>
      </c>
      <c r="C160" s="22" t="s">
        <v>70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29</v>
      </c>
      <c r="B161" s="22" t="s">
        <v>69</v>
      </c>
      <c r="C161" s="22" t="s">
        <v>70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30</v>
      </c>
      <c r="B162" s="22" t="s">
        <v>69</v>
      </c>
      <c r="C162" s="22" t="s">
        <v>70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31</v>
      </c>
      <c r="B163" s="22" t="s">
        <v>69</v>
      </c>
      <c r="C163" s="22" t="s">
        <v>70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32</v>
      </c>
      <c r="B164" s="22" t="s">
        <v>69</v>
      </c>
      <c r="C164" s="22" t="s">
        <v>70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33</v>
      </c>
      <c r="B165" s="22" t="s">
        <v>69</v>
      </c>
      <c r="C165" s="22" t="s">
        <v>70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34</v>
      </c>
      <c r="B166" s="22" t="s">
        <v>69</v>
      </c>
      <c r="C166" s="22" t="s">
        <v>70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36</v>
      </c>
      <c r="B167" s="22" t="s">
        <v>69</v>
      </c>
      <c r="C167" s="22" t="s">
        <v>70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38</v>
      </c>
      <c r="B168" s="22" t="s">
        <v>69</v>
      </c>
      <c r="C168" s="22" t="s">
        <v>70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39</v>
      </c>
      <c r="B169" s="22" t="s">
        <v>69</v>
      </c>
      <c r="C169" s="22" t="s">
        <v>70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40</v>
      </c>
      <c r="B170" s="22" t="s">
        <v>69</v>
      </c>
      <c r="C170" s="22" t="s">
        <v>70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41</v>
      </c>
      <c r="B171" s="22" t="s">
        <v>69</v>
      </c>
      <c r="C171" s="22" t="s">
        <v>70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42</v>
      </c>
      <c r="B172" s="22" t="s">
        <v>69</v>
      </c>
      <c r="C172" s="22" t="s">
        <v>70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43</v>
      </c>
      <c r="B173" s="22" t="s">
        <v>69</v>
      </c>
      <c r="C173" s="22" t="s">
        <v>70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44</v>
      </c>
      <c r="B174" s="22" t="s">
        <v>69</v>
      </c>
      <c r="C174" s="22" t="s">
        <v>70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45</v>
      </c>
      <c r="B175" s="22" t="s">
        <v>69</v>
      </c>
      <c r="C175" s="22" t="s">
        <v>70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46</v>
      </c>
      <c r="B176" s="22" t="s">
        <v>69</v>
      </c>
      <c r="C176" s="22" t="s">
        <v>70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47</v>
      </c>
      <c r="B177" s="22" t="s">
        <v>69</v>
      </c>
      <c r="C177" s="22" t="s">
        <v>70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48</v>
      </c>
      <c r="B178" s="22" t="s">
        <v>69</v>
      </c>
      <c r="C178" s="22" t="s">
        <v>70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49</v>
      </c>
      <c r="B179" s="22" t="s">
        <v>69</v>
      </c>
      <c r="C179" s="22" t="s">
        <v>70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50</v>
      </c>
      <c r="B180" s="22" t="s">
        <v>69</v>
      </c>
      <c r="C180" s="22" t="s">
        <v>70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51</v>
      </c>
      <c r="B181" s="22" t="s">
        <v>69</v>
      </c>
      <c r="C181" s="22" t="s">
        <v>70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52</v>
      </c>
      <c r="B182" s="22" t="s">
        <v>69</v>
      </c>
      <c r="C182" s="22" t="s">
        <v>70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53</v>
      </c>
      <c r="B183" s="22" t="s">
        <v>69</v>
      </c>
      <c r="C183" s="22" t="s">
        <v>70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54</v>
      </c>
      <c r="B184" s="22" t="s">
        <v>69</v>
      </c>
      <c r="C184" s="22" t="s">
        <v>70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55</v>
      </c>
      <c r="B185" s="22" t="s">
        <v>69</v>
      </c>
      <c r="C185" s="22" t="s">
        <v>70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56</v>
      </c>
      <c r="B186" s="22" t="s">
        <v>69</v>
      </c>
      <c r="C186" s="22" t="s">
        <v>70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57</v>
      </c>
      <c r="B187" s="22" t="s">
        <v>69</v>
      </c>
      <c r="C187" s="22" t="s">
        <v>70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58</v>
      </c>
      <c r="B188" s="22" t="s">
        <v>69</v>
      </c>
      <c r="C188" s="22" t="s">
        <v>70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59</v>
      </c>
      <c r="B189" s="22" t="s">
        <v>69</v>
      </c>
      <c r="C189" s="22" t="s">
        <v>70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