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M0034" r:id="rId1" sheetId="1"/>
  </sheets>
  <definedNames>
    <definedName localSheetId="0" name="_xlnm.Print_Titles">BO_DM0034!$4:$9</definedName>
  </definedNames>
  <calcPr calcId="145621"/>
</workbook>
</file>

<file path=xl/sharedStrings.xml><?xml version="1.0" encoding="utf-8"?>
<sst xmlns="http://schemas.openxmlformats.org/spreadsheetml/2006/main" count="167" uniqueCount="61">
  <si>
    <t>有 価 証 券 オ プ シ ョ ン 取 引 取 引 状 況（日別）</t>
    <rPh eb="1" sb="0">
      <t>ユウ</t>
    </rPh>
    <rPh eb="3" sb="2">
      <t>アタイ</t>
    </rPh>
    <rPh eb="5" sb="4">
      <t>アカシ</t>
    </rPh>
    <rPh eb="7" sb="6">
      <t>ケン</t>
    </rPh>
    <rPh eb="19" sb="18">
      <t>トリ</t>
    </rPh>
    <rPh eb="21" sb="20">
      <t>イン</t>
    </rPh>
    <rPh eb="23" sb="22">
      <t>トリ</t>
    </rPh>
    <rPh eb="25" sb="24">
      <t>イン</t>
    </rPh>
    <rPh eb="27" sb="26">
      <t>ジョウ</t>
    </rPh>
    <rPh eb="29" sb="28">
      <t>キョウ</t>
    </rPh>
    <rPh eb="31" sb="30">
      <t>ヒ</t>
    </rPh>
    <rPh eb="32" sb="31">
      <t>ベツ</t>
    </rPh>
    <phoneticPr fontId="5"/>
  </si>
  <si>
    <t>Trading of Securities Options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</si>
  <si>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</si>
  <si>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</si>
  <si>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</si>
  <si>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eb="2" sb="0">
      <t>ショウヒン</t>
    </rPh>
    <rPh eb="3" sb="2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</si>
  <si>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</si>
  <si>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</si>
  <si>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</si>
  <si>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</si>
  <si>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</si>
  <si>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</si>
  <si>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</si>
  <si>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</si>
  <si>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</si>
  <si>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eb="2" sb="0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</si>
  <si>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</si>
  <si>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</si>
  <si>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</si>
  <si>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</si>
  <si>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</si>
  <si>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</si>
  <si>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</si>
  <si>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</si>
  <si>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</si>
  <si>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</si>
  <si>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11.1</t>
  </si>
  <si>
    <t>有価証券オプション</t>
  </si>
  <si>
    <t>Securities Options</t>
  </si>
  <si>
    <t>◎●</t>
  </si>
  <si>
    <t>2</t>
  </si>
  <si>
    <t>3</t>
  </si>
  <si>
    <t>4</t>
  </si>
  <si>
    <t>5</t>
  </si>
  <si>
    <t>6</t>
  </si>
  <si>
    <t>●</t>
  </si>
  <si>
    <t>7</t>
  </si>
  <si>
    <t>◎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</si>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</sst>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4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/>
    <xf borderId="0" fillId="0" fontId="2" numFmtId="0">
      <alignment vertical="center"/>
    </xf>
    <xf applyAlignment="0" applyBorder="0" applyFill="0" applyFont="0" applyProtection="0" borderId="0" fillId="0" fontId="9" numFmtId="9"/>
    <xf borderId="0" fillId="0" fontId="12" numFmtId="0"/>
    <xf borderId="0" fillId="0" fontId="7" numFmtId="0"/>
    <xf applyAlignment="0" applyBorder="0" applyNumberFormat="0" applyProtection="0" borderId="0" fillId="3" fontId="13" numFmtId="0"/>
    <xf applyAlignment="0" applyBorder="0" applyNumberFormat="0" applyProtection="0" borderId="0" fillId="4" fontId="13" numFmtId="0"/>
    <xf applyAlignment="0" applyBorder="0" applyNumberFormat="0" applyProtection="0" borderId="0" fillId="5" fontId="13" numFmtId="0"/>
    <xf applyAlignment="0" applyBorder="0" applyNumberFormat="0" applyProtection="0" borderId="0" fillId="6" fontId="13" numFmtId="0"/>
    <xf applyAlignment="0" applyBorder="0" applyNumberFormat="0" applyProtection="0" borderId="0" fillId="7" fontId="13" numFmtId="0"/>
    <xf applyAlignment="0" applyBorder="0" applyNumberFormat="0" applyProtection="0" borderId="0" fillId="8" fontId="13" numFmtId="0"/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1" fontId="13" numFmtId="0"/>
    <xf applyAlignment="0" applyBorder="0" applyNumberFormat="0" applyProtection="0" borderId="0" fillId="6" fontId="13" numFmtId="0"/>
    <xf applyAlignment="0" applyBorder="0" applyNumberFormat="0" applyProtection="0" borderId="0" fillId="9" fontId="13" numFmtId="0"/>
    <xf applyAlignment="0" applyBorder="0" applyNumberFormat="0" applyProtection="0" borderId="0" fillId="12" fontId="13" numFmtId="0"/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3" fontId="15" numFmtId="0"/>
    <xf applyAlignment="0" applyBorder="0" applyNumberFormat="0" applyProtection="0" borderId="0" fillId="10" fontId="15" numFmtId="0"/>
    <xf applyAlignment="0" applyBorder="0" applyNumberFormat="0" applyProtection="0" borderId="0" fillId="11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16" fontId="15" numFmtId="0"/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7" fontId="15" numFmtId="0"/>
    <xf applyAlignment="0" applyBorder="0" applyNumberFormat="0" applyProtection="0" borderId="0" fillId="18" fontId="15" numFmtId="0"/>
    <xf applyAlignment="0" applyBorder="0" applyNumberFormat="0" applyProtection="0" borderId="0" fillId="19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20" fontId="15" numFmtId="0"/>
    <xf borderId="0" fillId="0" fontId="17" numFmtId="0">
      <alignment horizontal="center" wrapText="1"/>
      <protection locked="0"/>
    </xf>
    <xf borderId="0" fillId="0" fontId="18" numFmtId="0"/>
    <xf applyAlignment="0" applyBorder="0" applyNumberFormat="0" applyProtection="0" borderId="0" fillId="4" fontId="19" numFmtId="0"/>
    <xf applyAlignment="0" applyBorder="0" applyFill="0" applyNumberFormat="0" applyProtection="0" borderId="0" fillId="0" fontId="20" numFmtId="0"/>
    <xf applyAlignment="0" applyBorder="0" applyFill="0" borderId="0" fillId="0" fontId="13" numFmtId="176"/>
    <xf applyAlignment="0" applyBorder="0" applyFill="0" borderId="0" fillId="0" fontId="8" numFmtId="177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5" fillId="22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5" fontId="27" numFmtId="0"/>
    <xf applyAlignment="0" applyBorder="0" applyNumberFormat="0" applyProtection="0" borderId="0" fillId="23" fontId="28" numFmtId="38"/>
    <xf borderId="0" fillId="24" fontId="29" numFmtId="0"/>
    <xf applyAlignment="0" applyNumberFormat="0" applyProtection="0" borderId="3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applyAlignment="0" applyFill="0" applyNumberFormat="0" applyProtection="0" borderId="37" fillId="0" fontId="31" numFmtId="0"/>
    <xf applyAlignment="0" applyFill="0" applyNumberFormat="0" applyProtection="0" borderId="38" fillId="0" fontId="32" numFmtId="0"/>
    <xf applyAlignment="0" applyFill="0" applyNumberFormat="0" applyProtection="0" borderId="39" fillId="0" fontId="33" numFmtId="0"/>
    <xf applyAlignment="0" applyBorder="0" applyFill="0" applyNumberFormat="0" applyProtection="0" borderId="0" fillId="0" fontId="33" numFmtId="0"/>
    <xf applyBorder="0" borderId="0" fillId="0" fontId="8" numFmtId="0"/>
    <xf applyAlignment="0" applyNumberFormat="0" applyProtection="0" borderId="34" fillId="8" fontId="34" numFmtId="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borderId="0" fillId="0" fontId="8" numFmtId="0"/>
    <xf applyAlignment="0" applyFill="0" applyNumberFormat="0" applyProtection="0" borderId="41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6" fontId="37" numFmtId="0"/>
    <xf borderId="0" fillId="0" fontId="38" numFmtId="37"/>
    <xf borderId="0" fillId="0" fontId="39" numFmtId="182"/>
    <xf borderId="0" fillId="0" fontId="8" numFmtId="183"/>
    <xf borderId="0" fillId="0" fontId="8" numFmtId="183"/>
    <xf borderId="0" fillId="0" fontId="39" numFmtId="182"/>
    <xf borderId="0" fillId="0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borderId="0" fillId="0" fontId="17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44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borderId="0" fillId="0" fontId="53" numFmtId="0"/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6" fillId="28" fontId="71" numFmtId="49"/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64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9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80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1" numFmtId="0">
      <alignment vertical="center"/>
    </xf>
    <xf borderId="0" fillId="0" fontId="66" numFmtId="0"/>
    <xf borderId="0" fillId="0" fontId="81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9" numFmtId="0"/>
    <xf borderId="0" fillId="0" fontId="64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8" numFmtId="0">
      <alignment vertical="center"/>
    </xf>
    <xf borderId="0" fillId="0" fontId="83" numFmtId="0"/>
    <xf borderId="0" fillId="0" fontId="66" numFmtId="0"/>
    <xf borderId="0" fillId="0" fontId="8" numFmtId="0">
      <alignment vertical="center"/>
    </xf>
    <xf borderId="0" fillId="0" fontId="66" numFmtId="0">
      <alignment vertical="center"/>
    </xf>
    <xf borderId="0" fillId="0" fontId="66" numFmtId="0"/>
    <xf borderId="0" fillId="0" fontId="7" numFmtId="0">
      <alignment vertical="center"/>
    </xf>
    <xf borderId="0" fillId="0" fontId="8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9" numFmtId="0"/>
    <xf borderId="0" fillId="0" fontId="79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4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>
      <alignment vertical="center"/>
    </xf>
    <xf borderId="0" fillId="0" fontId="64" numFmtId="0">
      <alignment vertical="center"/>
    </xf>
    <xf borderId="0" fillId="0" fontId="83" numFmtId="0"/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7" numFmtId="0"/>
    <xf borderId="0" fillId="0" fontId="7" numFmtId="0"/>
    <xf borderId="0" fillId="0" fontId="83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83" numFmtId="0"/>
    <xf borderId="0" fillId="0" fontId="7" numFmtId="0"/>
    <xf borderId="0" fillId="0" fontId="83" numFmtId="0"/>
    <xf borderId="0" fillId="0" fontId="1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4" numFmtId="0">
      <alignment vertical="center"/>
    </xf>
    <xf borderId="0" fillId="0" fontId="7" numFmtId="0"/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7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8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/>
    <xf borderId="0" fillId="0" fontId="89" numFmtId="0"/>
    <xf borderId="0" fillId="0" fontId="53" numFmtId="0"/>
    <xf applyBorder="0" applyFill="0" borderId="0" fillId="0" fontId="77" numFmtId="49"/>
    <xf borderId="0" fillId="0" fontId="90" numFmtId="188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borderId="0" fillId="0" fontId="7" numFmtId="0"/>
  </cellStyleXfs>
  <cellXfs count="50">
    <xf borderId="0" fillId="0" fontId="0" numFmtId="0" xfId="0"/>
    <xf applyFont="1" borderId="0" fillId="0" fontId="6" numFmtId="0" xfId="1">
      <alignment vertical="center"/>
    </xf>
    <xf applyBorder="1" applyFont="1" borderId="0" fillId="0" fontId="6" numFmtId="0" xfId="1">
      <alignment vertical="center"/>
    </xf>
    <xf applyAlignment="1" applyFont="1" borderId="0" fillId="0" fontId="7" numFmtId="0" xfId="0">
      <alignment vertical="center"/>
    </xf>
    <xf applyAlignment="1" applyFont="1" borderId="0" fillId="0" fontId="11" numFmtId="0" xfId="0">
      <alignment vertical="center"/>
    </xf>
    <xf applyFont="1" borderId="0" fillId="0" fontId="9" numFmtId="0" xfId="1">
      <alignment vertical="center"/>
    </xf>
    <xf applyAlignment="1" applyFont="1" borderId="0" fillId="0" fontId="9" numFmtId="0" xfId="0">
      <alignment vertical="center"/>
    </xf>
    <xf applyAlignment="1" applyFill="1" applyFont="1" applyNumberFormat="1" borderId="0" fillId="0" fontId="3" numFmtId="0" xfId="1">
      <alignment vertical="center"/>
    </xf>
    <xf applyAlignment="1" applyBorder="1" applyFill="1" applyFont="1" applyNumberFormat="1" borderId="0" fillId="0" fontId="3" numFmtId="0" xfId="1">
      <alignment vertical="center"/>
    </xf>
    <xf applyAlignment="1" applyBorder="1" applyFill="1" applyFont="1" applyNumberFormat="1" borderId="2" fillId="0" fontId="8" numFmtId="0" xfId="0">
      <alignment vertical="center"/>
    </xf>
    <xf applyAlignment="1" applyFill="1" applyFont="1" borderId="0" fillId="0" fontId="9" numFmtId="0" xfId="0">
      <alignment vertical="center"/>
    </xf>
    <xf applyAlignment="1" applyFill="1" applyFont="1" borderId="0" fillId="0" fontId="9" numFmtId="0" xfId="0">
      <alignment horizontal="right" vertical="center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4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15" fillId="0" fontId="8" numFmtId="0" xfId="0">
      <alignment horizontal="center" vertical="center" wrapText="1"/>
    </xf>
    <xf applyAlignment="1" applyBorder="1" applyFill="1" applyFont="1" applyNumberFormat="1" borderId="16" fillId="0" fontId="8" numFmtId="0" xfId="0">
      <alignment horizontal="center" vertical="center" wrapText="1"/>
    </xf>
    <xf applyAlignment="1" applyBorder="1" applyFill="1" applyFont="1" applyNumberFormat="1" borderId="17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26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  <xf applyAlignment="1" applyBorder="1" applyFont="1" applyNumberFormat="1" borderId="27" fillId="0" fontId="10" numFmtId="49" xfId="0">
      <alignment horizontal="right" vertical="top" wrapText="1"/>
    </xf>
    <xf applyAlignment="1" applyBorder="1" applyFont="1" applyNumberFormat="1" borderId="27" fillId="0" fontId="10" numFmtId="49" xfId="0">
      <alignment horizontal="left" vertical="top" wrapText="1"/>
    </xf>
    <xf applyAlignment="1" applyBorder="1" applyFont="1" applyNumberFormat="1" borderId="28" fillId="0" fontId="10" numFmtId="49" xfId="0">
      <alignment horizontal="center" vertical="top" wrapText="1"/>
    </xf>
    <xf applyAlignment="1" applyBorder="1" applyFont="1" applyNumberFormat="1" borderId="30" fillId="0" fontId="10" numFmtId="49" xfId="0">
      <alignment horizontal="center" vertical="top" wrapText="1"/>
    </xf>
    <xf applyAlignment="1" applyBorder="1" applyFont="1" applyNumberFormat="1" borderId="31" fillId="0" fontId="10" numFmtId="49" xfId="0">
      <alignment horizontal="center" vertical="top" wrapText="1"/>
    </xf>
    <xf applyAlignment="1" applyBorder="1" applyFont="1" applyNumberFormat="1" borderId="29" fillId="0" fontId="10" numFmtId="3" quotePrefix="1" xfId="1">
      <alignment horizontal="right" vertical="top" wrapText="1"/>
    </xf>
    <xf applyAlignment="1" applyBorder="1" applyFont="1" applyNumberFormat="1" borderId="32" fillId="0" fontId="10" numFmtId="3" quotePrefix="1" xfId="1">
      <alignment horizontal="right" vertical="top" wrapText="1"/>
    </xf>
    <xf applyAlignment="1" applyBorder="1" applyFont="1" applyNumberFormat="1" borderId="30" fillId="0" fontId="10" numFmtId="3" quotePrefix="1" xfId="1">
      <alignment horizontal="right" vertical="top" wrapText="1"/>
    </xf>
    <xf applyAlignment="1" applyBorder="1" applyFont="1" applyNumberFormat="1" borderId="33" fillId="0" fontId="10" numFmtId="3" quotePrefix="1" xfId="1">
      <alignment horizontal="right" vertical="top" wrapText="1"/>
    </xf>
    <xf applyAlignment="1" applyBorder="1" applyFill="1" applyFont="1" applyNumberFormat="1" borderId="22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23" fillId="0" fontId="8" numFmtId="0" xfId="0">
      <alignment horizontal="center" vertical="center" wrapText="1"/>
    </xf>
    <xf applyAlignment="1" applyBorder="1" applyFill="1" applyFont="1" applyNumberFormat="1" borderId="24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  <xf applyAlignment="1" applyBorder="1" applyFill="1" applyFont="1" applyNumberFormat="1" borderId="11" fillId="0" fontId="8" numFmtId="0" xfId="0">
      <alignment horizontal="center" vertical="center" wrapText="1"/>
    </xf>
    <xf applyAlignment="1" applyBorder="1" applyFill="1" applyFont="1" applyNumberFormat="1" borderId="12" fillId="0" fontId="8" numFmtId="0" xfId="0">
      <alignment horizontal="center" vertical="center" wrapText="1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7" fillId="0" fontId="8" numFmtId="0" xfId="0">
      <alignment horizontal="center" vertical="center" wrapText="1"/>
    </xf>
    <xf applyAlignment="1" applyBorder="1" applyFill="1" applyFont="1" applyNumberFormat="1" borderId="21" fillId="0" fontId="8" numFmtId="0" xfId="0">
      <alignment horizontal="center" vertical="center" wrapText="1"/>
    </xf>
    <xf applyAlignment="1" applyBorder="1" applyFill="1" applyFont="1" applyNumberFormat="1" borderId="18" fillId="0" fontId="8" numFmtId="0" xfId="0">
      <alignment horizontal="center" vertical="center" wrapText="1"/>
    </xf>
    <xf applyAlignment="1" applyBorder="1" applyFill="1" applyFont="1" applyNumberFormat="1" borderId="19" fillId="0" fontId="8" numFmtId="0" xfId="0">
      <alignment horizontal="center" vertical="center" wrapText="1"/>
    </xf>
    <xf applyAlignment="1" applyBorder="1" applyFill="1" applyFont="1" applyNumberFormat="1" borderId="20" fillId="0" fontId="8" numFmtId="0" xfId="0">
      <alignment horizontal="center" vertical="center" wrapText="1"/>
    </xf>
    <xf applyAlignment="1" applyBorder="1" applyFill="1" applyFont="1" applyNumberFormat="1" borderId="3" fillId="0" fontId="8" numFmtId="0" xfId="0">
      <alignment horizontal="center" vertical="center" wrapText="1"/>
    </xf>
    <xf applyAlignment="1" applyBorder="1" applyFill="1" applyFont="1" applyNumberFormat="1" borderId="4" fillId="0" fontId="8" numFmtId="0" xfId="0">
      <alignment horizontal="center" vertical="center" wrapText="1"/>
    </xf>
    <xf applyAlignment="1" applyBorder="1" applyFill="1" applyFont="1" applyNumberFormat="1" borderId="8" fillId="0" fontId="8" numFmtId="0" xfId="0">
      <alignment horizontal="center" vertical="center" wrapText="1"/>
    </xf>
    <xf applyAlignment="1" applyBorder="1" applyFill="1" applyFont="1" applyNumberFormat="1" borderId="5" fillId="0" fontId="8" numFmtId="0" xfId="0">
      <alignment horizontal="center" vertical="center" wrapText="1"/>
    </xf>
    <xf applyAlignment="1" applyBorder="1" applyFill="1" applyFont="1" applyNumberFormat="1" borderId="6" fillId="0" fontId="8" numFmtId="0" xfId="0">
      <alignment horizontal="center" vertical="center" wrapText="1"/>
    </xf>
    <xf applyAlignment="1" applyBorder="1" applyFill="1" applyFont="1" applyNumberFormat="1" borderId="9" fillId="0" fontId="8" numFmtId="0" xfId="0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builtinId="0" name="標準" xf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39"/>
  <sheetViews>
    <sheetView showGridLines="0" tabSelected="1" view="pageBreakPreview" workbookViewId="0" zoomScaleNormal="70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5" width="6.5" collapsed="false"/>
    <col min="2" max="2" customWidth="true" style="5" width="30.625" collapsed="false"/>
    <col min="3" max="3" customWidth="true" style="6" width="30.625" collapsed="false"/>
    <col min="4" max="4" customWidth="true" style="5" width="4.625" collapsed="false"/>
    <col min="5" max="5" customWidth="true" style="5" width="22.625" collapsed="false"/>
    <col min="6" max="6" customWidth="true" style="5" width="4.625" collapsed="false"/>
    <col min="7" max="7" customWidth="true" style="5" width="22.625" collapsed="false"/>
    <col min="8" max="8" customWidth="true" style="5" width="4.625" collapsed="false"/>
    <col min="9" max="9" customWidth="true" style="5" width="22.625" collapsed="false"/>
    <col min="10" max="10" customWidth="true" style="5" width="4.625" collapsed="false"/>
    <col min="11" max="11" customWidth="true" style="5" width="22.625" collapsed="false"/>
    <col min="12" max="12" customWidth="true" style="5" width="4.625" collapsed="false"/>
    <col min="13" max="13" customWidth="true" style="5" width="22.625" collapsed="false"/>
    <col min="14" max="14" customWidth="true" style="5" width="4.625" collapsed="false"/>
    <col min="15" max="18" customWidth="true" style="5" width="22.625" collapsed="false"/>
    <col min="19" max="19" customWidth="true" style="5" width="4.625" collapsed="false"/>
    <col min="20" max="20" customWidth="true" style="5" width="22.625" collapsed="false"/>
    <col min="21" max="21" customWidth="true" style="5" width="4.625" collapsed="false"/>
    <col min="22" max="22" customWidth="true" style="5" width="22.625" collapsed="false"/>
    <col min="23" max="23" customWidth="true" style="5" width="4.625" collapsed="false"/>
    <col min="24" max="24" customWidth="true" style="5" width="22.625" collapsed="false"/>
    <col min="25" max="25" customWidth="true" style="5" width="4.625" collapsed="false"/>
    <col min="26" max="26" customWidth="true" style="5" width="22.625" collapsed="false"/>
    <col min="27" max="27" customWidth="true" style="5" width="4.625" collapsed="false"/>
    <col min="28" max="28" customWidth="true" style="5" width="22.625" collapsed="false"/>
    <col min="29" max="29" customWidth="true" style="5" width="4.625" collapsed="false"/>
    <col min="30" max="30" customWidth="true" style="5" width="22.625" collapsed="false"/>
    <col min="31" max="31" customWidth="true" style="1" width="9.0" collapsed="false"/>
    <col min="32" max="16384" style="1" width="9.0" collapsed="false"/>
  </cols>
  <sheetData>
    <row customHeight="1" ht="30" r="1" spans="1:3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customFormat="1" customHeight="1" ht="30" r="2" s="2" spans="1:3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</row>
    <row customFormat="1" customHeight="1" ht="15" r="3" s="2" spans="1:30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</row>
    <row customFormat="1" customHeight="1" ht="17.100000000000001" r="4" s="3" spans="1:30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customFormat="1" customHeight="1" ht="17.100000000000001" r="5" s="3" spans="1:30">
      <c r="A5" s="44" t="s">
        <v>4</v>
      </c>
      <c r="B5" s="44" t="s">
        <v>5</v>
      </c>
      <c r="C5" s="45" t="s">
        <v>6</v>
      </c>
      <c r="D5" s="45" t="s">
        <v>7</v>
      </c>
      <c r="E5" s="47"/>
      <c r="F5" s="47" t="s">
        <v>8</v>
      </c>
      <c r="G5" s="47"/>
      <c r="H5" s="47" t="s">
        <v>8</v>
      </c>
      <c r="I5" s="48"/>
      <c r="J5" s="45" t="s">
        <v>9</v>
      </c>
      <c r="K5" s="47"/>
      <c r="L5" s="47" t="s">
        <v>8</v>
      </c>
      <c r="M5" s="47"/>
      <c r="N5" s="47" t="s">
        <v>8</v>
      </c>
      <c r="O5" s="48"/>
      <c r="P5" s="47" t="s">
        <v>10</v>
      </c>
      <c r="Q5" s="47"/>
      <c r="R5" s="48"/>
      <c r="S5" s="45" t="s">
        <v>11</v>
      </c>
      <c r="T5" s="47"/>
      <c r="U5" s="47" t="s">
        <v>8</v>
      </c>
      <c r="V5" s="47"/>
      <c r="W5" s="47" t="s">
        <v>8</v>
      </c>
      <c r="X5" s="48"/>
      <c r="Y5" s="45" t="s">
        <v>12</v>
      </c>
      <c r="Z5" s="47"/>
      <c r="AA5" s="47" t="s">
        <v>8</v>
      </c>
      <c r="AB5" s="47"/>
      <c r="AC5" s="47" t="s">
        <v>8</v>
      </c>
      <c r="AD5" s="48"/>
    </row>
    <row customFormat="1" customHeight="1" ht="17.100000000000001" r="6" s="3" spans="1:30">
      <c r="A6" s="39"/>
      <c r="B6" s="39"/>
      <c r="C6" s="46"/>
      <c r="D6" s="49" t="s">
        <v>13</v>
      </c>
      <c r="E6" s="37"/>
      <c r="F6" s="35" t="s">
        <v>14</v>
      </c>
      <c r="G6" s="36"/>
      <c r="H6" s="37" t="s">
        <v>15</v>
      </c>
      <c r="I6" s="38"/>
      <c r="J6" s="49" t="s">
        <v>13</v>
      </c>
      <c r="K6" s="37"/>
      <c r="L6" s="35" t="s">
        <v>14</v>
      </c>
      <c r="M6" s="36"/>
      <c r="N6" s="37" t="s">
        <v>15</v>
      </c>
      <c r="O6" s="38"/>
      <c r="P6" s="12" t="s">
        <v>13</v>
      </c>
      <c r="Q6" s="13" t="s">
        <v>14</v>
      </c>
      <c r="R6" s="14" t="s">
        <v>16</v>
      </c>
      <c r="S6" s="49" t="s">
        <v>13</v>
      </c>
      <c r="T6" s="37"/>
      <c r="U6" s="35" t="s">
        <v>14</v>
      </c>
      <c r="V6" s="36"/>
      <c r="W6" s="37" t="s">
        <v>15</v>
      </c>
      <c r="X6" s="38"/>
      <c r="Y6" s="49" t="s">
        <v>13</v>
      </c>
      <c r="Z6" s="37"/>
      <c r="AA6" s="35" t="s">
        <v>14</v>
      </c>
      <c r="AB6" s="36"/>
      <c r="AC6" s="37" t="s">
        <v>15</v>
      </c>
      <c r="AD6" s="38"/>
    </row>
    <row customFormat="1" customHeight="1" ht="1.5" r="7" s="3" spans="1:30">
      <c r="A7" s="15"/>
      <c r="B7" s="39"/>
      <c r="C7" s="4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7"/>
    </row>
    <row customFormat="1" customHeight="1" ht="17.100000000000001" r="8" s="3" spans="1:30">
      <c r="A8" s="39" t="s">
        <v>17</v>
      </c>
      <c r="B8" s="39"/>
      <c r="C8" s="46"/>
      <c r="D8" s="41" t="s">
        <v>18</v>
      </c>
      <c r="E8" s="42"/>
      <c r="F8" s="42"/>
      <c r="G8" s="42"/>
      <c r="H8" s="42"/>
      <c r="I8" s="43"/>
      <c r="J8" s="41" t="s">
        <v>19</v>
      </c>
      <c r="K8" s="42"/>
      <c r="L8" s="42"/>
      <c r="M8" s="42"/>
      <c r="N8" s="42"/>
      <c r="O8" s="43"/>
      <c r="P8" s="42" t="s">
        <v>20</v>
      </c>
      <c r="Q8" s="42"/>
      <c r="R8" s="43"/>
      <c r="S8" s="41" t="s">
        <v>21</v>
      </c>
      <c r="T8" s="42"/>
      <c r="U8" s="42"/>
      <c r="V8" s="42"/>
      <c r="W8" s="42"/>
      <c r="X8" s="43"/>
      <c r="Y8" s="41" t="s">
        <v>22</v>
      </c>
      <c r="Z8" s="42"/>
      <c r="AA8" s="42"/>
      <c r="AB8" s="42"/>
      <c r="AC8" s="42"/>
      <c r="AD8" s="43"/>
    </row>
    <row customFormat="1" customHeight="1" ht="17.100000000000001" r="9" s="3" spans="1:30">
      <c r="A9" s="40"/>
      <c r="B9" s="40"/>
      <c r="C9" s="30"/>
      <c r="D9" s="30" t="s">
        <v>23</v>
      </c>
      <c r="E9" s="31"/>
      <c r="F9" s="32" t="s">
        <v>24</v>
      </c>
      <c r="G9" s="33"/>
      <c r="H9" s="31" t="s">
        <v>25</v>
      </c>
      <c r="I9" s="34"/>
      <c r="J9" s="30" t="s">
        <v>23</v>
      </c>
      <c r="K9" s="31"/>
      <c r="L9" s="32" t="s">
        <v>24</v>
      </c>
      <c r="M9" s="33"/>
      <c r="N9" s="31" t="s">
        <v>25</v>
      </c>
      <c r="O9" s="34"/>
      <c r="P9" s="18" t="s">
        <v>23</v>
      </c>
      <c r="Q9" s="19" t="s">
        <v>24</v>
      </c>
      <c r="R9" s="20" t="s">
        <v>25</v>
      </c>
      <c r="S9" s="30" t="s">
        <v>23</v>
      </c>
      <c r="T9" s="31"/>
      <c r="U9" s="32" t="s">
        <v>24</v>
      </c>
      <c r="V9" s="33"/>
      <c r="W9" s="31" t="s">
        <v>25</v>
      </c>
      <c r="X9" s="34"/>
      <c r="Y9" s="30" t="s">
        <v>23</v>
      </c>
      <c r="Z9" s="31"/>
      <c r="AA9" s="32" t="s">
        <v>24</v>
      </c>
      <c r="AB9" s="33"/>
      <c r="AC9" s="31" t="s">
        <v>25</v>
      </c>
      <c r="AD9" s="34"/>
    </row>
    <row customFormat="1" customHeight="1" ht="13.5" r="10" s="4" spans="1:30">
      <c r="A10" s="21" t="s">
        <v>26</v>
      </c>
      <c r="B10" s="22" t="s">
        <v>27</v>
      </c>
      <c r="C10" s="22" t="s">
        <v>28</v>
      </c>
      <c r="D10" s="23"/>
      <c r="E10" s="26" t="n">
        <f>553</f>
        <v>553.0</v>
      </c>
      <c r="F10" s="24"/>
      <c r="G10" s="26" t="n">
        <f>4026</f>
        <v>4026.0</v>
      </c>
      <c r="H10" s="25"/>
      <c r="I10" s="26" t="n">
        <f>4579</f>
        <v>4579.0</v>
      </c>
      <c r="J10" s="23"/>
      <c r="K10" s="26" t="n">
        <f>7295780</f>
        <v>7295780.0</v>
      </c>
      <c r="L10" s="24"/>
      <c r="M10" s="26" t="n">
        <f>2698850</f>
        <v>2698850.0</v>
      </c>
      <c r="N10" s="25"/>
      <c r="O10" s="26" t="n">
        <f>9994630</f>
        <v>9994630.0</v>
      </c>
      <c r="P10" s="27" t="str">
        <f>"－"</f>
        <v>－</v>
      </c>
      <c r="Q10" s="28" t="str">
        <f>"－"</f>
        <v>－</v>
      </c>
      <c r="R10" s="29" t="str">
        <f>"－"</f>
        <v>－</v>
      </c>
      <c r="S10" s="23" t="s">
        <v>29</v>
      </c>
      <c r="T10" s="26" t="str">
        <f>"－"</f>
        <v>－</v>
      </c>
      <c r="U10" s="24" t="s">
        <v>29</v>
      </c>
      <c r="V10" s="26" t="str">
        <f>"－"</f>
        <v>－</v>
      </c>
      <c r="W10" s="25" t="s">
        <v>29</v>
      </c>
      <c r="X10" s="26" t="str">
        <f>"－"</f>
        <v>－</v>
      </c>
      <c r="Y10" s="23"/>
      <c r="Z10" s="26" t="n">
        <f>31619</f>
        <v>31619.0</v>
      </c>
      <c r="AA10" s="24"/>
      <c r="AB10" s="26" t="n">
        <f>36160</f>
        <v>36160.0</v>
      </c>
      <c r="AC10" s="25"/>
      <c r="AD10" s="26" t="n">
        <f>67779</f>
        <v>67779.0</v>
      </c>
    </row>
    <row r="11">
      <c r="A11" s="21" t="s">
        <v>30</v>
      </c>
      <c r="B11" s="22" t="s">
        <v>27</v>
      </c>
      <c r="C11" s="22" t="s">
        <v>28</v>
      </c>
      <c r="D11" s="23"/>
      <c r="E11" s="26"/>
      <c r="F11" s="24"/>
      <c r="G11" s="26"/>
      <c r="H11" s="25"/>
      <c r="I11" s="26"/>
      <c r="J11" s="23"/>
      <c r="K11" s="26"/>
      <c r="L11" s="24"/>
      <c r="M11" s="26"/>
      <c r="N11" s="25"/>
      <c r="O11" s="26"/>
      <c r="P11" s="27"/>
      <c r="Q11" s="28"/>
      <c r="R11" s="29"/>
      <c r="S11" s="23"/>
      <c r="T11" s="26"/>
      <c r="U11" s="24"/>
      <c r="V11" s="26"/>
      <c r="W11" s="25"/>
      <c r="X11" s="26"/>
      <c r="Y11" s="23"/>
      <c r="Z11" s="26"/>
      <c r="AA11" s="24"/>
      <c r="AB11" s="26"/>
      <c r="AC11" s="25"/>
      <c r="AD11" s="26"/>
    </row>
    <row r="12">
      <c r="A12" s="21" t="s">
        <v>31</v>
      </c>
      <c r="B12" s="22" t="s">
        <v>27</v>
      </c>
      <c r="C12" s="22" t="s">
        <v>28</v>
      </c>
      <c r="D12" s="23"/>
      <c r="E12" s="26"/>
      <c r="F12" s="24"/>
      <c r="G12" s="26"/>
      <c r="H12" s="25"/>
      <c r="I12" s="26"/>
      <c r="J12" s="23"/>
      <c r="K12" s="26"/>
      <c r="L12" s="24"/>
      <c r="M12" s="26"/>
      <c r="N12" s="25"/>
      <c r="O12" s="26"/>
      <c r="P12" s="27"/>
      <c r="Q12" s="28"/>
      <c r="R12" s="29"/>
      <c r="S12" s="23"/>
      <c r="T12" s="26"/>
      <c r="U12" s="24"/>
      <c r="V12" s="26"/>
      <c r="W12" s="25"/>
      <c r="X12" s="26"/>
      <c r="Y12" s="23"/>
      <c r="Z12" s="26"/>
      <c r="AA12" s="24"/>
      <c r="AB12" s="26"/>
      <c r="AC12" s="25"/>
      <c r="AD12" s="26"/>
    </row>
    <row r="13">
      <c r="A13" s="21" t="s">
        <v>32</v>
      </c>
      <c r="B13" s="22" t="s">
        <v>27</v>
      </c>
      <c r="C13" s="22" t="s">
        <v>28</v>
      </c>
      <c r="D13" s="23"/>
      <c r="E13" s="26"/>
      <c r="F13" s="24"/>
      <c r="G13" s="26"/>
      <c r="H13" s="25"/>
      <c r="I13" s="26"/>
      <c r="J13" s="23"/>
      <c r="K13" s="26"/>
      <c r="L13" s="24"/>
      <c r="M13" s="26"/>
      <c r="N13" s="25"/>
      <c r="O13" s="26"/>
      <c r="P13" s="27"/>
      <c r="Q13" s="28"/>
      <c r="R13" s="29"/>
      <c r="S13" s="23"/>
      <c r="T13" s="26"/>
      <c r="U13" s="24"/>
      <c r="V13" s="26"/>
      <c r="W13" s="25"/>
      <c r="X13" s="26"/>
      <c r="Y13" s="23"/>
      <c r="Z13" s="26"/>
      <c r="AA13" s="24"/>
      <c r="AB13" s="26"/>
      <c r="AC13" s="25"/>
      <c r="AD13" s="26"/>
    </row>
    <row r="14">
      <c r="A14" s="21" t="s">
        <v>33</v>
      </c>
      <c r="B14" s="22" t="s">
        <v>27</v>
      </c>
      <c r="C14" s="22" t="s">
        <v>28</v>
      </c>
      <c r="D14" s="23"/>
      <c r="E14" s="26" t="n">
        <f>1806</f>
        <v>1806.0</v>
      </c>
      <c r="F14" s="24"/>
      <c r="G14" s="26" t="n">
        <f>1106</f>
        <v>1106.0</v>
      </c>
      <c r="H14" s="25"/>
      <c r="I14" s="26" t="n">
        <f>2912</f>
        <v>2912.0</v>
      </c>
      <c r="J14" s="23"/>
      <c r="K14" s="26" t="n">
        <f>1283100</f>
        <v>1283100.0</v>
      </c>
      <c r="L14" s="24"/>
      <c r="M14" s="26" t="n">
        <f>1605800</f>
        <v>1605800.0</v>
      </c>
      <c r="N14" s="25"/>
      <c r="O14" s="26" t="n">
        <f>2888900</f>
        <v>2888900.0</v>
      </c>
      <c r="P14" s="27" t="str">
        <f>"－"</f>
        <v>－</v>
      </c>
      <c r="Q14" s="28" t="str">
        <f>"－"</f>
        <v>－</v>
      </c>
      <c r="R14" s="29" t="str">
        <f>"－"</f>
        <v>－</v>
      </c>
      <c r="S14" s="23"/>
      <c r="T14" s="26" t="str">
        <f>"－"</f>
        <v>－</v>
      </c>
      <c r="U14" s="24"/>
      <c r="V14" s="26" t="str">
        <f>"－"</f>
        <v>－</v>
      </c>
      <c r="W14" s="25"/>
      <c r="X14" s="26" t="str">
        <f>"－"</f>
        <v>－</v>
      </c>
      <c r="Y14" s="23"/>
      <c r="Z14" s="26" t="n">
        <f>31825</f>
        <v>31825.0</v>
      </c>
      <c r="AA14" s="24"/>
      <c r="AB14" s="26" t="n">
        <f>37254</f>
        <v>37254.0</v>
      </c>
      <c r="AC14" s="25"/>
      <c r="AD14" s="26" t="n">
        <f>69079</f>
        <v>69079.0</v>
      </c>
    </row>
    <row r="15">
      <c r="A15" s="21" t="s">
        <v>34</v>
      </c>
      <c r="B15" s="22" t="s">
        <v>27</v>
      </c>
      <c r="C15" s="22" t="s">
        <v>28</v>
      </c>
      <c r="D15" s="23"/>
      <c r="E15" s="26" t="n">
        <f>3445</f>
        <v>3445.0</v>
      </c>
      <c r="F15" s="24"/>
      <c r="G15" s="26" t="n">
        <f>1874</f>
        <v>1874.0</v>
      </c>
      <c r="H15" s="25"/>
      <c r="I15" s="26" t="n">
        <f>5319</f>
        <v>5319.0</v>
      </c>
      <c r="J15" s="23"/>
      <c r="K15" s="26" t="n">
        <f>4152500</f>
        <v>4152500.0</v>
      </c>
      <c r="L15" s="24"/>
      <c r="M15" s="26" t="n">
        <f>1512187</f>
        <v>1512187.0</v>
      </c>
      <c r="N15" s="25"/>
      <c r="O15" s="26" t="n">
        <f>5664687</f>
        <v>5664687.0</v>
      </c>
      <c r="P15" s="27" t="str">
        <f>"－"</f>
        <v>－</v>
      </c>
      <c r="Q15" s="28" t="str">
        <f>"－"</f>
        <v>－</v>
      </c>
      <c r="R15" s="29" t="str">
        <f>"－"</f>
        <v>－</v>
      </c>
      <c r="S15" s="23"/>
      <c r="T15" s="26" t="str">
        <f>"－"</f>
        <v>－</v>
      </c>
      <c r="U15" s="24"/>
      <c r="V15" s="26" t="str">
        <f>"－"</f>
        <v>－</v>
      </c>
      <c r="W15" s="25"/>
      <c r="X15" s="26" t="str">
        <f>"－"</f>
        <v>－</v>
      </c>
      <c r="Y15" s="23" t="s">
        <v>35</v>
      </c>
      <c r="Z15" s="26" t="n">
        <f>30578</f>
        <v>30578.0</v>
      </c>
      <c r="AA15" s="24"/>
      <c r="AB15" s="26" t="n">
        <f>36661</f>
        <v>36661.0</v>
      </c>
      <c r="AC15" s="25"/>
      <c r="AD15" s="26" t="n">
        <f>67239</f>
        <v>67239.0</v>
      </c>
    </row>
    <row r="16">
      <c r="A16" s="21" t="s">
        <v>36</v>
      </c>
      <c r="B16" s="22" t="s">
        <v>27</v>
      </c>
      <c r="C16" s="22" t="s">
        <v>28</v>
      </c>
      <c r="D16" s="23" t="s">
        <v>37</v>
      </c>
      <c r="E16" s="26" t="n">
        <f>8244</f>
        <v>8244.0</v>
      </c>
      <c r="F16" s="24" t="s">
        <v>37</v>
      </c>
      <c r="G16" s="26" t="n">
        <f>23128</f>
        <v>23128.0</v>
      </c>
      <c r="H16" s="25" t="s">
        <v>37</v>
      </c>
      <c r="I16" s="26" t="n">
        <f>31372</f>
        <v>31372.0</v>
      </c>
      <c r="J16" s="23"/>
      <c r="K16" s="26" t="n">
        <f>9582471</f>
        <v>9582471.0</v>
      </c>
      <c r="L16" s="24"/>
      <c r="M16" s="26" t="n">
        <f>18181532</f>
        <v>1.8181532E7</v>
      </c>
      <c r="N16" s="25"/>
      <c r="O16" s="26" t="n">
        <f>27764003</f>
        <v>2.7764003E7</v>
      </c>
      <c r="P16" s="27" t="n">
        <f>243</f>
        <v>243.0</v>
      </c>
      <c r="Q16" s="28" t="n">
        <f>3770</f>
        <v>3770.0</v>
      </c>
      <c r="R16" s="29" t="n">
        <f>4013</f>
        <v>4013.0</v>
      </c>
      <c r="S16" s="23"/>
      <c r="T16" s="26" t="str">
        <f>"－"</f>
        <v>－</v>
      </c>
      <c r="U16" s="24"/>
      <c r="V16" s="26" t="str">
        <f>"－"</f>
        <v>－</v>
      </c>
      <c r="W16" s="25"/>
      <c r="X16" s="26" t="str">
        <f>"－"</f>
        <v>－</v>
      </c>
      <c r="Y16" s="23"/>
      <c r="Z16" s="26" t="n">
        <f>31840</f>
        <v>31840.0</v>
      </c>
      <c r="AA16" s="24" t="s">
        <v>35</v>
      </c>
      <c r="AB16" s="26" t="n">
        <f>35114</f>
        <v>35114.0</v>
      </c>
      <c r="AC16" s="25" t="s">
        <v>35</v>
      </c>
      <c r="AD16" s="26" t="n">
        <f>66954</f>
        <v>66954.0</v>
      </c>
    </row>
    <row r="17">
      <c r="A17" s="21" t="s">
        <v>38</v>
      </c>
      <c r="B17" s="22" t="s">
        <v>27</v>
      </c>
      <c r="C17" s="22" t="s">
        <v>28</v>
      </c>
      <c r="D17" s="23"/>
      <c r="E17" s="26" t="n">
        <f>6022</f>
        <v>6022.0</v>
      </c>
      <c r="F17" s="24"/>
      <c r="G17" s="26" t="n">
        <f>7967</f>
        <v>7967.0</v>
      </c>
      <c r="H17" s="25"/>
      <c r="I17" s="26" t="n">
        <f>13989</f>
        <v>13989.0</v>
      </c>
      <c r="J17" s="23" t="s">
        <v>37</v>
      </c>
      <c r="K17" s="26" t="n">
        <f>28116446</f>
        <v>2.8116446E7</v>
      </c>
      <c r="L17" s="24"/>
      <c r="M17" s="26" t="n">
        <f>37466815</f>
        <v>3.7466815E7</v>
      </c>
      <c r="N17" s="25"/>
      <c r="O17" s="26" t="n">
        <f>65583261</f>
        <v>6.5583261E7</v>
      </c>
      <c r="P17" s="27" t="str">
        <f>"－"</f>
        <v>－</v>
      </c>
      <c r="Q17" s="28" t="str">
        <f>"－"</f>
        <v>－</v>
      </c>
      <c r="R17" s="29" t="str">
        <f>"－"</f>
        <v>－</v>
      </c>
      <c r="S17" s="23"/>
      <c r="T17" s="26" t="str">
        <f>"－"</f>
        <v>－</v>
      </c>
      <c r="U17" s="24"/>
      <c r="V17" s="26" t="str">
        <f>"－"</f>
        <v>－</v>
      </c>
      <c r="W17" s="25"/>
      <c r="X17" s="26" t="str">
        <f>"－"</f>
        <v>－</v>
      </c>
      <c r="Y17" s="23"/>
      <c r="Z17" s="26" t="n">
        <f>37457</f>
        <v>37457.0</v>
      </c>
      <c r="AA17" s="24"/>
      <c r="AB17" s="26" t="n">
        <f>42883</f>
        <v>42883.0</v>
      </c>
      <c r="AC17" s="25"/>
      <c r="AD17" s="26" t="n">
        <f>80340</f>
        <v>80340.0</v>
      </c>
    </row>
    <row r="18">
      <c r="A18" s="21" t="s">
        <v>39</v>
      </c>
      <c r="B18" s="22" t="s">
        <v>27</v>
      </c>
      <c r="C18" s="22" t="s">
        <v>28</v>
      </c>
      <c r="D18" s="23"/>
      <c r="E18" s="26"/>
      <c r="F18" s="24"/>
      <c r="G18" s="26"/>
      <c r="H18" s="25"/>
      <c r="I18" s="26"/>
      <c r="J18" s="23"/>
      <c r="K18" s="26"/>
      <c r="L18" s="24"/>
      <c r="M18" s="26"/>
      <c r="N18" s="25"/>
      <c r="O18" s="26"/>
      <c r="P18" s="27"/>
      <c r="Q18" s="28"/>
      <c r="R18" s="29"/>
      <c r="S18" s="23"/>
      <c r="T18" s="26"/>
      <c r="U18" s="24"/>
      <c r="V18" s="26"/>
      <c r="W18" s="25"/>
      <c r="X18" s="26"/>
      <c r="Y18" s="23"/>
      <c r="Z18" s="26"/>
      <c r="AA18" s="24"/>
      <c r="AB18" s="26"/>
      <c r="AC18" s="25"/>
      <c r="AD18" s="26"/>
    </row>
    <row r="19">
      <c r="A19" s="21" t="s">
        <v>40</v>
      </c>
      <c r="B19" s="22" t="s">
        <v>27</v>
      </c>
      <c r="C19" s="22" t="s">
        <v>28</v>
      </c>
      <c r="D19" s="23"/>
      <c r="E19" s="26"/>
      <c r="F19" s="24"/>
      <c r="G19" s="26"/>
      <c r="H19" s="25"/>
      <c r="I19" s="26"/>
      <c r="J19" s="23"/>
      <c r="K19" s="26"/>
      <c r="L19" s="24"/>
      <c r="M19" s="26"/>
      <c r="N19" s="25"/>
      <c r="O19" s="26"/>
      <c r="P19" s="27"/>
      <c r="Q19" s="28"/>
      <c r="R19" s="29"/>
      <c r="S19" s="23"/>
      <c r="T19" s="26"/>
      <c r="U19" s="24"/>
      <c r="V19" s="26"/>
      <c r="W19" s="25"/>
      <c r="X19" s="26"/>
      <c r="Y19" s="23"/>
      <c r="Z19" s="26"/>
      <c r="AA19" s="24"/>
      <c r="AB19" s="26"/>
      <c r="AC19" s="25"/>
      <c r="AD19" s="26"/>
    </row>
    <row r="20">
      <c r="A20" s="21" t="s">
        <v>41</v>
      </c>
      <c r="B20" s="22" t="s">
        <v>27</v>
      </c>
      <c r="C20" s="22" t="s">
        <v>28</v>
      </c>
      <c r="D20" s="23"/>
      <c r="E20" s="26" t="n">
        <f>349</f>
        <v>349.0</v>
      </c>
      <c r="F20" s="24"/>
      <c r="G20" s="26" t="n">
        <f>1077</f>
        <v>1077.0</v>
      </c>
      <c r="H20" s="25"/>
      <c r="I20" s="26" t="n">
        <f>1426</f>
        <v>1426.0</v>
      </c>
      <c r="J20" s="23"/>
      <c r="K20" s="26" t="n">
        <f>11146648</f>
        <v>1.1146648E7</v>
      </c>
      <c r="L20" s="24"/>
      <c r="M20" s="26" t="n">
        <f>5170320</f>
        <v>5170320.0</v>
      </c>
      <c r="N20" s="25"/>
      <c r="O20" s="26" t="n">
        <f>16316968</f>
        <v>1.6316968E7</v>
      </c>
      <c r="P20" s="27" t="str">
        <f>"－"</f>
        <v>－</v>
      </c>
      <c r="Q20" s="28" t="str">
        <f>"－"</f>
        <v>－</v>
      </c>
      <c r="R20" s="29" t="str">
        <f>"－"</f>
        <v>－</v>
      </c>
      <c r="S20" s="23"/>
      <c r="T20" s="26" t="str">
        <f>"－"</f>
        <v>－</v>
      </c>
      <c r="U20" s="24"/>
      <c r="V20" s="26" t="str">
        <f>"－"</f>
        <v>－</v>
      </c>
      <c r="W20" s="25"/>
      <c r="X20" s="26" t="str">
        <f>"－"</f>
        <v>－</v>
      </c>
      <c r="Y20" s="23"/>
      <c r="Z20" s="26" t="n">
        <f>37775</f>
        <v>37775.0</v>
      </c>
      <c r="AA20" s="24"/>
      <c r="AB20" s="26" t="n">
        <f>43930</f>
        <v>43930.0</v>
      </c>
      <c r="AC20" s="25"/>
      <c r="AD20" s="26" t="n">
        <f>81705</f>
        <v>81705.0</v>
      </c>
    </row>
    <row r="21">
      <c r="A21" s="21" t="s">
        <v>42</v>
      </c>
      <c r="B21" s="22" t="s">
        <v>27</v>
      </c>
      <c r="C21" s="22" t="s">
        <v>28</v>
      </c>
      <c r="D21" s="23"/>
      <c r="E21" s="26" t="n">
        <f>3516</f>
        <v>3516.0</v>
      </c>
      <c r="F21" s="24"/>
      <c r="G21" s="26" t="n">
        <f>4283</f>
        <v>4283.0</v>
      </c>
      <c r="H21" s="25"/>
      <c r="I21" s="26" t="n">
        <f>7799</f>
        <v>7799.0</v>
      </c>
      <c r="J21" s="23"/>
      <c r="K21" s="26" t="n">
        <f>12188980</f>
        <v>1.218898E7</v>
      </c>
      <c r="L21" s="24"/>
      <c r="M21" s="26" t="n">
        <f>13998750</f>
        <v>1.399875E7</v>
      </c>
      <c r="N21" s="25"/>
      <c r="O21" s="26" t="n">
        <f>26187730</f>
        <v>2.618773E7</v>
      </c>
      <c r="P21" s="27" t="str">
        <f>"－"</f>
        <v>－</v>
      </c>
      <c r="Q21" s="28" t="str">
        <f>"－"</f>
        <v>－</v>
      </c>
      <c r="R21" s="29" t="str">
        <f>"－"</f>
        <v>－</v>
      </c>
      <c r="S21" s="23"/>
      <c r="T21" s="26" t="str">
        <f>"－"</f>
        <v>－</v>
      </c>
      <c r="U21" s="24"/>
      <c r="V21" s="26" t="str">
        <f>"－"</f>
        <v>－</v>
      </c>
      <c r="W21" s="25"/>
      <c r="X21" s="26" t="str">
        <f>"－"</f>
        <v>－</v>
      </c>
      <c r="Y21" s="23"/>
      <c r="Z21" s="26" t="n">
        <f>37159</f>
        <v>37159.0</v>
      </c>
      <c r="AA21" s="24"/>
      <c r="AB21" s="26" t="n">
        <f>42148</f>
        <v>42148.0</v>
      </c>
      <c r="AC21" s="25"/>
      <c r="AD21" s="26" t="n">
        <f>79307</f>
        <v>79307.0</v>
      </c>
    </row>
    <row r="22">
      <c r="A22" s="21" t="s">
        <v>43</v>
      </c>
      <c r="B22" s="22" t="s">
        <v>27</v>
      </c>
      <c r="C22" s="22" t="s">
        <v>28</v>
      </c>
      <c r="D22" s="23"/>
      <c r="E22" s="26" t="n">
        <f>2406</f>
        <v>2406.0</v>
      </c>
      <c r="F22" s="24"/>
      <c r="G22" s="26" t="n">
        <f>7109</f>
        <v>7109.0</v>
      </c>
      <c r="H22" s="25"/>
      <c r="I22" s="26" t="n">
        <f>9515</f>
        <v>9515.0</v>
      </c>
      <c r="J22" s="23"/>
      <c r="K22" s="26" t="n">
        <f>7814157</f>
        <v>7814157.0</v>
      </c>
      <c r="L22" s="24"/>
      <c r="M22" s="26" t="n">
        <f>9728096</f>
        <v>9728096.0</v>
      </c>
      <c r="N22" s="25"/>
      <c r="O22" s="26" t="n">
        <f>17542253</f>
        <v>1.7542253E7</v>
      </c>
      <c r="P22" s="27" t="str">
        <f>"－"</f>
        <v>－</v>
      </c>
      <c r="Q22" s="28" t="str">
        <f>"－"</f>
        <v>－</v>
      </c>
      <c r="R22" s="29" t="str">
        <f>"－"</f>
        <v>－</v>
      </c>
      <c r="S22" s="23"/>
      <c r="T22" s="26" t="str">
        <f>"－"</f>
        <v>－</v>
      </c>
      <c r="U22" s="24"/>
      <c r="V22" s="26" t="str">
        <f>"－"</f>
        <v>－</v>
      </c>
      <c r="W22" s="25"/>
      <c r="X22" s="26" t="str">
        <f>"－"</f>
        <v>－</v>
      </c>
      <c r="Y22" s="23"/>
      <c r="Z22" s="26" t="n">
        <f>36913</f>
        <v>36913.0</v>
      </c>
      <c r="AA22" s="24"/>
      <c r="AB22" s="26" t="n">
        <f>43134</f>
        <v>43134.0</v>
      </c>
      <c r="AC22" s="25"/>
      <c r="AD22" s="26" t="n">
        <f>80047</f>
        <v>80047.0</v>
      </c>
    </row>
    <row r="23">
      <c r="A23" s="21" t="s">
        <v>44</v>
      </c>
      <c r="B23" s="22" t="s">
        <v>27</v>
      </c>
      <c r="C23" s="22" t="s">
        <v>28</v>
      </c>
      <c r="D23" s="23"/>
      <c r="E23" s="26" t="n">
        <f>1082</f>
        <v>1082.0</v>
      </c>
      <c r="F23" s="24"/>
      <c r="G23" s="26" t="n">
        <f>3006</f>
        <v>3006.0</v>
      </c>
      <c r="H23" s="25"/>
      <c r="I23" s="26" t="n">
        <f>4088</f>
        <v>4088.0</v>
      </c>
      <c r="J23" s="23"/>
      <c r="K23" s="26" t="n">
        <f>3944770</f>
        <v>3944770.0</v>
      </c>
      <c r="L23" s="24"/>
      <c r="M23" s="26" t="n">
        <f>1820544</f>
        <v>1820544.0</v>
      </c>
      <c r="N23" s="25"/>
      <c r="O23" s="26" t="n">
        <f>5765314</f>
        <v>5765314.0</v>
      </c>
      <c r="P23" s="27" t="str">
        <f>"－"</f>
        <v>－</v>
      </c>
      <c r="Q23" s="28" t="str">
        <f>"－"</f>
        <v>－</v>
      </c>
      <c r="R23" s="29" t="str">
        <f>"－"</f>
        <v>－</v>
      </c>
      <c r="S23" s="23"/>
      <c r="T23" s="26" t="str">
        <f>"－"</f>
        <v>－</v>
      </c>
      <c r="U23" s="24"/>
      <c r="V23" s="26" t="str">
        <f>"－"</f>
        <v>－</v>
      </c>
      <c r="W23" s="25"/>
      <c r="X23" s="26" t="str">
        <f>"－"</f>
        <v>－</v>
      </c>
      <c r="Y23" s="23"/>
      <c r="Z23" s="26" t="n">
        <f>37963</f>
        <v>37963.0</v>
      </c>
      <c r="AA23" s="24"/>
      <c r="AB23" s="26" t="n">
        <f>44139</f>
        <v>44139.0</v>
      </c>
      <c r="AC23" s="25"/>
      <c r="AD23" s="26" t="n">
        <f>82102</f>
        <v>82102.0</v>
      </c>
    </row>
    <row r="24">
      <c r="A24" s="21" t="s">
        <v>45</v>
      </c>
      <c r="B24" s="22" t="s">
        <v>27</v>
      </c>
      <c r="C24" s="22" t="s">
        <v>28</v>
      </c>
      <c r="D24" s="23"/>
      <c r="E24" s="26" t="n">
        <f>682</f>
        <v>682.0</v>
      </c>
      <c r="F24" s="24"/>
      <c r="G24" s="26" t="n">
        <f>581</f>
        <v>581.0</v>
      </c>
      <c r="H24" s="25"/>
      <c r="I24" s="26" t="n">
        <f>1263</f>
        <v>1263.0</v>
      </c>
      <c r="J24" s="23"/>
      <c r="K24" s="26" t="n">
        <f>3367910</f>
        <v>3367910.0</v>
      </c>
      <c r="L24" s="24"/>
      <c r="M24" s="26" t="n">
        <f>2118400</f>
        <v>2118400.0</v>
      </c>
      <c r="N24" s="25"/>
      <c r="O24" s="26" t="n">
        <f>5486310</f>
        <v>5486310.0</v>
      </c>
      <c r="P24" s="27" t="str">
        <f>"－"</f>
        <v>－</v>
      </c>
      <c r="Q24" s="28" t="str">
        <f>"－"</f>
        <v>－</v>
      </c>
      <c r="R24" s="29" t="str">
        <f>"－"</f>
        <v>－</v>
      </c>
      <c r="S24" s="23"/>
      <c r="T24" s="26" t="str">
        <f>"－"</f>
        <v>－</v>
      </c>
      <c r="U24" s="24"/>
      <c r="V24" s="26" t="str">
        <f>"－"</f>
        <v>－</v>
      </c>
      <c r="W24" s="25"/>
      <c r="X24" s="26" t="str">
        <f>"－"</f>
        <v>－</v>
      </c>
      <c r="Y24" s="23"/>
      <c r="Z24" s="26" t="n">
        <f>38330</f>
        <v>38330.0</v>
      </c>
      <c r="AA24" s="24"/>
      <c r="AB24" s="26" t="n">
        <f>44718</f>
        <v>44718.0</v>
      </c>
      <c r="AC24" s="25"/>
      <c r="AD24" s="26" t="n">
        <f>83048</f>
        <v>83048.0</v>
      </c>
    </row>
    <row r="25">
      <c r="A25" s="21" t="s">
        <v>46</v>
      </c>
      <c r="B25" s="22" t="s">
        <v>27</v>
      </c>
      <c r="C25" s="22" t="s">
        <v>28</v>
      </c>
      <c r="D25" s="23"/>
      <c r="E25" s="26"/>
      <c r="F25" s="24"/>
      <c r="G25" s="26"/>
      <c r="H25" s="25"/>
      <c r="I25" s="26"/>
      <c r="J25" s="23"/>
      <c r="K25" s="26"/>
      <c r="L25" s="24"/>
      <c r="M25" s="26"/>
      <c r="N25" s="25"/>
      <c r="O25" s="26"/>
      <c r="P25" s="27"/>
      <c r="Q25" s="28"/>
      <c r="R25" s="29"/>
      <c r="S25" s="23"/>
      <c r="T25" s="26"/>
      <c r="U25" s="24"/>
      <c r="V25" s="26"/>
      <c r="W25" s="25"/>
      <c r="X25" s="26"/>
      <c r="Y25" s="23"/>
      <c r="Z25" s="26"/>
      <c r="AA25" s="24"/>
      <c r="AB25" s="26"/>
      <c r="AC25" s="25"/>
      <c r="AD25" s="26"/>
    </row>
    <row r="26">
      <c r="A26" s="21" t="s">
        <v>47</v>
      </c>
      <c r="B26" s="22" t="s">
        <v>27</v>
      </c>
      <c r="C26" s="22" t="s">
        <v>28</v>
      </c>
      <c r="D26" s="23"/>
      <c r="E26" s="26"/>
      <c r="F26" s="24"/>
      <c r="G26" s="26"/>
      <c r="H26" s="25"/>
      <c r="I26" s="26"/>
      <c r="J26" s="23"/>
      <c r="K26" s="26"/>
      <c r="L26" s="24"/>
      <c r="M26" s="26"/>
      <c r="N26" s="25"/>
      <c r="O26" s="26"/>
      <c r="P26" s="27"/>
      <c r="Q26" s="28"/>
      <c r="R26" s="29"/>
      <c r="S26" s="23"/>
      <c r="T26" s="26"/>
      <c r="U26" s="24"/>
      <c r="V26" s="26"/>
      <c r="W26" s="25"/>
      <c r="X26" s="26"/>
      <c r="Y26" s="23"/>
      <c r="Z26" s="26"/>
      <c r="AA26" s="24"/>
      <c r="AB26" s="26"/>
      <c r="AC26" s="25"/>
      <c r="AD26" s="26"/>
    </row>
    <row r="27">
      <c r="A27" s="21" t="s">
        <v>48</v>
      </c>
      <c r="B27" s="22" t="s">
        <v>27</v>
      </c>
      <c r="C27" s="22" t="s">
        <v>28</v>
      </c>
      <c r="D27" s="23"/>
      <c r="E27" s="26" t="n">
        <f>1144</f>
        <v>1144.0</v>
      </c>
      <c r="F27" s="24"/>
      <c r="G27" s="26" t="n">
        <f>11008</f>
        <v>11008.0</v>
      </c>
      <c r="H27" s="25"/>
      <c r="I27" s="26" t="n">
        <f>12152</f>
        <v>12152.0</v>
      </c>
      <c r="J27" s="23"/>
      <c r="K27" s="26" t="n">
        <f>1311900</f>
        <v>1311900.0</v>
      </c>
      <c r="L27" s="24"/>
      <c r="M27" s="26" t="n">
        <f>5414940</f>
        <v>5414940.0</v>
      </c>
      <c r="N27" s="25"/>
      <c r="O27" s="26" t="n">
        <f>6726840</f>
        <v>6726840.0</v>
      </c>
      <c r="P27" s="27" t="str">
        <f>"－"</f>
        <v>－</v>
      </c>
      <c r="Q27" s="28" t="str">
        <f>"－"</f>
        <v>－</v>
      </c>
      <c r="R27" s="29" t="str">
        <f>"－"</f>
        <v>－</v>
      </c>
      <c r="S27" s="23"/>
      <c r="T27" s="26" t="str">
        <f>"－"</f>
        <v>－</v>
      </c>
      <c r="U27" s="24"/>
      <c r="V27" s="26" t="str">
        <f>"－"</f>
        <v>－</v>
      </c>
      <c r="W27" s="25"/>
      <c r="X27" s="26" t="str">
        <f>"－"</f>
        <v>－</v>
      </c>
      <c r="Y27" s="23"/>
      <c r="Z27" s="26" t="n">
        <f>37474</f>
        <v>37474.0</v>
      </c>
      <c r="AA27" s="24"/>
      <c r="AB27" s="26" t="n">
        <f>42724</f>
        <v>42724.0</v>
      </c>
      <c r="AC27" s="25"/>
      <c r="AD27" s="26" t="n">
        <f>80198</f>
        <v>80198.0</v>
      </c>
    </row>
    <row r="28">
      <c r="A28" s="21" t="s">
        <v>49</v>
      </c>
      <c r="B28" s="22" t="s">
        <v>27</v>
      </c>
      <c r="C28" s="22" t="s">
        <v>28</v>
      </c>
      <c r="D28" s="23"/>
      <c r="E28" s="26" t="n">
        <f>1310</f>
        <v>1310.0</v>
      </c>
      <c r="F28" s="24"/>
      <c r="G28" s="26" t="n">
        <f>326</f>
        <v>326.0</v>
      </c>
      <c r="H28" s="25"/>
      <c r="I28" s="26" t="n">
        <f>1636</f>
        <v>1636.0</v>
      </c>
      <c r="J28" s="23"/>
      <c r="K28" s="26" t="n">
        <f>12290850</f>
        <v>1.229085E7</v>
      </c>
      <c r="L28" s="24"/>
      <c r="M28" s="26" t="n">
        <f>2765152</f>
        <v>2765152.0</v>
      </c>
      <c r="N28" s="25"/>
      <c r="O28" s="26" t="n">
        <f>15056002</f>
        <v>1.5056002E7</v>
      </c>
      <c r="P28" s="27" t="str">
        <f>"－"</f>
        <v>－</v>
      </c>
      <c r="Q28" s="28" t="str">
        <f>"－"</f>
        <v>－</v>
      </c>
      <c r="R28" s="29" t="str">
        <f>"－"</f>
        <v>－</v>
      </c>
      <c r="S28" s="23"/>
      <c r="T28" s="26" t="str">
        <f>"－"</f>
        <v>－</v>
      </c>
      <c r="U28" s="24"/>
      <c r="V28" s="26" t="str">
        <f>"－"</f>
        <v>－</v>
      </c>
      <c r="W28" s="25"/>
      <c r="X28" s="26" t="str">
        <f>"－"</f>
        <v>－</v>
      </c>
      <c r="Y28" s="23"/>
      <c r="Z28" s="26" t="n">
        <f>38587</f>
        <v>38587.0</v>
      </c>
      <c r="AA28" s="24"/>
      <c r="AB28" s="26" t="n">
        <f>43004</f>
        <v>43004.0</v>
      </c>
      <c r="AC28" s="25"/>
      <c r="AD28" s="26" t="n">
        <f>81591</f>
        <v>81591.0</v>
      </c>
    </row>
    <row r="29">
      <c r="A29" s="21" t="s">
        <v>50</v>
      </c>
      <c r="B29" s="22" t="s">
        <v>27</v>
      </c>
      <c r="C29" s="22" t="s">
        <v>28</v>
      </c>
      <c r="D29" s="23"/>
      <c r="E29" s="26" t="n">
        <f>645</f>
        <v>645.0</v>
      </c>
      <c r="F29" s="24"/>
      <c r="G29" s="26" t="n">
        <f>3260</f>
        <v>3260.0</v>
      </c>
      <c r="H29" s="25"/>
      <c r="I29" s="26" t="n">
        <f>3905</f>
        <v>3905.0</v>
      </c>
      <c r="J29" s="23"/>
      <c r="K29" s="26" t="n">
        <f>8977980</f>
        <v>8977980.0</v>
      </c>
      <c r="L29" s="24"/>
      <c r="M29" s="26" t="n">
        <f>2767000</f>
        <v>2767000.0</v>
      </c>
      <c r="N29" s="25"/>
      <c r="O29" s="26" t="n">
        <f>11744980</f>
        <v>1.174498E7</v>
      </c>
      <c r="P29" s="27" t="str">
        <f>"－"</f>
        <v>－</v>
      </c>
      <c r="Q29" s="28" t="str">
        <f>"－"</f>
        <v>－</v>
      </c>
      <c r="R29" s="29" t="str">
        <f>"－"</f>
        <v>－</v>
      </c>
      <c r="S29" s="23"/>
      <c r="T29" s="26" t="str">
        <f>"－"</f>
        <v>－</v>
      </c>
      <c r="U29" s="24"/>
      <c r="V29" s="26" t="str">
        <f>"－"</f>
        <v>－</v>
      </c>
      <c r="W29" s="25"/>
      <c r="X29" s="26" t="str">
        <f>"－"</f>
        <v>－</v>
      </c>
      <c r="Y29" s="23"/>
      <c r="Z29" s="26" t="n">
        <f>39230</f>
        <v>39230.0</v>
      </c>
      <c r="AA29" s="24"/>
      <c r="AB29" s="26" t="n">
        <f>46264</f>
        <v>46264.0</v>
      </c>
      <c r="AC29" s="25"/>
      <c r="AD29" s="26" t="n">
        <f>85494</f>
        <v>85494.0</v>
      </c>
    </row>
    <row r="30">
      <c r="A30" s="21" t="s">
        <v>51</v>
      </c>
      <c r="B30" s="22" t="s">
        <v>27</v>
      </c>
      <c r="C30" s="22" t="s">
        <v>28</v>
      </c>
      <c r="D30" s="23"/>
      <c r="E30" s="26" t="n">
        <f>2190</f>
        <v>2190.0</v>
      </c>
      <c r="F30" s="24"/>
      <c r="G30" s="26" t="n">
        <f>6534</f>
        <v>6534.0</v>
      </c>
      <c r="H30" s="25"/>
      <c r="I30" s="26" t="n">
        <f>8724</f>
        <v>8724.0</v>
      </c>
      <c r="J30" s="23"/>
      <c r="K30" s="26" t="n">
        <f>21878530</f>
        <v>2.187853E7</v>
      </c>
      <c r="L30" s="24"/>
      <c r="M30" s="26" t="n">
        <f>11748676</f>
        <v>1.1748676E7</v>
      </c>
      <c r="N30" s="25"/>
      <c r="O30" s="26" t="n">
        <f>33627206</f>
        <v>3.3627206E7</v>
      </c>
      <c r="P30" s="27" t="str">
        <f>"－"</f>
        <v>－</v>
      </c>
      <c r="Q30" s="28" t="str">
        <f>"－"</f>
        <v>－</v>
      </c>
      <c r="R30" s="29" t="str">
        <f>"－"</f>
        <v>－</v>
      </c>
      <c r="S30" s="23"/>
      <c r="T30" s="26" t="str">
        <f>"－"</f>
        <v>－</v>
      </c>
      <c r="U30" s="24"/>
      <c r="V30" s="26" t="str">
        <f>"－"</f>
        <v>－</v>
      </c>
      <c r="W30" s="25"/>
      <c r="X30" s="26" t="str">
        <f>"－"</f>
        <v>－</v>
      </c>
      <c r="Y30" s="23"/>
      <c r="Z30" s="26" t="n">
        <f>40620</f>
        <v>40620.0</v>
      </c>
      <c r="AA30" s="24"/>
      <c r="AB30" s="26" t="n">
        <f>44483</f>
        <v>44483.0</v>
      </c>
      <c r="AC30" s="25"/>
      <c r="AD30" s="26" t="n">
        <f>85103</f>
        <v>85103.0</v>
      </c>
    </row>
    <row r="31">
      <c r="A31" s="21" t="s">
        <v>52</v>
      </c>
      <c r="B31" s="22" t="s">
        <v>27</v>
      </c>
      <c r="C31" s="22" t="s">
        <v>28</v>
      </c>
      <c r="D31" s="23"/>
      <c r="E31" s="26" t="n">
        <f>670</f>
        <v>670.0</v>
      </c>
      <c r="F31" s="24"/>
      <c r="G31" s="26" t="n">
        <f>891</f>
        <v>891.0</v>
      </c>
      <c r="H31" s="25"/>
      <c r="I31" s="26" t="n">
        <f>1561</f>
        <v>1561.0</v>
      </c>
      <c r="J31" s="23"/>
      <c r="K31" s="26" t="n">
        <f>13928500</f>
        <v>1.39285E7</v>
      </c>
      <c r="L31" s="24"/>
      <c r="M31" s="26" t="n">
        <f>2109620</f>
        <v>2109620.0</v>
      </c>
      <c r="N31" s="25"/>
      <c r="O31" s="26" t="n">
        <f>16038120</f>
        <v>1.603812E7</v>
      </c>
      <c r="P31" s="27" t="str">
        <f>"－"</f>
        <v>－</v>
      </c>
      <c r="Q31" s="28" t="str">
        <f>"－"</f>
        <v>－</v>
      </c>
      <c r="R31" s="29" t="str">
        <f>"－"</f>
        <v>－</v>
      </c>
      <c r="S31" s="23"/>
      <c r="T31" s="26" t="str">
        <f>"－"</f>
        <v>－</v>
      </c>
      <c r="U31" s="24"/>
      <c r="V31" s="26" t="str">
        <f>"－"</f>
        <v>－</v>
      </c>
      <c r="W31" s="25"/>
      <c r="X31" s="26" t="str">
        <f>"－"</f>
        <v>－</v>
      </c>
      <c r="Y31" s="23"/>
      <c r="Z31" s="26" t="n">
        <f>40890</f>
        <v>40890.0</v>
      </c>
      <c r="AA31" s="24"/>
      <c r="AB31" s="26" t="n">
        <f>44375</f>
        <v>44375.0</v>
      </c>
      <c r="AC31" s="25"/>
      <c r="AD31" s="26" t="n">
        <f>85265</f>
        <v>85265.0</v>
      </c>
    </row>
    <row r="32">
      <c r="A32" s="21" t="s">
        <v>53</v>
      </c>
      <c r="B32" s="22" t="s">
        <v>27</v>
      </c>
      <c r="C32" s="22" t="s">
        <v>28</v>
      </c>
      <c r="D32" s="23"/>
      <c r="E32" s="26"/>
      <c r="F32" s="24"/>
      <c r="G32" s="26"/>
      <c r="H32" s="25"/>
      <c r="I32" s="26"/>
      <c r="J32" s="23"/>
      <c r="K32" s="26"/>
      <c r="L32" s="24"/>
      <c r="M32" s="26"/>
      <c r="N32" s="25"/>
      <c r="O32" s="26"/>
      <c r="P32" s="27"/>
      <c r="Q32" s="28"/>
      <c r="R32" s="29"/>
      <c r="S32" s="23"/>
      <c r="T32" s="26"/>
      <c r="U32" s="24"/>
      <c r="V32" s="26"/>
      <c r="W32" s="25"/>
      <c r="X32" s="26"/>
      <c r="Y32" s="23"/>
      <c r="Z32" s="26"/>
      <c r="AA32" s="24"/>
      <c r="AB32" s="26"/>
      <c r="AC32" s="25"/>
      <c r="AD32" s="26"/>
    </row>
    <row r="33">
      <c r="A33" s="21" t="s">
        <v>54</v>
      </c>
      <c r="B33" s="22" t="s">
        <v>27</v>
      </c>
      <c r="C33" s="22" t="s">
        <v>28</v>
      </c>
      <c r="D33" s="23"/>
      <c r="E33" s="26"/>
      <c r="F33" s="24"/>
      <c r="G33" s="26"/>
      <c r="H33" s="25"/>
      <c r="I33" s="26"/>
      <c r="J33" s="23"/>
      <c r="K33" s="26"/>
      <c r="L33" s="24"/>
      <c r="M33" s="26"/>
      <c r="N33" s="25"/>
      <c r="O33" s="26"/>
      <c r="P33" s="27"/>
      <c r="Q33" s="28"/>
      <c r="R33" s="29"/>
      <c r="S33" s="23"/>
      <c r="T33" s="26"/>
      <c r="U33" s="24"/>
      <c r="V33" s="26"/>
      <c r="W33" s="25"/>
      <c r="X33" s="26"/>
      <c r="Y33" s="23"/>
      <c r="Z33" s="26"/>
      <c r="AA33" s="24"/>
      <c r="AB33" s="26"/>
      <c r="AC33" s="25"/>
      <c r="AD33" s="26"/>
    </row>
    <row r="34">
      <c r="A34" s="21" t="s">
        <v>55</v>
      </c>
      <c r="B34" s="22" t="s">
        <v>27</v>
      </c>
      <c r="C34" s="22" t="s">
        <v>28</v>
      </c>
      <c r="D34" s="23" t="s">
        <v>35</v>
      </c>
      <c r="E34" s="26" t="n">
        <f>160</f>
        <v>160.0</v>
      </c>
      <c r="F34" s="24"/>
      <c r="G34" s="26" t="n">
        <f>6228</f>
        <v>6228.0</v>
      </c>
      <c r="H34" s="25"/>
      <c r="I34" s="26" t="n">
        <f>6388</f>
        <v>6388.0</v>
      </c>
      <c r="J34" s="23"/>
      <c r="K34" s="26" t="n">
        <f>2708000</f>
        <v>2708000.0</v>
      </c>
      <c r="L34" s="24" t="s">
        <v>37</v>
      </c>
      <c r="M34" s="26" t="n">
        <f>80492318</f>
        <v>8.0492318E7</v>
      </c>
      <c r="N34" s="25" t="s">
        <v>37</v>
      </c>
      <c r="O34" s="26" t="n">
        <f>83200318</f>
        <v>8.3200318E7</v>
      </c>
      <c r="P34" s="27" t="str">
        <f>"－"</f>
        <v>－</v>
      </c>
      <c r="Q34" s="28" t="str">
        <f>"－"</f>
        <v>－</v>
      </c>
      <c r="R34" s="29" t="str">
        <f>"－"</f>
        <v>－</v>
      </c>
      <c r="S34" s="23"/>
      <c r="T34" s="26" t="str">
        <f>"－"</f>
        <v>－</v>
      </c>
      <c r="U34" s="24"/>
      <c r="V34" s="26" t="str">
        <f>"－"</f>
        <v>－</v>
      </c>
      <c r="W34" s="25"/>
      <c r="X34" s="26" t="str">
        <f>"－"</f>
        <v>－</v>
      </c>
      <c r="Y34" s="23"/>
      <c r="Z34" s="26" t="n">
        <f>41047</f>
        <v>41047.0</v>
      </c>
      <c r="AA34" s="24"/>
      <c r="AB34" s="26" t="n">
        <f>46601</f>
        <v>46601.0</v>
      </c>
      <c r="AC34" s="25"/>
      <c r="AD34" s="26" t="n">
        <f>87648</f>
        <v>87648.0</v>
      </c>
    </row>
    <row r="35">
      <c r="A35" s="21" t="s">
        <v>56</v>
      </c>
      <c r="B35" s="22" t="s">
        <v>27</v>
      </c>
      <c r="C35" s="22" t="s">
        <v>28</v>
      </c>
      <c r="D35" s="23"/>
      <c r="E35" s="26" t="n">
        <f>198</f>
        <v>198.0</v>
      </c>
      <c r="F35" s="24"/>
      <c r="G35" s="26" t="n">
        <f>4387</f>
        <v>4387.0</v>
      </c>
      <c r="H35" s="25"/>
      <c r="I35" s="26" t="n">
        <f>4585</f>
        <v>4585.0</v>
      </c>
      <c r="J35" s="23"/>
      <c r="K35" s="26" t="n">
        <f>855270</f>
        <v>855270.0</v>
      </c>
      <c r="L35" s="24"/>
      <c r="M35" s="26" t="n">
        <f>2621600</f>
        <v>2621600.0</v>
      </c>
      <c r="N35" s="25"/>
      <c r="O35" s="26" t="n">
        <f>3476870</f>
        <v>3476870.0</v>
      </c>
      <c r="P35" s="27" t="str">
        <f>"－"</f>
        <v>－</v>
      </c>
      <c r="Q35" s="28" t="str">
        <f>"－"</f>
        <v>－</v>
      </c>
      <c r="R35" s="29" t="str">
        <f>"－"</f>
        <v>－</v>
      </c>
      <c r="S35" s="23"/>
      <c r="T35" s="26" t="str">
        <f>"－"</f>
        <v>－</v>
      </c>
      <c r="U35" s="24"/>
      <c r="V35" s="26" t="str">
        <f>"－"</f>
        <v>－</v>
      </c>
      <c r="W35" s="25"/>
      <c r="X35" s="26" t="str">
        <f>"－"</f>
        <v>－</v>
      </c>
      <c r="Y35" s="23"/>
      <c r="Z35" s="26" t="n">
        <f>41145</f>
        <v>41145.0</v>
      </c>
      <c r="AA35" s="24"/>
      <c r="AB35" s="26" t="n">
        <f>46855</f>
        <v>46855.0</v>
      </c>
      <c r="AC35" s="25"/>
      <c r="AD35" s="26" t="n">
        <f>88000</f>
        <v>88000.0</v>
      </c>
    </row>
    <row r="36">
      <c r="A36" s="21" t="s">
        <v>57</v>
      </c>
      <c r="B36" s="22" t="s">
        <v>27</v>
      </c>
      <c r="C36" s="22" t="s">
        <v>28</v>
      </c>
      <c r="D36" s="23"/>
      <c r="E36" s="26" t="n">
        <f>373</f>
        <v>373.0</v>
      </c>
      <c r="F36" s="24" t="s">
        <v>35</v>
      </c>
      <c r="G36" s="26" t="n">
        <f>8</f>
        <v>8.0</v>
      </c>
      <c r="H36" s="25"/>
      <c r="I36" s="26" t="n">
        <f>381</f>
        <v>381.0</v>
      </c>
      <c r="J36" s="23"/>
      <c r="K36" s="26" t="n">
        <f>4624910</f>
        <v>4624910.0</v>
      </c>
      <c r="L36" s="24" t="s">
        <v>35</v>
      </c>
      <c r="M36" s="26" t="n">
        <f>9120</f>
        <v>9120.0</v>
      </c>
      <c r="N36" s="25"/>
      <c r="O36" s="26" t="n">
        <f>4634030</f>
        <v>4634030.0</v>
      </c>
      <c r="P36" s="27" t="str">
        <f>"－"</f>
        <v>－</v>
      </c>
      <c r="Q36" s="28" t="str">
        <f>"－"</f>
        <v>－</v>
      </c>
      <c r="R36" s="29" t="str">
        <f>"－"</f>
        <v>－</v>
      </c>
      <c r="S36" s="23"/>
      <c r="T36" s="26" t="str">
        <f>"－"</f>
        <v>－</v>
      </c>
      <c r="U36" s="24"/>
      <c r="V36" s="26" t="str">
        <f>"－"</f>
        <v>－</v>
      </c>
      <c r="W36" s="25"/>
      <c r="X36" s="26" t="str">
        <f>"－"</f>
        <v>－</v>
      </c>
      <c r="Y36" s="23"/>
      <c r="Z36" s="26" t="n">
        <f>41497</f>
        <v>41497.0</v>
      </c>
      <c r="AA36" s="24"/>
      <c r="AB36" s="26" t="n">
        <f>46855</f>
        <v>46855.0</v>
      </c>
      <c r="AC36" s="25"/>
      <c r="AD36" s="26" t="n">
        <f>88352</f>
        <v>88352.0</v>
      </c>
    </row>
    <row r="37">
      <c r="A37" s="21" t="s">
        <v>58</v>
      </c>
      <c r="B37" s="22" t="s">
        <v>27</v>
      </c>
      <c r="C37" s="22" t="s">
        <v>28</v>
      </c>
      <c r="D37" s="23"/>
      <c r="E37" s="26" t="n">
        <f>218</f>
        <v>218.0</v>
      </c>
      <c r="F37" s="24"/>
      <c r="G37" s="26" t="n">
        <f>102</f>
        <v>102.0</v>
      </c>
      <c r="H37" s="25" t="s">
        <v>35</v>
      </c>
      <c r="I37" s="26" t="n">
        <f>320</f>
        <v>320.0</v>
      </c>
      <c r="J37" s="23"/>
      <c r="K37" s="26" t="n">
        <f>6782960</f>
        <v>6782960.0</v>
      </c>
      <c r="L37" s="24"/>
      <c r="M37" s="26" t="n">
        <f>4662300</f>
        <v>4662300.0</v>
      </c>
      <c r="N37" s="25"/>
      <c r="O37" s="26" t="n">
        <f>11445260</f>
        <v>1.144526E7</v>
      </c>
      <c r="P37" s="27" t="str">
        <f>"－"</f>
        <v>－</v>
      </c>
      <c r="Q37" s="28" t="str">
        <f>"－"</f>
        <v>－</v>
      </c>
      <c r="R37" s="29" t="str">
        <f>"－"</f>
        <v>－</v>
      </c>
      <c r="S37" s="23"/>
      <c r="T37" s="26" t="str">
        <f>"－"</f>
        <v>－</v>
      </c>
      <c r="U37" s="24"/>
      <c r="V37" s="26" t="str">
        <f>"－"</f>
        <v>－</v>
      </c>
      <c r="W37" s="25"/>
      <c r="X37" s="26" t="str">
        <f>"－"</f>
        <v>－</v>
      </c>
      <c r="Y37" s="23"/>
      <c r="Z37" s="26" t="n">
        <f>41566</f>
        <v>41566.0</v>
      </c>
      <c r="AA37" s="24" t="s">
        <v>37</v>
      </c>
      <c r="AB37" s="26" t="n">
        <f>46908</f>
        <v>46908.0</v>
      </c>
      <c r="AC37" s="25" t="s">
        <v>37</v>
      </c>
      <c r="AD37" s="26" t="n">
        <f>88474</f>
        <v>88474.0</v>
      </c>
    </row>
    <row r="38">
      <c r="A38" s="21" t="s">
        <v>59</v>
      </c>
      <c r="B38" s="22" t="s">
        <v>27</v>
      </c>
      <c r="C38" s="22" t="s">
        <v>28</v>
      </c>
      <c r="D38" s="23"/>
      <c r="E38" s="26" t="n">
        <f>1021</f>
        <v>1021.0</v>
      </c>
      <c r="F38" s="24"/>
      <c r="G38" s="26" t="n">
        <f>10132</f>
        <v>10132.0</v>
      </c>
      <c r="H38" s="25"/>
      <c r="I38" s="26" t="n">
        <f>11153</f>
        <v>11153.0</v>
      </c>
      <c r="J38" s="23" t="s">
        <v>35</v>
      </c>
      <c r="K38" s="26" t="n">
        <f>813950</f>
        <v>813950.0</v>
      </c>
      <c r="L38" s="24"/>
      <c r="M38" s="26" t="n">
        <f>945110</f>
        <v>945110.0</v>
      </c>
      <c r="N38" s="25" t="s">
        <v>35</v>
      </c>
      <c r="O38" s="26" t="n">
        <f>1759060</f>
        <v>1759060.0</v>
      </c>
      <c r="P38" s="27" t="str">
        <f>"－"</f>
        <v>－</v>
      </c>
      <c r="Q38" s="28" t="str">
        <f>"－"</f>
        <v>－</v>
      </c>
      <c r="R38" s="29" t="str">
        <f>"－"</f>
        <v>－</v>
      </c>
      <c r="S38" s="23"/>
      <c r="T38" s="26" t="str">
        <f>"－"</f>
        <v>－</v>
      </c>
      <c r="U38" s="24"/>
      <c r="V38" s="26" t="str">
        <f>"－"</f>
        <v>－</v>
      </c>
      <c r="W38" s="25"/>
      <c r="X38" s="26" t="str">
        <f>"－"</f>
        <v>－</v>
      </c>
      <c r="Y38" s="23" t="s">
        <v>37</v>
      </c>
      <c r="Z38" s="26" t="n">
        <f>42087</f>
        <v>42087.0</v>
      </c>
      <c r="AA38" s="24"/>
      <c r="AB38" s="26" t="n">
        <f>37050</f>
        <v>37050.0</v>
      </c>
      <c r="AC38" s="25"/>
      <c r="AD38" s="26" t="n">
        <f>79137</f>
        <v>79137.0</v>
      </c>
    </row>
    <row r="39">
      <c r="A39" s="21" t="s">
        <v>60</v>
      </c>
      <c r="B39" s="22" t="s">
        <v>27</v>
      </c>
      <c r="C39" s="22" t="s">
        <v>28</v>
      </c>
      <c r="D39" s="23"/>
      <c r="E39" s="26"/>
      <c r="F39" s="24"/>
      <c r="G39" s="26"/>
      <c r="H39" s="25"/>
      <c r="I39" s="26"/>
      <c r="J39" s="23"/>
      <c r="K39" s="26"/>
      <c r="L39" s="24"/>
      <c r="M39" s="26"/>
      <c r="N39" s="25"/>
      <c r="O39" s="26"/>
      <c r="P39" s="27"/>
      <c r="Q39" s="28"/>
      <c r="R39" s="29"/>
      <c r="S39" s="23"/>
      <c r="T39" s="26"/>
      <c r="U39" s="24"/>
      <c r="V39" s="26"/>
      <c r="W39" s="25"/>
      <c r="X39" s="26"/>
      <c r="Y39" s="23"/>
      <c r="Z39" s="26"/>
      <c r="AA39" s="24"/>
      <c r="AB39" s="26"/>
      <c r="AC39" s="25"/>
      <c r="AD39" s="26"/>
    </row>
  </sheetData>
  <mergeCells count="38"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Y9:Z9"/>
    <mergeCell ref="L9:M9"/>
    <mergeCell ref="N9:O9"/>
    <mergeCell ref="S9:T9"/>
    <mergeCell ref="U9:V9"/>
    <mergeCell ref="W9:X9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BO_DM0034</vt:lpstr>
      <vt:lpstr>BO_DM0034!Print_Titles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2018-10-23T05:34:15Z</dcterms:created>
  <cp:lastPrinted>2018-10-23T05:37:37Z</cp:lastPrinted>
  <dcterms:modified xsi:type="dcterms:W3CDTF">2020-09-04T01:52:43Z</dcterms:modified>
</cp:coreProperties>
</file>