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M0034" sheetId="1" r:id="rId1"/>
  </sheets>
  <definedNames>
    <definedName name="_xlnm.Print_Titles" localSheetId="0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<sst xmlns="http://schemas.openxmlformats.org/spreadsheetml/2006/main" count="170" uniqueCount="62">
  <si>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sb="0" eb="1">
      <t>ユウ</t>
    </rPh>
    <rPh sb="2" eb="3">
      <t>アタイ</t>
    </rPh>
    <rPh sb="4" eb="5">
      <t>アカシ</t>
    </rPh>
    <rPh sb="6" eb="7">
      <t>ケン</t>
    </rPh>
    <rPh sb="18" eb="19">
      <t>トリ</t>
    </rPh>
    <rPh sb="20" eb="21">
      <t>イン</t>
    </rPh>
    <rPh sb="22" eb="23">
      <t>トリ</t>
    </rPh>
    <rPh sb="24" eb="25">
      <t>イン</t>
    </rPh>
    <rPh sb="26" eb="27">
      <t>ジョウ</t>
    </rPh>
    <rPh sb="28" eb="29">
      <t>キョウ</t>
    </rPh>
    <rPh sb="30" eb="31">
      <t>ヒ</t>
    </rPh>
    <rPh sb="31" eb="32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</si>
  <si>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</si>
  <si>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</si>
  <si>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</si>
  <si>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</si>
  <si>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sb="0" eb="2">
      <t>ショウヒン</t>
    </rPh>
    <rPh sb="2" eb="3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</si>
  <si>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</si>
  <si>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</si>
  <si>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</si>
  <si>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</si>
  <si>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</si>
  <si>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</si>
  <si>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</si>
  <si>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</si>
  <si>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</si>
  <si>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sb="0" eb="2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</si>
  <si>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</si>
  <si>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</si>
  <si>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</si>
  <si>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</si>
  <si>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</si>
  <si>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</si>
  <si>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</si>
  <si>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</si>
  <si>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</si>
  <si>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</si>
  <si>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7.1</t>
  </si>
  <si>
    <t>有価証券オプション</t>
  </si>
  <si>
    <t>Securities Options</t>
  </si>
  <si>
    <t>●</t>
  </si>
  <si>
    <t>◎●</t>
  </si>
  <si>
    <t>2</t>
  </si>
  <si>
    <t>3</t>
  </si>
  <si>
    <t>4</t>
  </si>
  <si>
    <t>5</t>
  </si>
  <si>
    <t>6</t>
  </si>
  <si>
    <t>7</t>
  </si>
  <si>
    <t>◎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</si>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</sst>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numFmtId="0" fontId="0" fillId="0" borderId="0"/>
    <xf numFmtId="0" fontId="2" fillId="0" borderId="0">
      <alignment vertical="center"/>
    </xf>
    <xf numFmtId="9" fontId="9" fillId="0" borderId="0" applyFont="0" applyFill="0" applyBorder="0" applyAlignment="0" applyProtection="0"/>
    <xf numFmtId="0" fontId="12" fillId="0" borderId="0"/>
    <xf numFmtId="0" fontId="7" fillId="0" borderId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20" borderId="0" applyNumberFormat="0" applyBorder="0" applyAlignment="0" applyProtection="0"/>
    <xf numFmtId="0" fontId="17" fillId="0" borderId="0">
      <alignment horizontal="center" wrapText="1"/>
      <protection locked="0"/>
    </xf>
    <xf numFmtId="0" fontId="18" fillId="0" borderId="0"/>
    <xf numFmtId="0" fontId="19" fillId="4" borderId="0" applyNumberFormat="0" applyBorder="0" applyAlignment="0" applyProtection="0"/>
    <xf numFmtId="0" fontId="20" fillId="0" borderId="0" applyNumberFormat="0" applyFill="0" applyBorder="0" applyAlignment="0" applyProtection="0"/>
    <xf numFmtId="176" fontId="13" fillId="0" borderId="0" applyFill="0" applyBorder="0" applyAlignment="0"/>
    <xf numFmtId="177" fontId="8" fillId="0" borderId="0" applyFill="0" applyBorder="0" applyAlignment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1" fillId="21" borderId="34" applyNumberFormat="0" applyAlignment="0" applyProtection="0"/>
    <xf numFmtId="0" fontId="22" fillId="22" borderId="35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5" borderId="0" applyNumberFormat="0" applyBorder="0" applyAlignment="0" applyProtection="0"/>
    <xf numFmtId="38" fontId="28" fillId="23" borderId="0" applyNumberFormat="0" applyBorder="0" applyAlignment="0" applyProtection="0"/>
    <xf numFmtId="0" fontId="29" fillId="24" borderId="0"/>
    <xf numFmtId="0" fontId="30" fillId="0" borderId="36" applyNumberFormat="0" applyAlignment="0" applyProtection="0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1" fillId="0" borderId="37" applyNumberFormat="0" applyFill="0" applyAlignment="0" applyProtection="0"/>
    <xf numFmtId="0" fontId="32" fillId="0" borderId="38" applyNumberFormat="0" applyFill="0" applyAlignment="0" applyProtection="0"/>
    <xf numFmtId="0" fontId="33" fillId="0" borderId="39" applyNumberFormat="0" applyFill="0" applyAlignment="0" applyProtection="0"/>
    <xf numFmtId="0" fontId="33" fillId="0" borderId="0" applyNumberFormat="0" applyFill="0" applyBorder="0" applyAlignment="0" applyProtection="0"/>
    <xf numFmtId="0" fontId="8" fillId="0" borderId="0" applyBorder="0"/>
    <xf numFmtId="0" fontId="34" fillId="8" borderId="34" applyNumberFormat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10" fontId="28" fillId="25" borderId="40" applyNumberFormat="0" applyBorder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34" fillId="8" borderId="34" applyNumberFormat="0" applyAlignment="0" applyProtection="0"/>
    <xf numFmtId="0" fontId="8" fillId="0" borderId="0"/>
    <xf numFmtId="0" fontId="35" fillId="0" borderId="41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6" borderId="0" applyNumberFormat="0" applyBorder="0" applyAlignment="0" applyProtection="0"/>
    <xf numFmtId="37" fontId="38" fillId="0" borderId="0"/>
    <xf numFmtId="182" fontId="39" fillId="0" borderId="0"/>
    <xf numFmtId="183" fontId="8" fillId="0" borderId="0"/>
    <xf numFmtId="183" fontId="8" fillId="0" borderId="0"/>
    <xf numFmtId="182" fontId="39" fillId="0" borderId="0"/>
    <xf numFmtId="0" fontId="24" fillId="0" borderId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24" fillId="27" borderId="42" applyNumberFormat="0" applyFon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0" fontId="40" fillId="21" borderId="43" applyNumberFormat="0" applyAlignment="0" applyProtection="0"/>
    <xf numFmtId="14" fontId="17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44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8" fillId="0" borderId="45" applyNumberFormat="0" applyFill="0" applyAlignment="0" applyProtection="0"/>
    <xf numFmtId="0" fontId="49" fillId="0" borderId="0" applyNumberFormat="0" applyFill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2" fillId="22" borderId="35" applyNumberFormat="0" applyAlignment="0" applyProtection="0">
      <alignment vertical="center"/>
    </xf>
    <xf numFmtId="0" fontId="53" fillId="0" borderId="0"/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" fillId="2" borderId="1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14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8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7" fillId="27" borderId="42" applyNumberFormat="0" applyFont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1" fillId="21" borderId="34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8" borderId="46" applyNumberFormat="0" applyFill="0" applyBorder="0" applyProtection="0"/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0" fontId="73" fillId="21" borderId="43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7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6" fillId="8" borderId="34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0" borderId="0"/>
    <xf numFmtId="0" fontId="64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79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80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1" fillId="0" borderId="0">
      <alignment vertical="center"/>
    </xf>
    <xf numFmtId="0" fontId="66" fillId="0" borderId="0"/>
    <xf numFmtId="0" fontId="81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2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9" fillId="0" borderId="0"/>
    <xf numFmtId="0" fontId="66" fillId="0" borderId="0">
      <alignment vertical="center"/>
    </xf>
    <xf numFmtId="0" fontId="66" fillId="0" borderId="0">
      <alignment vertical="center"/>
    </xf>
    <xf numFmtId="0" fontId="9" fillId="0" borderId="0"/>
    <xf numFmtId="0" fontId="64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8" fillId="0" borderId="0">
      <alignment vertical="center"/>
    </xf>
    <xf numFmtId="0" fontId="83" fillId="0" borderId="0"/>
    <xf numFmtId="0" fontId="66" fillId="0" borderId="0"/>
    <xf numFmtId="0" fontId="8" fillId="0" borderId="0">
      <alignment vertical="center"/>
    </xf>
    <xf numFmtId="0" fontId="66" fillId="0" borderId="0">
      <alignment vertical="center"/>
    </xf>
    <xf numFmtId="0" fontId="66" fillId="0" borderId="0"/>
    <xf numFmtId="0" fontId="7" fillId="0" borderId="0">
      <alignment vertical="center"/>
    </xf>
    <xf numFmtId="0" fontId="8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9" fillId="0" borderId="0"/>
    <xf numFmtId="0" fontId="79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4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66" fillId="0" borderId="0"/>
    <xf numFmtId="0" fontId="66" fillId="0" borderId="0"/>
    <xf numFmtId="0" fontId="7" fillId="0" borderId="0"/>
    <xf numFmtId="0" fontId="7" fillId="0" borderId="0">
      <alignment vertical="center"/>
    </xf>
    <xf numFmtId="0" fontId="64" fillId="0" borderId="0">
      <alignment vertical="center"/>
    </xf>
    <xf numFmtId="0" fontId="83" fillId="0" borderId="0"/>
    <xf numFmtId="0" fontId="64" fillId="0" borderId="0">
      <alignment vertical="center"/>
    </xf>
    <xf numFmtId="0" fontId="7" fillId="0" borderId="0"/>
    <xf numFmtId="0" fontId="7" fillId="0" borderId="0">
      <alignment vertical="center"/>
    </xf>
    <xf numFmtId="0" fontId="83" fillId="0" borderId="0"/>
    <xf numFmtId="0" fontId="7" fillId="0" borderId="0"/>
    <xf numFmtId="0" fontId="7" fillId="0" borderId="0"/>
    <xf numFmtId="0" fontId="8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3" fillId="0" borderId="0"/>
    <xf numFmtId="0" fontId="83" fillId="0" borderId="0"/>
    <xf numFmtId="0" fontId="7" fillId="0" borderId="0"/>
    <xf numFmtId="0" fontId="83" fillId="0" borderId="0"/>
    <xf numFmtId="0" fontId="1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4" fillId="0" borderId="0">
      <alignment vertical="center"/>
    </xf>
    <xf numFmtId="0" fontId="7" fillId="0" borderId="0"/>
    <xf numFmtId="0" fontId="7" fillId="0" borderId="0"/>
    <xf numFmtId="0" fontId="66" fillId="0" borderId="0"/>
    <xf numFmtId="0" fontId="66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2" fillId="0" borderId="0">
      <alignment vertical="center"/>
    </xf>
    <xf numFmtId="0" fontId="7" fillId="0" borderId="0"/>
    <xf numFmtId="0" fontId="7" fillId="0" borderId="0">
      <alignment vertical="center"/>
    </xf>
    <xf numFmtId="0" fontId="8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7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0" borderId="0"/>
    <xf numFmtId="0" fontId="87" fillId="0" borderId="0">
      <alignment vertical="center"/>
    </xf>
    <xf numFmtId="0" fontId="9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/>
    <xf numFmtId="0" fontId="89" fillId="0" borderId="0"/>
    <xf numFmtId="0" fontId="53" fillId="0" borderId="0"/>
    <xf numFmtId="49" fontId="77" fillId="0" borderId="0" applyFill="0" applyBorder="0"/>
    <xf numFmtId="188" fontId="90" fillId="0" borderId="0"/>
    <xf numFmtId="0" fontId="91" fillId="0" borderId="0"/>
    <xf numFmtId="0" fontId="92" fillId="0" borderId="0"/>
    <xf numFmtId="0" fontId="91" fillId="0" borderId="0"/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7" fillId="0" borderId="0"/>
  </cellStyleXfs>
  <cellXfs count="50">
    <xf numFmtId="0" fontId="0" fillId="0" borderId="0" xfId="0"/>
    <xf numFmtId="0" fontId="6" fillId="0" borderId="0" xfId="1" applyFont="1">
      <alignment vertical="center"/>
    </xf>
    <xf numFmtId="0" fontId="6" fillId="0" borderId="0" xfId="1" applyFont="1" applyBorder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1" applyFont="1">
      <alignment vertical="center"/>
    </xf>
    <xf numFmtId="0" fontId="9" fillId="0" borderId="0" xfId="0" applyFont="1" applyAlignment="1">
      <alignment vertical="center"/>
    </xf>
    <xf numFmtId="0" fontId="3" fillId="0" borderId="0" xfId="1" applyNumberFormat="1" applyFont="1" applyFill="1" applyAlignment="1">
      <alignment vertical="center"/>
    </xf>
    <xf numFmtId="0" fontId="3" fillId="0" borderId="0" xfId="1" applyNumberFormat="1" applyFont="1" applyFill="1" applyBorder="1" applyAlignment="1">
      <alignment vertical="center"/>
    </xf>
    <xf numFmtId="0" fontId="8" fillId="0" borderId="2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16" xfId="0" applyNumberFormat="1" applyFont="1" applyFill="1" applyBorder="1" applyAlignment="1">
      <alignment horizontal="center" vertical="center" wrapText="1"/>
    </xf>
    <xf numFmtId="0" fontId="8" fillId="0" borderId="17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6" xfId="0" applyNumberFormat="1" applyFont="1" applyFill="1" applyBorder="1" applyAlignment="1">
      <alignment horizontal="center" vertical="center" wrapText="1"/>
    </xf>
    <xf numFmtId="0" fontId="8" fillId="0" borderId="25" xfId="0" applyNumberFormat="1" applyFont="1" applyFill="1" applyBorder="1" applyAlignment="1">
      <alignment horizontal="center" vertical="center" wrapText="1"/>
    </xf>
    <xf numFmtId="49" fontId="10" fillId="0" borderId="27" xfId="0" applyNumberFormat="1" applyFont="1" applyBorder="1" applyAlignment="1">
      <alignment horizontal="right" vertical="top" wrapText="1"/>
    </xf>
    <xf numFmtId="49" fontId="10" fillId="0" borderId="27" xfId="0" applyNumberFormat="1" applyFont="1" applyBorder="1" applyAlignment="1">
      <alignment horizontal="left" vertical="top" wrapText="1"/>
    </xf>
    <xf numFmtId="49" fontId="10" fillId="0" borderId="28" xfId="0" applyNumberFormat="1" applyFont="1" applyBorder="1" applyAlignment="1">
      <alignment horizontal="center" vertical="top" wrapText="1"/>
    </xf>
    <xf numFmtId="49" fontId="10" fillId="0" borderId="30" xfId="0" applyNumberFormat="1" applyFont="1" applyBorder="1" applyAlignment="1">
      <alignment horizontal="center" vertical="top" wrapText="1"/>
    </xf>
    <xf numFmtId="49" fontId="10" fillId="0" borderId="31" xfId="0" applyNumberFormat="1" applyFont="1" applyBorder="1" applyAlignment="1">
      <alignment horizontal="center" vertical="top" wrapText="1"/>
    </xf>
    <xf numFmtId="3" fontId="10" fillId="0" borderId="29" xfId="1" quotePrefix="1" applyNumberFormat="1" applyFont="1" applyBorder="1" applyAlignment="1">
      <alignment horizontal="right" vertical="top" wrapText="1"/>
    </xf>
    <xf numFmtId="3" fontId="10" fillId="0" borderId="32" xfId="1" quotePrefix="1" applyNumberFormat="1" applyFont="1" applyBorder="1" applyAlignment="1">
      <alignment horizontal="right" vertical="top" wrapText="1"/>
    </xf>
    <xf numFmtId="3" fontId="10" fillId="0" borderId="30" xfId="1" quotePrefix="1" applyNumberFormat="1" applyFont="1" applyBorder="1" applyAlignment="1">
      <alignment horizontal="right" vertical="top" wrapText="1"/>
    </xf>
    <xf numFmtId="3" fontId="10" fillId="0" borderId="33" xfId="1" quotePrefix="1" applyNumberFormat="1" applyFont="1" applyBorder="1" applyAlignment="1">
      <alignment horizontal="right" vertical="top" wrapText="1"/>
    </xf>
    <xf numFmtId="0" fontId="8" fillId="0" borderId="2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3" xfId="0" applyNumberFormat="1" applyFont="1" applyFill="1" applyBorder="1" applyAlignment="1">
      <alignment horizontal="center" vertical="center" wrapText="1"/>
    </xf>
    <xf numFmtId="0" fontId="8" fillId="0" borderId="24" xfId="0" applyNumberFormat="1" applyFont="1" applyFill="1" applyBorder="1" applyAlignment="1">
      <alignment horizontal="center" vertical="center" wrapText="1"/>
    </xf>
    <xf numFmtId="0" fontId="8" fillId="0" borderId="25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21" xfId="0" applyNumberFormat="1" applyFont="1" applyFill="1" applyBorder="1" applyAlignment="1">
      <alignment horizontal="center" vertical="center" wrapText="1"/>
    </xf>
    <xf numFmtId="0" fontId="8" fillId="0" borderId="18" xfId="0" applyNumberFormat="1" applyFont="1" applyFill="1" applyBorder="1" applyAlignment="1">
      <alignment horizontal="center" vertical="center" wrapText="1"/>
    </xf>
    <xf numFmtId="0" fontId="8" fillId="0" borderId="19" xfId="0" applyNumberFormat="1" applyFont="1" applyFill="1" applyBorder="1" applyAlignment="1">
      <alignment horizontal="center" vertical="center" wrapText="1"/>
    </xf>
    <xf numFmtId="0" fontId="8" fillId="0" borderId="20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name="標準" xfId="0" builtin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40"/>
  <sheetViews>
    <sheetView showGridLines="0" tabSelected="1" view="pageBreakPreview" zoomScaleNormal="70" zoomScaleSheetLayoutView="100" workbookViewId="0">
      <pane ySplit="9" topLeftCell="A10" activePane="bottomLeft" state="frozen"/>
      <selection pane="bottomLeft" activeCell="A10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r="1" spans="1:30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s="2" customFormat="1" ht="30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r="3" spans="1:30" s="2" customFormat="1" ht="1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r="4" spans="1:30" s="3" customFormat="1" ht="17.100000000000001" customHeight="1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r="5" spans="1:30" s="3" customFormat="1" ht="17.100000000000001" customHeight="1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r="6" spans="1:30" s="3" customFormat="1" ht="17.100000000000001" customHeight="1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r="7" spans="1:30" s="3" customFormat="1" ht="1.5" customHeight="1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r="8" spans="1:30" s="3" customFormat="1" ht="17.100000000000001" customHeight="1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r="9" spans="1:30" s="3" customFormat="1" ht="17.100000000000001" customHeight="1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r="10" spans="1:30" s="4" customFormat="1" ht="13.5" customHeight="1">
      <c r="A10" s="21" t="s">
        <v>26</v>
      </c>
      <c r="B10" s="22" t="s">
        <v>27</v>
      </c>
      <c r="C10" s="22" t="s">
        <v>28</v>
      </c>
      <c r="D10" s="23"/>
      <c r="E10" s="26" t="n">
        <f>542</f>
        <v>542.0</v>
      </c>
      <c r="F10" s="24"/>
      <c r="G10" s="26" t="n">
        <f>1350</f>
        <v>1350.0</v>
      </c>
      <c r="H10" s="25" t="s">
        <v>29</v>
      </c>
      <c r="I10" s="26" t="n">
        <f>1892</f>
        <v>1892.0</v>
      </c>
      <c r="J10" s="23"/>
      <c r="K10" s="26" t="n">
        <f>28213428</f>
        <v>2.8213428E7</v>
      </c>
      <c r="L10" s="24"/>
      <c r="M10" s="26" t="n">
        <f>23992800</f>
        <v>2.39928E7</v>
      </c>
      <c r="N10" s="25"/>
      <c r="O10" s="26" t="n">
        <f>52206228</f>
        <v>5.2206228E7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30</v>
      </c>
      <c r="T10" s="26" t="str">
        <f>"－"</f>
        <v>－</v>
      </c>
      <c r="U10" s="24" t="s">
        <v>30</v>
      </c>
      <c r="V10" s="26" t="str">
        <f>"－"</f>
        <v>－</v>
      </c>
      <c r="W10" s="25" t="s">
        <v>30</v>
      </c>
      <c r="X10" s="26" t="str">
        <f>"－"</f>
        <v>－</v>
      </c>
      <c r="Y10" s="23"/>
      <c r="Z10" s="26" t="n">
        <f>65956</f>
        <v>65956.0</v>
      </c>
      <c r="AA10" s="24"/>
      <c r="AB10" s="26" t="n">
        <f>61790</f>
        <v>61790.0</v>
      </c>
      <c r="AC10" s="25"/>
      <c r="AD10" s="26" t="n">
        <f>127746</f>
        <v>127746.0</v>
      </c>
    </row>
    <row r="11">
      <c r="A11" s="21" t="s">
        <v>31</v>
      </c>
      <c r="B11" s="22" t="s">
        <v>27</v>
      </c>
      <c r="C11" s="22" t="s">
        <v>28</v>
      </c>
      <c r="D11" s="23"/>
      <c r="E11" s="26" t="n">
        <f>1569</f>
        <v>1569.0</v>
      </c>
      <c r="F11" s="24"/>
      <c r="G11" s="26" t="n">
        <f>4889</f>
        <v>4889.0</v>
      </c>
      <c r="H11" s="25"/>
      <c r="I11" s="26" t="n">
        <f>6458</f>
        <v>6458.0</v>
      </c>
      <c r="J11" s="23"/>
      <c r="K11" s="26" t="n">
        <f>15299380</f>
        <v>1.529938E7</v>
      </c>
      <c r="L11" s="24"/>
      <c r="M11" s="26" t="n">
        <f>12089673</f>
        <v>1.2089673E7</v>
      </c>
      <c r="N11" s="25"/>
      <c r="O11" s="26" t="n">
        <f>27389053</f>
        <v>2.7389053E7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str">
        <f>"－"</f>
        <v>－</v>
      </c>
      <c r="W11" s="25"/>
      <c r="X11" s="26" t="str">
        <f>"－"</f>
        <v>－</v>
      </c>
      <c r="Y11" s="23"/>
      <c r="Z11" s="26" t="n">
        <f>66643</f>
        <v>66643.0</v>
      </c>
      <c r="AA11" s="24"/>
      <c r="AB11" s="26" t="n">
        <f>61913</f>
        <v>61913.0</v>
      </c>
      <c r="AC11" s="25"/>
      <c r="AD11" s="26" t="n">
        <f>128556</f>
        <v>128556.0</v>
      </c>
    </row>
    <row r="12">
      <c r="A12" s="21" t="s">
        <v>32</v>
      </c>
      <c r="B12" s="22" t="s">
        <v>27</v>
      </c>
      <c r="C12" s="22" t="s">
        <v>28</v>
      </c>
      <c r="D12" s="23"/>
      <c r="E12" s="26" t="n">
        <f>4440</f>
        <v>4440.0</v>
      </c>
      <c r="F12" s="24"/>
      <c r="G12" s="26" t="n">
        <f>3725</f>
        <v>3725.0</v>
      </c>
      <c r="H12" s="25"/>
      <c r="I12" s="26" t="n">
        <f>8165</f>
        <v>8165.0</v>
      </c>
      <c r="J12" s="23"/>
      <c r="K12" s="26" t="n">
        <f>33516516</f>
        <v>3.3516516E7</v>
      </c>
      <c r="L12" s="24"/>
      <c r="M12" s="26" t="n">
        <f>21603600</f>
        <v>2.16036E7</v>
      </c>
      <c r="N12" s="25"/>
      <c r="O12" s="26" t="n">
        <f>55120116</f>
        <v>5.5120116E7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str">
        <f>"－"</f>
        <v>－</v>
      </c>
      <c r="W12" s="25"/>
      <c r="X12" s="26" t="str">
        <f>"－"</f>
        <v>－</v>
      </c>
      <c r="Y12" s="23"/>
      <c r="Z12" s="26" t="n">
        <f>70635</f>
        <v>70635.0</v>
      </c>
      <c r="AA12" s="24"/>
      <c r="AB12" s="26" t="n">
        <f>65110</f>
        <v>65110.0</v>
      </c>
      <c r="AC12" s="25"/>
      <c r="AD12" s="26" t="n">
        <f>135745</f>
        <v>135745.0</v>
      </c>
    </row>
    <row r="13">
      <c r="A13" s="21" t="s">
        <v>33</v>
      </c>
      <c r="B13" s="22" t="s">
        <v>27</v>
      </c>
      <c r="C13" s="22" t="s">
        <v>28</v>
      </c>
      <c r="D13" s="23"/>
      <c r="E13" s="26" t="n">
        <f>7201</f>
        <v>7201.0</v>
      </c>
      <c r="F13" s="24"/>
      <c r="G13" s="26" t="n">
        <f>5772</f>
        <v>5772.0</v>
      </c>
      <c r="H13" s="25"/>
      <c r="I13" s="26" t="n">
        <f>12973</f>
        <v>12973.0</v>
      </c>
      <c r="J13" s="23" t="s">
        <v>29</v>
      </c>
      <c r="K13" s="26" t="n">
        <f>1945325</f>
        <v>1945325.0</v>
      </c>
      <c r="L13" s="24"/>
      <c r="M13" s="26" t="n">
        <f>13593610</f>
        <v>1.359361E7</v>
      </c>
      <c r="N13" s="25"/>
      <c r="O13" s="26" t="n">
        <f>15538935</f>
        <v>1.5538935E7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77802</f>
        <v>77802.0</v>
      </c>
      <c r="AA13" s="24"/>
      <c r="AB13" s="26" t="n">
        <f>66562</f>
        <v>66562.0</v>
      </c>
      <c r="AC13" s="25"/>
      <c r="AD13" s="26" t="n">
        <f>144364</f>
        <v>144364.0</v>
      </c>
    </row>
    <row r="14">
      <c r="A14" s="21" t="s">
        <v>34</v>
      </c>
      <c r="B14" s="22" t="s">
        <v>27</v>
      </c>
      <c r="C14" s="22" t="s">
        <v>28</v>
      </c>
      <c r="D14" s="23"/>
      <c r="E14" s="26"/>
      <c r="F14" s="24"/>
      <c r="G14" s="26"/>
      <c r="H14" s="25"/>
      <c r="I14" s="26"/>
      <c r="J14" s="23"/>
      <c r="K14" s="26"/>
      <c r="L14" s="24"/>
      <c r="M14" s="26"/>
      <c r="N14" s="25"/>
      <c r="O14" s="26"/>
      <c r="P14" s="27"/>
      <c r="Q14" s="28"/>
      <c r="R14" s="29"/>
      <c r="S14" s="23"/>
      <c r="T14" s="26"/>
      <c r="U14" s="24"/>
      <c r="V14" s="26"/>
      <c r="W14" s="25"/>
      <c r="X14" s="26"/>
      <c r="Y14" s="23"/>
      <c r="Z14" s="26"/>
      <c r="AA14" s="24"/>
      <c r="AB14" s="26"/>
      <c r="AC14" s="25"/>
      <c r="AD14" s="26"/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 t="s">
        <v>37</v>
      </c>
      <c r="E16" s="26" t="n">
        <f>19631</f>
        <v>19631.0</v>
      </c>
      <c r="F16" s="24"/>
      <c r="G16" s="26" t="n">
        <f>7533</f>
        <v>7533.0</v>
      </c>
      <c r="H16" s="25" t="s">
        <v>37</v>
      </c>
      <c r="I16" s="26" t="n">
        <f>27164</f>
        <v>27164.0</v>
      </c>
      <c r="J16" s="23"/>
      <c r="K16" s="26" t="n">
        <f>16670286</f>
        <v>1.6670286E7</v>
      </c>
      <c r="L16" s="24"/>
      <c r="M16" s="26" t="n">
        <f>10315921</f>
        <v>1.0315921E7</v>
      </c>
      <c r="N16" s="25"/>
      <c r="O16" s="26" t="n">
        <f>26986207</f>
        <v>2.6986207E7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96968</f>
        <v>96968.0</v>
      </c>
      <c r="AA16" s="24"/>
      <c r="AB16" s="26" t="n">
        <f>69036</f>
        <v>69036.0</v>
      </c>
      <c r="AC16" s="25"/>
      <c r="AD16" s="26" t="n">
        <f>166004</f>
        <v>166004.0</v>
      </c>
    </row>
    <row r="17">
      <c r="A17" s="21" t="s">
        <v>38</v>
      </c>
      <c r="B17" s="22" t="s">
        <v>27</v>
      </c>
      <c r="C17" s="22" t="s">
        <v>28</v>
      </c>
      <c r="D17" s="23"/>
      <c r="E17" s="26" t="n">
        <f>3363</f>
        <v>3363.0</v>
      </c>
      <c r="F17" s="24"/>
      <c r="G17" s="26" t="n">
        <f>12169</f>
        <v>12169.0</v>
      </c>
      <c r="H17" s="25"/>
      <c r="I17" s="26" t="n">
        <f>15532</f>
        <v>15532.0</v>
      </c>
      <c r="J17" s="23"/>
      <c r="K17" s="26" t="n">
        <f>11133110</f>
        <v>1.113311E7</v>
      </c>
      <c r="L17" s="24"/>
      <c r="M17" s="26" t="n">
        <f>26794083</f>
        <v>2.6794083E7</v>
      </c>
      <c r="N17" s="25"/>
      <c r="O17" s="26" t="n">
        <f>37927193</f>
        <v>3.7927193E7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100242</f>
        <v>100242.0</v>
      </c>
      <c r="AA17" s="24"/>
      <c r="AB17" s="26" t="n">
        <f>73134</f>
        <v>73134.0</v>
      </c>
      <c r="AC17" s="25"/>
      <c r="AD17" s="26" t="n">
        <f>173376</f>
        <v>173376.0</v>
      </c>
    </row>
    <row r="18">
      <c r="A18" s="21" t="s">
        <v>39</v>
      </c>
      <c r="B18" s="22" t="s">
        <v>27</v>
      </c>
      <c r="C18" s="22" t="s">
        <v>28</v>
      </c>
      <c r="D18" s="23"/>
      <c r="E18" s="26" t="n">
        <f>1368</f>
        <v>1368.0</v>
      </c>
      <c r="F18" s="24"/>
      <c r="G18" s="26" t="n">
        <f>1391</f>
        <v>1391.0</v>
      </c>
      <c r="H18" s="25"/>
      <c r="I18" s="26" t="n">
        <f>2759</f>
        <v>2759.0</v>
      </c>
      <c r="J18" s="23"/>
      <c r="K18" s="26" t="n">
        <f>10862650</f>
        <v>1.086265E7</v>
      </c>
      <c r="L18" s="24"/>
      <c r="M18" s="26" t="n">
        <f>5410500</f>
        <v>5410500.0</v>
      </c>
      <c r="N18" s="25"/>
      <c r="O18" s="26" t="n">
        <f>16273150</f>
        <v>1.627315E7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 t="s">
        <v>37</v>
      </c>
      <c r="Z18" s="26" t="n">
        <f>101591</f>
        <v>101591.0</v>
      </c>
      <c r="AA18" s="24"/>
      <c r="AB18" s="26" t="n">
        <f>74232</f>
        <v>74232.0</v>
      </c>
      <c r="AC18" s="25" t="s">
        <v>37</v>
      </c>
      <c r="AD18" s="26" t="n">
        <f>175823</f>
        <v>175823.0</v>
      </c>
    </row>
    <row r="19">
      <c r="A19" s="21" t="s">
        <v>40</v>
      </c>
      <c r="B19" s="22" t="s">
        <v>27</v>
      </c>
      <c r="C19" s="22" t="s">
        <v>28</v>
      </c>
      <c r="D19" s="23"/>
      <c r="E19" s="26" t="n">
        <f>2547</f>
        <v>2547.0</v>
      </c>
      <c r="F19" s="24" t="s">
        <v>37</v>
      </c>
      <c r="G19" s="26" t="n">
        <f>23722</f>
        <v>23722.0</v>
      </c>
      <c r="H19" s="25"/>
      <c r="I19" s="26" t="n">
        <f>26269</f>
        <v>26269.0</v>
      </c>
      <c r="J19" s="23"/>
      <c r="K19" s="26" t="n">
        <f>12045500</f>
        <v>1.20455E7</v>
      </c>
      <c r="L19" s="24"/>
      <c r="M19" s="26" t="n">
        <f>45963530</f>
        <v>4.596353E7</v>
      </c>
      <c r="N19" s="25"/>
      <c r="O19" s="26" t="n">
        <f>58009030</f>
        <v>5.800903E7</v>
      </c>
      <c r="P19" s="27" t="n">
        <f>16784</f>
        <v>16784.0</v>
      </c>
      <c r="Q19" s="28" t="n">
        <f>20534</f>
        <v>20534.0</v>
      </c>
      <c r="R19" s="29" t="n">
        <f>37318</f>
        <v>37318.0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 t="s">
        <v>29</v>
      </c>
      <c r="Z19" s="26" t="n">
        <f>30501</f>
        <v>30501.0</v>
      </c>
      <c r="AA19" s="24" t="s">
        <v>29</v>
      </c>
      <c r="AB19" s="26" t="n">
        <f>35106</f>
        <v>35106.0</v>
      </c>
      <c r="AC19" s="25" t="s">
        <v>29</v>
      </c>
      <c r="AD19" s="26" t="n">
        <f>65607</f>
        <v>65607.0</v>
      </c>
    </row>
    <row r="20">
      <c r="A20" s="21" t="s">
        <v>41</v>
      </c>
      <c r="B20" s="22" t="s">
        <v>27</v>
      </c>
      <c r="C20" s="22" t="s">
        <v>28</v>
      </c>
      <c r="D20" s="23" t="s">
        <v>29</v>
      </c>
      <c r="E20" s="26" t="n">
        <f>261</f>
        <v>261.0</v>
      </c>
      <c r="F20" s="24"/>
      <c r="G20" s="26" t="n">
        <f>3806</f>
        <v>3806.0</v>
      </c>
      <c r="H20" s="25"/>
      <c r="I20" s="26" t="n">
        <f>4067</f>
        <v>4067.0</v>
      </c>
      <c r="J20" s="23"/>
      <c r="K20" s="26" t="n">
        <f>5644876</f>
        <v>5644876.0</v>
      </c>
      <c r="L20" s="24"/>
      <c r="M20" s="26" t="n">
        <f>14621159</f>
        <v>1.4621159E7</v>
      </c>
      <c r="N20" s="25"/>
      <c r="O20" s="26" t="n">
        <f>20266035</f>
        <v>2.0266035E7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30705</f>
        <v>30705.0</v>
      </c>
      <c r="AA20" s="24"/>
      <c r="AB20" s="26" t="n">
        <f>38789</f>
        <v>38789.0</v>
      </c>
      <c r="AC20" s="25"/>
      <c r="AD20" s="26" t="n">
        <f>69494</f>
        <v>69494.0</v>
      </c>
    </row>
    <row r="21">
      <c r="A21" s="21" t="s">
        <v>42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43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44</v>
      </c>
      <c r="B23" s="22" t="s">
        <v>27</v>
      </c>
      <c r="C23" s="22" t="s">
        <v>28</v>
      </c>
      <c r="D23" s="23"/>
      <c r="E23" s="26" t="n">
        <f>5597</f>
        <v>5597.0</v>
      </c>
      <c r="F23" s="24"/>
      <c r="G23" s="26" t="n">
        <f>6162</f>
        <v>6162.0</v>
      </c>
      <c r="H23" s="25"/>
      <c r="I23" s="26" t="n">
        <f>11759</f>
        <v>11759.0</v>
      </c>
      <c r="J23" s="23"/>
      <c r="K23" s="26" t="n">
        <f>27731025</f>
        <v>2.7731025E7</v>
      </c>
      <c r="L23" s="24"/>
      <c r="M23" s="26" t="n">
        <f>15689360</f>
        <v>1.568936E7</v>
      </c>
      <c r="N23" s="25"/>
      <c r="O23" s="26" t="n">
        <f>43420385</f>
        <v>4.3420385E7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36121</f>
        <v>36121.0</v>
      </c>
      <c r="AA23" s="24"/>
      <c r="AB23" s="26" t="n">
        <f>44909</f>
        <v>44909.0</v>
      </c>
      <c r="AC23" s="25"/>
      <c r="AD23" s="26" t="n">
        <f>81030</f>
        <v>81030.0</v>
      </c>
    </row>
    <row r="24">
      <c r="A24" s="21" t="s">
        <v>45</v>
      </c>
      <c r="B24" s="22" t="s">
        <v>27</v>
      </c>
      <c r="C24" s="22" t="s">
        <v>28</v>
      </c>
      <c r="D24" s="23"/>
      <c r="E24" s="26" t="n">
        <f>801</f>
        <v>801.0</v>
      </c>
      <c r="F24" s="24"/>
      <c r="G24" s="26" t="n">
        <f>2215</f>
        <v>2215.0</v>
      </c>
      <c r="H24" s="25"/>
      <c r="I24" s="26" t="n">
        <f>3016</f>
        <v>3016.0</v>
      </c>
      <c r="J24" s="23"/>
      <c r="K24" s="26" t="n">
        <f>12695168</f>
        <v>1.2695168E7</v>
      </c>
      <c r="L24" s="24"/>
      <c r="M24" s="26" t="n">
        <f>7783034</f>
        <v>7783034.0</v>
      </c>
      <c r="N24" s="25"/>
      <c r="O24" s="26" t="n">
        <f>20478202</f>
        <v>2.0478202E7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36760</f>
        <v>36760.0</v>
      </c>
      <c r="AA24" s="24"/>
      <c r="AB24" s="26" t="n">
        <f>43706</f>
        <v>43706.0</v>
      </c>
      <c r="AC24" s="25"/>
      <c r="AD24" s="26" t="n">
        <f>80466</f>
        <v>80466.0</v>
      </c>
    </row>
    <row r="25">
      <c r="A25" s="21" t="s">
        <v>46</v>
      </c>
      <c r="B25" s="22" t="s">
        <v>27</v>
      </c>
      <c r="C25" s="22" t="s">
        <v>28</v>
      </c>
      <c r="D25" s="23"/>
      <c r="E25" s="26" t="n">
        <f>4011</f>
        <v>4011.0</v>
      </c>
      <c r="F25" s="24" t="s">
        <v>29</v>
      </c>
      <c r="G25" s="26" t="n">
        <f>351</f>
        <v>351.0</v>
      </c>
      <c r="H25" s="25"/>
      <c r="I25" s="26" t="n">
        <f>4362</f>
        <v>4362.0</v>
      </c>
      <c r="J25" s="23"/>
      <c r="K25" s="26" t="n">
        <f>17723520</f>
        <v>1.772352E7</v>
      </c>
      <c r="L25" s="24"/>
      <c r="M25" s="26" t="n">
        <f>30083280</f>
        <v>3.008328E7</v>
      </c>
      <c r="N25" s="25"/>
      <c r="O25" s="26" t="n">
        <f>47806800</f>
        <v>4.78068E7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40232</f>
        <v>40232.0</v>
      </c>
      <c r="AA25" s="24"/>
      <c r="AB25" s="26" t="n">
        <f>43821</f>
        <v>43821.0</v>
      </c>
      <c r="AC25" s="25"/>
      <c r="AD25" s="26" t="n">
        <f>84053</f>
        <v>84053.0</v>
      </c>
    </row>
    <row r="26">
      <c r="A26" s="21" t="s">
        <v>47</v>
      </c>
      <c r="B26" s="22" t="s">
        <v>27</v>
      </c>
      <c r="C26" s="22" t="s">
        <v>28</v>
      </c>
      <c r="D26" s="23"/>
      <c r="E26" s="26" t="n">
        <f>3452</f>
        <v>3452.0</v>
      </c>
      <c r="F26" s="24"/>
      <c r="G26" s="26" t="n">
        <f>8810</f>
        <v>8810.0</v>
      </c>
      <c r="H26" s="25"/>
      <c r="I26" s="26" t="n">
        <f>12262</f>
        <v>12262.0</v>
      </c>
      <c r="J26" s="23"/>
      <c r="K26" s="26" t="n">
        <f>11672740</f>
        <v>1.167274E7</v>
      </c>
      <c r="L26" s="24"/>
      <c r="M26" s="26" t="n">
        <f>31305670</f>
        <v>3.130567E7</v>
      </c>
      <c r="N26" s="25"/>
      <c r="O26" s="26" t="n">
        <f>42978410</f>
        <v>4.297841E7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43672</f>
        <v>43672.0</v>
      </c>
      <c r="AA26" s="24"/>
      <c r="AB26" s="26" t="n">
        <f>50478</f>
        <v>50478.0</v>
      </c>
      <c r="AC26" s="25"/>
      <c r="AD26" s="26" t="n">
        <f>94150</f>
        <v>94150.0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2978</f>
        <v>2978.0</v>
      </c>
      <c r="F27" s="24"/>
      <c r="G27" s="26" t="n">
        <f>5101</f>
        <v>5101.0</v>
      </c>
      <c r="H27" s="25"/>
      <c r="I27" s="26" t="n">
        <f>8079</f>
        <v>8079.0</v>
      </c>
      <c r="J27" s="23"/>
      <c r="K27" s="26" t="n">
        <f>26010700</f>
        <v>2.60107E7</v>
      </c>
      <c r="L27" s="24"/>
      <c r="M27" s="26" t="n">
        <f>18695370</f>
        <v>1.869537E7</v>
      </c>
      <c r="N27" s="25"/>
      <c r="O27" s="26" t="n">
        <f>44706070</f>
        <v>4.470607E7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46259</f>
        <v>46259.0</v>
      </c>
      <c r="AA27" s="24"/>
      <c r="AB27" s="26" t="n">
        <f>55251</f>
        <v>55251.0</v>
      </c>
      <c r="AC27" s="25"/>
      <c r="AD27" s="26" t="n">
        <f>101510</f>
        <v>101510.0</v>
      </c>
    </row>
    <row r="28">
      <c r="A28" s="21" t="s">
        <v>49</v>
      </c>
      <c r="B28" s="22" t="s">
        <v>27</v>
      </c>
      <c r="C28" s="22" t="s">
        <v>28</v>
      </c>
      <c r="D28" s="23"/>
      <c r="E28" s="26"/>
      <c r="F28" s="24"/>
      <c r="G28" s="26"/>
      <c r="H28" s="25"/>
      <c r="I28" s="26"/>
      <c r="J28" s="23"/>
      <c r="K28" s="26"/>
      <c r="L28" s="24"/>
      <c r="M28" s="26"/>
      <c r="N28" s="25"/>
      <c r="O28" s="26"/>
      <c r="P28" s="27"/>
      <c r="Q28" s="28"/>
      <c r="R28" s="29"/>
      <c r="S28" s="23"/>
      <c r="T28" s="26"/>
      <c r="U28" s="24"/>
      <c r="V28" s="26"/>
      <c r="W28" s="25"/>
      <c r="X28" s="26"/>
      <c r="Y28" s="23"/>
      <c r="Z28" s="26"/>
      <c r="AA28" s="24"/>
      <c r="AB28" s="26"/>
      <c r="AC28" s="25"/>
      <c r="AD28" s="26"/>
    </row>
    <row r="29">
      <c r="A29" s="21" t="s">
        <v>50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51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52</v>
      </c>
      <c r="B31" s="22" t="s">
        <v>27</v>
      </c>
      <c r="C31" s="22" t="s">
        <v>28</v>
      </c>
      <c r="D31" s="23"/>
      <c r="E31" s="26" t="n">
        <f>8715</f>
        <v>8715.0</v>
      </c>
      <c r="F31" s="24"/>
      <c r="G31" s="26" t="n">
        <f>9431</f>
        <v>9431.0</v>
      </c>
      <c r="H31" s="25"/>
      <c r="I31" s="26" t="n">
        <f>18146</f>
        <v>18146.0</v>
      </c>
      <c r="J31" s="23" t="s">
        <v>37</v>
      </c>
      <c r="K31" s="26" t="n">
        <f>59266730</f>
        <v>5.926673E7</v>
      </c>
      <c r="L31" s="24"/>
      <c r="M31" s="26" t="n">
        <f>55051088</f>
        <v>5.5051088E7</v>
      </c>
      <c r="N31" s="25"/>
      <c r="O31" s="26" t="n">
        <f>114317818</f>
        <v>1.14317818E8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48261</f>
        <v>48261.0</v>
      </c>
      <c r="AA31" s="24"/>
      <c r="AB31" s="26" t="n">
        <f>58605</f>
        <v>58605.0</v>
      </c>
      <c r="AC31" s="25"/>
      <c r="AD31" s="26" t="n">
        <f>106866</f>
        <v>106866.0</v>
      </c>
    </row>
    <row r="32">
      <c r="A32" s="21" t="s">
        <v>53</v>
      </c>
      <c r="B32" s="22" t="s">
        <v>27</v>
      </c>
      <c r="C32" s="22" t="s">
        <v>28</v>
      </c>
      <c r="D32" s="23"/>
      <c r="E32" s="26" t="n">
        <f>3584</f>
        <v>3584.0</v>
      </c>
      <c r="F32" s="24"/>
      <c r="G32" s="26" t="n">
        <f>17663</f>
        <v>17663.0</v>
      </c>
      <c r="H32" s="25"/>
      <c r="I32" s="26" t="n">
        <f>21247</f>
        <v>21247.0</v>
      </c>
      <c r="J32" s="23"/>
      <c r="K32" s="26" t="n">
        <f>5153648</f>
        <v>5153648.0</v>
      </c>
      <c r="L32" s="24"/>
      <c r="M32" s="26" t="n">
        <f>15183427</f>
        <v>1.5183427E7</v>
      </c>
      <c r="N32" s="25"/>
      <c r="O32" s="26" t="n">
        <f>20337075</f>
        <v>2.0337075E7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51283</f>
        <v>51283.0</v>
      </c>
      <c r="AA32" s="24"/>
      <c r="AB32" s="26" t="n">
        <f>66164</f>
        <v>66164.0</v>
      </c>
      <c r="AC32" s="25"/>
      <c r="AD32" s="26" t="n">
        <f>117447</f>
        <v>117447.0</v>
      </c>
    </row>
    <row r="33">
      <c r="A33" s="21" t="s">
        <v>54</v>
      </c>
      <c r="B33" s="22" t="s">
        <v>27</v>
      </c>
      <c r="C33" s="22" t="s">
        <v>28</v>
      </c>
      <c r="D33" s="23"/>
      <c r="E33" s="26" t="n">
        <f>3591</f>
        <v>3591.0</v>
      </c>
      <c r="F33" s="24"/>
      <c r="G33" s="26" t="n">
        <f>20974</f>
        <v>20974.0</v>
      </c>
      <c r="H33" s="25"/>
      <c r="I33" s="26" t="n">
        <f>24565</f>
        <v>24565.0</v>
      </c>
      <c r="J33" s="23"/>
      <c r="K33" s="26" t="n">
        <f>37917860</f>
        <v>3.791786E7</v>
      </c>
      <c r="L33" s="24" t="s">
        <v>37</v>
      </c>
      <c r="M33" s="26" t="n">
        <f>321435000</f>
        <v>3.21435E8</v>
      </c>
      <c r="N33" s="25" t="s">
        <v>37</v>
      </c>
      <c r="O33" s="26" t="n">
        <f>359352860</f>
        <v>3.5935286E8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54822</f>
        <v>54822.0</v>
      </c>
      <c r="AA33" s="24"/>
      <c r="AB33" s="26" t="n">
        <f>85373</f>
        <v>85373.0</v>
      </c>
      <c r="AC33" s="25"/>
      <c r="AD33" s="26" t="n">
        <f>140195</f>
        <v>140195.0</v>
      </c>
    </row>
    <row r="34">
      <c r="A34" s="21" t="s">
        <v>55</v>
      </c>
      <c r="B34" s="22" t="s">
        <v>27</v>
      </c>
      <c r="C34" s="22" t="s">
        <v>28</v>
      </c>
      <c r="D34" s="23"/>
      <c r="E34" s="26" t="n">
        <f>5512</f>
        <v>5512.0</v>
      </c>
      <c r="F34" s="24"/>
      <c r="G34" s="26" t="n">
        <f>10152</f>
        <v>10152.0</v>
      </c>
      <c r="H34" s="25"/>
      <c r="I34" s="26" t="n">
        <f>15664</f>
        <v>15664.0</v>
      </c>
      <c r="J34" s="23"/>
      <c r="K34" s="26" t="n">
        <f>6205153</f>
        <v>6205153.0</v>
      </c>
      <c r="L34" s="24"/>
      <c r="M34" s="26" t="n">
        <f>13305990</f>
        <v>1.330599E7</v>
      </c>
      <c r="N34" s="25"/>
      <c r="O34" s="26" t="n">
        <f>19511143</f>
        <v>1.9511143E7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60103</f>
        <v>60103.0</v>
      </c>
      <c r="AA34" s="24"/>
      <c r="AB34" s="26" t="n">
        <f>95401</f>
        <v>95401.0</v>
      </c>
      <c r="AC34" s="25"/>
      <c r="AD34" s="26" t="n">
        <f>155504</f>
        <v>155504.0</v>
      </c>
    </row>
    <row r="35">
      <c r="A35" s="21" t="s">
        <v>56</v>
      </c>
      <c r="B35" s="22" t="s">
        <v>27</v>
      </c>
      <c r="C35" s="22" t="s">
        <v>28</v>
      </c>
      <c r="D35" s="23"/>
      <c r="E35" s="26"/>
      <c r="F35" s="24"/>
      <c r="G35" s="26"/>
      <c r="H35" s="25"/>
      <c r="I35" s="26"/>
      <c r="J35" s="23"/>
      <c r="K35" s="26"/>
      <c r="L35" s="24"/>
      <c r="M35" s="26"/>
      <c r="N35" s="25"/>
      <c r="O35" s="26"/>
      <c r="P35" s="27"/>
      <c r="Q35" s="28"/>
      <c r="R35" s="29"/>
      <c r="S35" s="23"/>
      <c r="T35" s="26"/>
      <c r="U35" s="24"/>
      <c r="V35" s="26"/>
      <c r="W35" s="25"/>
      <c r="X35" s="26"/>
      <c r="Y35" s="23"/>
      <c r="Z35" s="26"/>
      <c r="AA35" s="24"/>
      <c r="AB35" s="26"/>
      <c r="AC35" s="25"/>
      <c r="AD35" s="26"/>
    </row>
    <row r="36">
      <c r="A36" s="21" t="s">
        <v>57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58</v>
      </c>
      <c r="B37" s="22" t="s">
        <v>27</v>
      </c>
      <c r="C37" s="22" t="s">
        <v>28</v>
      </c>
      <c r="D37" s="23"/>
      <c r="E37" s="26" t="n">
        <f>5211</f>
        <v>5211.0</v>
      </c>
      <c r="F37" s="24"/>
      <c r="G37" s="26" t="n">
        <f>2144</f>
        <v>2144.0</v>
      </c>
      <c r="H37" s="25"/>
      <c r="I37" s="26" t="n">
        <f>7355</f>
        <v>7355.0</v>
      </c>
      <c r="J37" s="23"/>
      <c r="K37" s="26" t="n">
        <f>44470340</f>
        <v>4.447034E7</v>
      </c>
      <c r="L37" s="24" t="s">
        <v>29</v>
      </c>
      <c r="M37" s="26" t="n">
        <f>4548588</f>
        <v>4548588.0</v>
      </c>
      <c r="N37" s="25"/>
      <c r="O37" s="26" t="n">
        <f>49018928</f>
        <v>4.9018928E7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64966</f>
        <v>64966.0</v>
      </c>
      <c r="AA37" s="24"/>
      <c r="AB37" s="26" t="n">
        <f>95423</f>
        <v>95423.0</v>
      </c>
      <c r="AC37" s="25"/>
      <c r="AD37" s="26" t="n">
        <f>160389</f>
        <v>160389.0</v>
      </c>
    </row>
    <row r="38">
      <c r="A38" s="21" t="s">
        <v>59</v>
      </c>
      <c r="B38" s="22" t="s">
        <v>27</v>
      </c>
      <c r="C38" s="22" t="s">
        <v>28</v>
      </c>
      <c r="D38" s="23"/>
      <c r="E38" s="26" t="n">
        <f>722</f>
        <v>722.0</v>
      </c>
      <c r="F38" s="24"/>
      <c r="G38" s="26" t="n">
        <f>10033</f>
        <v>10033.0</v>
      </c>
      <c r="H38" s="25"/>
      <c r="I38" s="26" t="n">
        <f>10755</f>
        <v>10755.0</v>
      </c>
      <c r="J38" s="23"/>
      <c r="K38" s="26" t="n">
        <f>9716240</f>
        <v>9716240.0</v>
      </c>
      <c r="L38" s="24"/>
      <c r="M38" s="26" t="n">
        <f>4909200</f>
        <v>4909200.0</v>
      </c>
      <c r="N38" s="25"/>
      <c r="O38" s="26" t="n">
        <f>14625440</f>
        <v>1.462544E7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65306</f>
        <v>65306.0</v>
      </c>
      <c r="AA38" s="24"/>
      <c r="AB38" s="26" t="n">
        <f>99417</f>
        <v>99417.0</v>
      </c>
      <c r="AC38" s="25"/>
      <c r="AD38" s="26" t="n">
        <f>164723</f>
        <v>164723.0</v>
      </c>
    </row>
    <row r="39">
      <c r="A39" s="21" t="s">
        <v>60</v>
      </c>
      <c r="B39" s="22" t="s">
        <v>27</v>
      </c>
      <c r="C39" s="22" t="s">
        <v>28</v>
      </c>
      <c r="D39" s="23"/>
      <c r="E39" s="26" t="n">
        <f>3971</f>
        <v>3971.0</v>
      </c>
      <c r="F39" s="24"/>
      <c r="G39" s="26" t="n">
        <f>6272</f>
        <v>6272.0</v>
      </c>
      <c r="H39" s="25"/>
      <c r="I39" s="26" t="n">
        <f>10243</f>
        <v>10243.0</v>
      </c>
      <c r="J39" s="23"/>
      <c r="K39" s="26" t="n">
        <f>40939910</f>
        <v>4.093991E7</v>
      </c>
      <c r="L39" s="24"/>
      <c r="M39" s="26" t="n">
        <f>9412500</f>
        <v>9412500.0</v>
      </c>
      <c r="N39" s="25"/>
      <c r="O39" s="26" t="n">
        <f>50352410</f>
        <v>5.035241E7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64022</f>
        <v>64022.0</v>
      </c>
      <c r="AA39" s="24" t="s">
        <v>37</v>
      </c>
      <c r="AB39" s="26" t="n">
        <f>101643</f>
        <v>101643.0</v>
      </c>
      <c r="AC39" s="25"/>
      <c r="AD39" s="26" t="n">
        <f>165665</f>
        <v>165665.0</v>
      </c>
    </row>
    <row r="40">
      <c r="A40" s="21" t="s">
        <v>61</v>
      </c>
      <c r="B40" s="22" t="s">
        <v>27</v>
      </c>
      <c r="C40" s="22" t="s">
        <v>28</v>
      </c>
      <c r="D40" s="23"/>
      <c r="E40" s="26" t="n">
        <f>1348</f>
        <v>1348.0</v>
      </c>
      <c r="F40" s="24"/>
      <c r="G40" s="26" t="n">
        <f>4207</f>
        <v>4207.0</v>
      </c>
      <c r="H40" s="25"/>
      <c r="I40" s="26" t="n">
        <f>5555</f>
        <v>5555.0</v>
      </c>
      <c r="J40" s="23"/>
      <c r="K40" s="26" t="n">
        <f>3960170</f>
        <v>3960170.0</v>
      </c>
      <c r="L40" s="24"/>
      <c r="M40" s="26" t="n">
        <f>4736760</f>
        <v>4736760.0</v>
      </c>
      <c r="N40" s="25" t="s">
        <v>29</v>
      </c>
      <c r="O40" s="26" t="n">
        <f>8696930</f>
        <v>8696930.0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3"/>
      <c r="T40" s="26" t="str">
        <f>"－"</f>
        <v>－</v>
      </c>
      <c r="U40" s="24"/>
      <c r="V40" s="26" t="str">
        <f>"－"</f>
        <v>－</v>
      </c>
      <c r="W40" s="25"/>
      <c r="X40" s="26" t="str">
        <f>"－"</f>
        <v>－</v>
      </c>
      <c r="Y40" s="23"/>
      <c r="Z40" s="26" t="n">
        <f>64892</f>
        <v>64892.0</v>
      </c>
      <c r="AA40" s="24"/>
      <c r="AB40" s="26" t="n">
        <f>101550</f>
        <v>101550.0</v>
      </c>
      <c r="AC40" s="25"/>
      <c r="AD40" s="26" t="n">
        <f>166442</f>
        <v>166442.0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left="0.55118110236220474" right="0.55118110236220474" top="0.59055118110236227" bottom="0.59055118110236227" header="0.35433070866141736" footer="0.35433070866141736"/>
  <pageSetup paperSize="9" scale="29" fitToHeight="0" orientation="landscape" useFirstPageNumber="1" r:id="rId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