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328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n-suzuki\Desktop\デリバ月間相場表(202401-202410)\"/>
    </mc:Choice>
  </mc:AlternateContent>
  <xr:revisionPtr revIDLastSave="0" documentId="13_ncr:1_{0FD15193-16D3-426D-8A6A-705E7B90552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BO_DM0005" sheetId="9" r:id="rId1"/>
  </sheets>
  <definedNames>
    <definedName name="_xlnm.Print_Titles" localSheetId="0">BO_DM0005!$1:$6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C103" i="9" l="1"/>
  <c r="AB103" i="9"/>
  <c r="AA103" i="9"/>
  <c r="W103" i="9"/>
  <c r="T103" i="9"/>
  <c r="S103" i="9"/>
  <c r="AC102" i="9"/>
  <c r="AB102" i="9"/>
  <c r="AA102" i="9"/>
  <c r="W102" i="9"/>
  <c r="T102" i="9"/>
  <c r="S102" i="9"/>
  <c r="AC101" i="9"/>
  <c r="AB101" i="9"/>
  <c r="AA101" i="9"/>
  <c r="W101" i="9"/>
  <c r="T101" i="9"/>
  <c r="S101" i="9"/>
  <c r="AC100" i="9"/>
  <c r="AB100" i="9"/>
  <c r="AA100" i="9"/>
  <c r="W100" i="9"/>
  <c r="T100" i="9"/>
  <c r="S100" i="9"/>
  <c r="AC99" i="9"/>
  <c r="AB99" i="9"/>
  <c r="AA99" i="9"/>
  <c r="W99" i="9"/>
  <c r="T99" i="9"/>
  <c r="S99" i="9"/>
  <c r="AC98" i="9"/>
  <c r="AB98" i="9"/>
  <c r="AA98" i="9"/>
  <c r="W98" i="9"/>
  <c r="T98" i="9"/>
  <c r="S98" i="9"/>
  <c r="AC97" i="9"/>
  <c r="AB97" i="9"/>
  <c r="AA97" i="9"/>
  <c r="W97" i="9"/>
  <c r="T97" i="9"/>
  <c r="S97" i="9"/>
  <c r="AC96" i="9"/>
  <c r="AB96" i="9"/>
  <c r="AA96" i="9"/>
  <c r="W96" i="9"/>
  <c r="T96" i="9"/>
  <c r="S96" i="9"/>
  <c r="AC95" i="9"/>
  <c r="AB95" i="9"/>
  <c r="AA95" i="9"/>
  <c r="W95" i="9"/>
  <c r="T95" i="9"/>
  <c r="S95" i="9"/>
  <c r="AC94" i="9"/>
  <c r="AB94" i="9"/>
  <c r="AA94" i="9"/>
  <c r="W94" i="9"/>
  <c r="T94" i="9"/>
  <c r="S94" i="9"/>
  <c r="AC93" i="9"/>
  <c r="AB93" i="9"/>
  <c r="AA93" i="9"/>
  <c r="W93" i="9"/>
  <c r="T93" i="9"/>
  <c r="S93" i="9"/>
  <c r="AC92" i="9"/>
  <c r="AB92" i="9"/>
  <c r="AA92" i="9"/>
  <c r="W92" i="9"/>
  <c r="T92" i="9"/>
  <c r="S92" i="9"/>
  <c r="AC91" i="9"/>
  <c r="AB91" i="9"/>
  <c r="AA91" i="9"/>
  <c r="W91" i="9"/>
  <c r="T91" i="9"/>
  <c r="S91" i="9"/>
  <c r="AC90" i="9"/>
  <c r="AB90" i="9"/>
  <c r="AA90" i="9"/>
  <c r="W90" i="9"/>
  <c r="T90" i="9"/>
  <c r="S90" i="9"/>
  <c r="AC89" i="9"/>
  <c r="AB89" i="9"/>
  <c r="AA89" i="9"/>
  <c r="W89" i="9"/>
  <c r="T89" i="9"/>
  <c r="S89" i="9"/>
  <c r="AC88" i="9"/>
  <c r="AB88" i="9"/>
  <c r="AA88" i="9"/>
  <c r="W88" i="9"/>
  <c r="T88" i="9"/>
  <c r="S88" i="9"/>
  <c r="AC87" i="9"/>
  <c r="AB87" i="9"/>
  <c r="AA87" i="9"/>
  <c r="W87" i="9"/>
  <c r="T87" i="9"/>
  <c r="S87" i="9"/>
  <c r="AC86" i="9"/>
  <c r="AB86" i="9"/>
  <c r="AA86" i="9"/>
  <c r="W86" i="9"/>
  <c r="T86" i="9"/>
  <c r="S86" i="9"/>
  <c r="AC85" i="9"/>
  <c r="AB85" i="9"/>
  <c r="AA85" i="9"/>
  <c r="W85" i="9"/>
  <c r="T85" i="9"/>
  <c r="S85" i="9"/>
  <c r="AC84" i="9"/>
  <c r="AB84" i="9"/>
  <c r="AA84" i="9"/>
  <c r="W84" i="9"/>
  <c r="T84" i="9"/>
  <c r="S84" i="9"/>
  <c r="AC83" i="9"/>
  <c r="AB83" i="9"/>
  <c r="AA83" i="9"/>
  <c r="W83" i="9"/>
  <c r="T83" i="9"/>
  <c r="S83" i="9"/>
  <c r="AC82" i="9"/>
  <c r="AB82" i="9"/>
  <c r="AA82" i="9"/>
  <c r="W82" i="9"/>
  <c r="T82" i="9"/>
  <c r="S82" i="9"/>
  <c r="AC81" i="9"/>
  <c r="AB81" i="9"/>
  <c r="AA81" i="9"/>
  <c r="W81" i="9"/>
  <c r="T81" i="9"/>
  <c r="S81" i="9"/>
  <c r="AC80" i="9"/>
  <c r="AB80" i="9"/>
  <c r="AA80" i="9"/>
  <c r="W80" i="9"/>
  <c r="T80" i="9"/>
  <c r="S80" i="9"/>
  <c r="AC79" i="9"/>
  <c r="AB79" i="9"/>
  <c r="AA79" i="9"/>
  <c r="W79" i="9"/>
  <c r="T79" i="9"/>
  <c r="S79" i="9"/>
  <c r="AC78" i="9"/>
  <c r="AB78" i="9"/>
  <c r="AA78" i="9"/>
  <c r="W78" i="9"/>
  <c r="T78" i="9"/>
  <c r="S78" i="9"/>
  <c r="AC77" i="9"/>
  <c r="AB77" i="9"/>
  <c r="AA77" i="9"/>
  <c r="W77" i="9"/>
  <c r="T77" i="9"/>
  <c r="S77" i="9"/>
  <c r="AC76" i="9"/>
  <c r="AB76" i="9"/>
  <c r="AA76" i="9"/>
  <c r="W76" i="9"/>
  <c r="T76" i="9"/>
  <c r="S76" i="9"/>
  <c r="AC75" i="9"/>
  <c r="AB75" i="9"/>
  <c r="AA75" i="9"/>
  <c r="W75" i="9"/>
  <c r="T75" i="9"/>
  <c r="S75" i="9"/>
  <c r="AC74" i="9"/>
  <c r="AB74" i="9"/>
  <c r="AA74" i="9"/>
  <c r="W74" i="9"/>
  <c r="T74" i="9"/>
  <c r="S74" i="9"/>
  <c r="AC73" i="9"/>
  <c r="AB73" i="9"/>
  <c r="AA73" i="9"/>
  <c r="W73" i="9"/>
  <c r="T73" i="9"/>
  <c r="S73" i="9"/>
  <c r="AC72" i="9"/>
  <c r="AB72" i="9"/>
  <c r="AA72" i="9"/>
  <c r="W72" i="9"/>
  <c r="T72" i="9"/>
  <c r="S72" i="9"/>
  <c r="AC71" i="9"/>
  <c r="AB71" i="9"/>
  <c r="AA71" i="9"/>
  <c r="W71" i="9"/>
  <c r="T71" i="9"/>
  <c r="S71" i="9"/>
  <c r="AC70" i="9"/>
  <c r="AB70" i="9"/>
  <c r="AA70" i="9"/>
  <c r="W70" i="9"/>
  <c r="T70" i="9"/>
  <c r="S70" i="9"/>
  <c r="AC69" i="9"/>
  <c r="AB69" i="9"/>
  <c r="AA69" i="9"/>
  <c r="W69" i="9"/>
  <c r="T69" i="9"/>
  <c r="S69" i="9"/>
  <c r="AC68" i="9"/>
  <c r="AB68" i="9"/>
  <c r="AA68" i="9"/>
  <c r="W68" i="9"/>
  <c r="T68" i="9"/>
  <c r="S68" i="9"/>
  <c r="AC67" i="9"/>
  <c r="AB67" i="9"/>
  <c r="AA67" i="9"/>
  <c r="W67" i="9"/>
  <c r="T67" i="9"/>
  <c r="S67" i="9"/>
  <c r="AC66" i="9"/>
  <c r="AB66" i="9"/>
  <c r="AA66" i="9"/>
  <c r="W66" i="9"/>
  <c r="T66" i="9"/>
  <c r="S66" i="9"/>
  <c r="AC65" i="9"/>
  <c r="AB65" i="9"/>
  <c r="AA65" i="9"/>
  <c r="W65" i="9"/>
  <c r="T65" i="9"/>
  <c r="S65" i="9"/>
  <c r="AC64" i="9"/>
  <c r="AB64" i="9"/>
  <c r="AA64" i="9"/>
  <c r="W64" i="9"/>
  <c r="T64" i="9"/>
  <c r="S64" i="9"/>
  <c r="AC63" i="9"/>
  <c r="AB63" i="9"/>
  <c r="AA63" i="9"/>
  <c r="W63" i="9"/>
  <c r="T63" i="9"/>
  <c r="S63" i="9"/>
  <c r="AC62" i="9"/>
  <c r="AB62" i="9"/>
  <c r="AA62" i="9"/>
  <c r="W62" i="9"/>
  <c r="T62" i="9"/>
  <c r="S62" i="9"/>
  <c r="AC61" i="9"/>
  <c r="AB61" i="9"/>
  <c r="AA61" i="9"/>
  <c r="W61" i="9"/>
  <c r="T61" i="9"/>
  <c r="S61" i="9"/>
  <c r="AC60" i="9"/>
  <c r="AB60" i="9"/>
  <c r="AA60" i="9"/>
  <c r="W60" i="9"/>
  <c r="T60" i="9"/>
  <c r="S60" i="9"/>
  <c r="AC59" i="9"/>
  <c r="AB59" i="9"/>
  <c r="AA59" i="9"/>
  <c r="W59" i="9"/>
  <c r="T59" i="9"/>
  <c r="S59" i="9"/>
  <c r="AC58" i="9"/>
  <c r="AB58" i="9"/>
  <c r="AA58" i="9"/>
  <c r="W58" i="9"/>
  <c r="T58" i="9"/>
  <c r="S58" i="9"/>
  <c r="AC57" i="9"/>
  <c r="AB57" i="9"/>
  <c r="AA57" i="9"/>
  <c r="W57" i="9"/>
  <c r="T57" i="9"/>
  <c r="S57" i="9"/>
  <c r="AC56" i="9"/>
  <c r="AB56" i="9"/>
  <c r="AA56" i="9"/>
  <c r="W56" i="9"/>
  <c r="T56" i="9"/>
  <c r="S56" i="9"/>
  <c r="AC55" i="9"/>
  <c r="AB55" i="9"/>
  <c r="AA55" i="9"/>
  <c r="W55" i="9"/>
  <c r="T55" i="9"/>
  <c r="S55" i="9"/>
  <c r="AC54" i="9"/>
  <c r="AB54" i="9"/>
  <c r="AA54" i="9"/>
  <c r="W54" i="9"/>
  <c r="T54" i="9"/>
  <c r="S54" i="9"/>
  <c r="AC53" i="9"/>
  <c r="AB53" i="9"/>
  <c r="AA53" i="9"/>
  <c r="W53" i="9"/>
  <c r="T53" i="9"/>
  <c r="S53" i="9"/>
  <c r="AC52" i="9"/>
  <c r="AB52" i="9"/>
  <c r="AA52" i="9"/>
  <c r="W52" i="9"/>
  <c r="T52" i="9"/>
  <c r="S52" i="9"/>
  <c r="AC51" i="9"/>
  <c r="AB51" i="9"/>
  <c r="AA51" i="9"/>
  <c r="W51" i="9"/>
  <c r="T51" i="9"/>
  <c r="S51" i="9"/>
  <c r="AC50" i="9"/>
  <c r="AB50" i="9"/>
  <c r="AA50" i="9"/>
  <c r="W50" i="9"/>
  <c r="T50" i="9"/>
  <c r="S50" i="9"/>
  <c r="AC49" i="9"/>
  <c r="AB49" i="9"/>
  <c r="AA49" i="9"/>
  <c r="W49" i="9"/>
  <c r="T49" i="9"/>
  <c r="S49" i="9"/>
  <c r="AC48" i="9"/>
  <c r="AB48" i="9"/>
  <c r="AA48" i="9"/>
  <c r="W48" i="9"/>
  <c r="T48" i="9"/>
  <c r="S48" i="9"/>
  <c r="AC47" i="9"/>
  <c r="AB47" i="9"/>
  <c r="AA47" i="9"/>
  <c r="W47" i="9"/>
  <c r="T47" i="9"/>
  <c r="S47" i="9"/>
  <c r="AC46" i="9"/>
  <c r="AB46" i="9"/>
  <c r="AA46" i="9"/>
  <c r="W46" i="9"/>
  <c r="T46" i="9"/>
  <c r="S46" i="9"/>
  <c r="AC45" i="9"/>
  <c r="AB45" i="9"/>
  <c r="AA45" i="9"/>
  <c r="W45" i="9"/>
  <c r="T45" i="9"/>
  <c r="S45" i="9"/>
  <c r="AC44" i="9"/>
  <c r="AB44" i="9"/>
  <c r="AA44" i="9"/>
  <c r="W44" i="9"/>
  <c r="T44" i="9"/>
  <c r="S44" i="9"/>
  <c r="AC43" i="9"/>
  <c r="AB43" i="9"/>
  <c r="AA43" i="9"/>
  <c r="W43" i="9"/>
  <c r="T43" i="9"/>
  <c r="S43" i="9"/>
  <c r="AC42" i="9"/>
  <c r="AB42" i="9"/>
  <c r="AA42" i="9"/>
  <c r="W42" i="9"/>
  <c r="T42" i="9"/>
  <c r="S42" i="9"/>
  <c r="AC41" i="9"/>
  <c r="AB41" i="9"/>
  <c r="AA41" i="9"/>
  <c r="W41" i="9"/>
  <c r="T41" i="9"/>
  <c r="S41" i="9"/>
  <c r="AC40" i="9"/>
  <c r="AB40" i="9"/>
  <c r="AA40" i="9"/>
  <c r="W40" i="9"/>
  <c r="T40" i="9"/>
  <c r="S40" i="9"/>
  <c r="AC39" i="9"/>
  <c r="AB39" i="9"/>
  <c r="AA39" i="9"/>
  <c r="W39" i="9"/>
  <c r="T39" i="9"/>
  <c r="S39" i="9"/>
  <c r="AC38" i="9"/>
  <c r="AB38" i="9"/>
  <c r="AA38" i="9"/>
  <c r="W38" i="9"/>
  <c r="T38" i="9"/>
  <c r="S38" i="9"/>
  <c r="AC37" i="9"/>
  <c r="AB37" i="9"/>
  <c r="AA37" i="9"/>
  <c r="W37" i="9"/>
  <c r="T37" i="9"/>
  <c r="S37" i="9"/>
  <c r="AC36" i="9"/>
  <c r="AB36" i="9"/>
  <c r="AA36" i="9"/>
  <c r="W36" i="9"/>
  <c r="T36" i="9"/>
  <c r="S36" i="9"/>
  <c r="AC35" i="9"/>
  <c r="AB35" i="9"/>
  <c r="AA35" i="9"/>
  <c r="W35" i="9"/>
  <c r="T35" i="9"/>
  <c r="S35" i="9"/>
  <c r="AC34" i="9"/>
  <c r="AB34" i="9"/>
  <c r="AA34" i="9"/>
  <c r="W34" i="9"/>
  <c r="T34" i="9"/>
  <c r="S34" i="9"/>
  <c r="AC33" i="9"/>
  <c r="AB33" i="9"/>
  <c r="AA33" i="9"/>
  <c r="W33" i="9"/>
  <c r="T33" i="9"/>
  <c r="S33" i="9"/>
  <c r="AC32" i="9"/>
  <c r="AB32" i="9"/>
  <c r="AA32" i="9"/>
  <c r="W32" i="9"/>
  <c r="T32" i="9"/>
  <c r="S32" i="9"/>
  <c r="AC31" i="9"/>
  <c r="AB31" i="9"/>
  <c r="AA31" i="9"/>
  <c r="W31" i="9"/>
  <c r="T31" i="9"/>
  <c r="S31" i="9"/>
  <c r="AC30" i="9"/>
  <c r="AB30" i="9"/>
  <c r="AA30" i="9"/>
  <c r="W30" i="9"/>
  <c r="T30" i="9"/>
  <c r="S30" i="9"/>
  <c r="AC29" i="9"/>
  <c r="AB29" i="9"/>
  <c r="AA29" i="9"/>
  <c r="W29" i="9"/>
  <c r="T29" i="9"/>
  <c r="S29" i="9"/>
  <c r="AC28" i="9"/>
  <c r="AB28" i="9"/>
  <c r="AA28" i="9"/>
  <c r="W28" i="9"/>
  <c r="T28" i="9"/>
  <c r="S28" i="9"/>
  <c r="AC27" i="9"/>
  <c r="AB27" i="9"/>
  <c r="AA27" i="9"/>
  <c r="W27" i="9"/>
  <c r="T27" i="9"/>
  <c r="S27" i="9"/>
  <c r="AC26" i="9"/>
  <c r="AB26" i="9"/>
  <c r="AA26" i="9"/>
  <c r="W26" i="9"/>
  <c r="T26" i="9"/>
  <c r="S26" i="9"/>
  <c r="AC25" i="9"/>
  <c r="AB25" i="9"/>
  <c r="AA25" i="9"/>
  <c r="W25" i="9"/>
  <c r="T25" i="9"/>
  <c r="S25" i="9"/>
  <c r="AC24" i="9"/>
  <c r="AB24" i="9"/>
  <c r="AA24" i="9"/>
  <c r="W24" i="9"/>
  <c r="T24" i="9"/>
  <c r="S24" i="9"/>
  <c r="AC23" i="9"/>
  <c r="AB23" i="9"/>
  <c r="AA23" i="9"/>
  <c r="W23" i="9"/>
  <c r="T23" i="9"/>
  <c r="S23" i="9"/>
  <c r="AC22" i="9"/>
  <c r="AB22" i="9"/>
  <c r="AA22" i="9"/>
  <c r="W22" i="9"/>
  <c r="T22" i="9"/>
  <c r="S22" i="9"/>
  <c r="AC21" i="9"/>
  <c r="AB21" i="9"/>
  <c r="AA21" i="9"/>
  <c r="W21" i="9"/>
  <c r="T21" i="9"/>
  <c r="S21" i="9"/>
  <c r="AC20" i="9"/>
  <c r="AB20" i="9"/>
  <c r="AA20" i="9"/>
  <c r="W20" i="9"/>
  <c r="T20" i="9"/>
  <c r="S20" i="9"/>
  <c r="AC19" i="9"/>
  <c r="AB19" i="9"/>
  <c r="AA19" i="9"/>
  <c r="W19" i="9"/>
  <c r="T19" i="9"/>
  <c r="S19" i="9"/>
  <c r="AC18" i="9"/>
  <c r="AB18" i="9"/>
  <c r="AA18" i="9"/>
  <c r="W18" i="9"/>
  <c r="T18" i="9"/>
  <c r="S18" i="9"/>
  <c r="AC17" i="9"/>
  <c r="AB17" i="9"/>
  <c r="AA17" i="9"/>
  <c r="W17" i="9"/>
  <c r="T17" i="9"/>
  <c r="S17" i="9"/>
  <c r="AC16" i="9"/>
  <c r="AB16" i="9"/>
  <c r="AA16" i="9"/>
  <c r="W16" i="9"/>
  <c r="T16" i="9"/>
  <c r="S16" i="9"/>
  <c r="AC15" i="9"/>
  <c r="AB15" i="9"/>
  <c r="AA15" i="9"/>
  <c r="W15" i="9"/>
  <c r="T15" i="9"/>
  <c r="S15" i="9"/>
  <c r="AC14" i="9"/>
  <c r="AB14" i="9"/>
  <c r="AA14" i="9"/>
  <c r="W14" i="9"/>
  <c r="T14" i="9"/>
  <c r="S14" i="9"/>
  <c r="AC13" i="9"/>
  <c r="AB13" i="9"/>
  <c r="AA13" i="9"/>
  <c r="W13" i="9"/>
  <c r="T13" i="9"/>
  <c r="S13" i="9"/>
  <c r="AC12" i="9"/>
  <c r="AB12" i="9"/>
  <c r="AA12" i="9"/>
  <c r="W12" i="9"/>
  <c r="T12" i="9"/>
  <c r="S12" i="9"/>
  <c r="AC11" i="9"/>
  <c r="AB11" i="9"/>
  <c r="AA11" i="9"/>
  <c r="W11" i="9"/>
  <c r="T11" i="9"/>
  <c r="S11" i="9"/>
  <c r="AC10" i="9"/>
  <c r="AB10" i="9"/>
  <c r="AA10" i="9"/>
  <c r="W10" i="9"/>
  <c r="T10" i="9"/>
  <c r="S10" i="9"/>
  <c r="AC9" i="9"/>
  <c r="AB9" i="9"/>
  <c r="AA9" i="9"/>
  <c r="W9" i="9"/>
  <c r="T9" i="9"/>
  <c r="S9" i="9"/>
  <c r="AC8" i="9"/>
  <c r="AB8" i="9"/>
  <c r="AA8" i="9"/>
  <c r="W8" i="9"/>
  <c r="T8" i="9"/>
  <c r="S8" i="9"/>
  <c r="AC7" i="9"/>
  <c r="AB7" i="9"/>
  <c r="AA7" i="9"/>
  <c r="W7" i="9"/>
  <c r="T7" i="9"/>
  <c r="S7" i="9"/>
</calcChain>
</file>

<file path=xl/sharedStrings.xml><?xml version="1.0" encoding="utf-8"?>
<sst xmlns="http://schemas.openxmlformats.org/spreadsheetml/2006/main" count="1345" uniqueCount="416">
  <si>
    <t>年月</t>
  </si>
  <si>
    <t>限月取引</t>
  </si>
  <si>
    <t xml:space="preserve"> </t>
  </si>
  <si>
    <t>　</t>
  </si>
  <si>
    <t>Contract Month</t>
  </si>
  <si>
    <t>取引期間</t>
    <rPh sb="0" eb="2">
      <t>トリヒキ</t>
    </rPh>
    <rPh sb="2" eb="4">
      <t>キカン</t>
    </rPh>
    <phoneticPr fontId="6"/>
  </si>
  <si>
    <t>日</t>
    <rPh sb="0" eb="1">
      <t>ヒ</t>
    </rPh>
    <phoneticPr fontId="6"/>
  </si>
  <si>
    <t>商品等</t>
    <rPh sb="0" eb="2">
      <t>ショウヒン</t>
    </rPh>
    <rPh sb="2" eb="3">
      <t>トウ</t>
    </rPh>
    <phoneticPr fontId="6"/>
  </si>
  <si>
    <t>Days 
Traded</t>
    <phoneticPr fontId="6"/>
  </si>
  <si>
    <t>Open 
Interest(unit)</t>
    <phoneticPr fontId="6"/>
  </si>
  <si>
    <t>J-NET(￥)</t>
    <phoneticPr fontId="6"/>
  </si>
  <si>
    <t>Trading 
Value(￥)</t>
    <phoneticPr fontId="6"/>
  </si>
  <si>
    <t>J-NET(unit)</t>
    <phoneticPr fontId="6"/>
  </si>
  <si>
    <t>Trading Volume(unit)</t>
    <phoneticPr fontId="6"/>
  </si>
  <si>
    <t>Date</t>
    <phoneticPr fontId="6"/>
  </si>
  <si>
    <t>Trading
Period</t>
    <phoneticPr fontId="6"/>
  </si>
  <si>
    <t>Year/Month</t>
    <phoneticPr fontId="6"/>
  </si>
  <si>
    <t>日</t>
    <phoneticPr fontId="6"/>
  </si>
  <si>
    <t>うちJ-NET
取引（円）</t>
    <phoneticPr fontId="6"/>
  </si>
  <si>
    <t>うちJ-NET
取引（単位）</t>
    <phoneticPr fontId="6"/>
  </si>
  <si>
    <t>値付
日数</t>
    <phoneticPr fontId="6"/>
  </si>
  <si>
    <t>建玉現在高
（単位）</t>
    <phoneticPr fontId="6"/>
  </si>
  <si>
    <t>取引金額（円）</t>
    <phoneticPr fontId="6"/>
  </si>
  <si>
    <t>取引高（単位）</t>
    <phoneticPr fontId="6"/>
  </si>
  <si>
    <t>値  段  Price</t>
    <phoneticPr fontId="6"/>
  </si>
  <si>
    <t>Products</t>
    <phoneticPr fontId="6"/>
  </si>
  <si>
    <t>商品先物相場表</t>
    <rPh sb="0" eb="2">
      <t>ショウヒン</t>
    </rPh>
    <rPh sb="2" eb="4">
      <t>サキモノ</t>
    </rPh>
    <phoneticPr fontId="6"/>
  </si>
  <si>
    <t>Commodity Futures Quotations</t>
    <phoneticPr fontId="6"/>
  </si>
  <si>
    <t>早受渡・申告受渡高
（単位）</t>
    <rPh sb="0" eb="1">
      <t>ハヤ</t>
    </rPh>
    <rPh sb="1" eb="3">
      <t>ウケワタシ</t>
    </rPh>
    <rPh sb="4" eb="6">
      <t>シンコク</t>
    </rPh>
    <rPh sb="6" eb="8">
      <t>ウケワタシ</t>
    </rPh>
    <rPh sb="8" eb="9">
      <t>ダカ</t>
    </rPh>
    <rPh sb="11" eb="13">
      <t>タンイ</t>
    </rPh>
    <phoneticPr fontId="6"/>
  </si>
  <si>
    <t>Early Delivery, Declared Delivery Volume(unit)</t>
    <phoneticPr fontId="6"/>
  </si>
  <si>
    <t>うちストラテジー
取引（単位）</t>
    <phoneticPr fontId="6"/>
  </si>
  <si>
    <t>Strategy(unit)</t>
    <phoneticPr fontId="6"/>
  </si>
  <si>
    <t>うちストラテジー
取引（円）</t>
    <phoneticPr fontId="6"/>
  </si>
  <si>
    <t>Strategy(￥)</t>
    <phoneticPr fontId="6"/>
  </si>
  <si>
    <t>始　値
（円/ポイント）</t>
    <phoneticPr fontId="6"/>
  </si>
  <si>
    <t>高　値
（円/ポイント）</t>
    <phoneticPr fontId="6"/>
  </si>
  <si>
    <t>うちJ-NET取引
（円/ポイント）</t>
    <phoneticPr fontId="6"/>
  </si>
  <si>
    <t>安　値
（円/ポイント）</t>
    <phoneticPr fontId="6"/>
  </si>
  <si>
    <t>終　値
（円/ポイント）</t>
    <phoneticPr fontId="6"/>
  </si>
  <si>
    <t>平均清算数値
（円/ポイント）</t>
    <phoneticPr fontId="6"/>
  </si>
  <si>
    <t>Open(￥/point)</t>
    <phoneticPr fontId="6"/>
  </si>
  <si>
    <t>High(￥/point)</t>
    <phoneticPr fontId="6"/>
  </si>
  <si>
    <t>J-NET(￥/point)</t>
    <phoneticPr fontId="6"/>
  </si>
  <si>
    <t>Low(￥/point)</t>
    <phoneticPr fontId="6"/>
  </si>
  <si>
    <t>Close(￥/point)</t>
    <phoneticPr fontId="6"/>
  </si>
  <si>
    <t>Average
Settlement
Price(￥/point)</t>
    <phoneticPr fontId="6"/>
  </si>
  <si>
    <t>2024/02</t>
  </si>
  <si>
    <t>金標準先物</t>
  </si>
  <si>
    <t>Gold Standard Futures</t>
  </si>
  <si>
    <t>2023/02/24</t>
  </si>
  <si>
    <t>2024/02/26</t>
  </si>
  <si>
    <t>01</t>
  </si>
  <si>
    <t>9,664</t>
  </si>
  <si>
    <t>26</t>
  </si>
  <si>
    <t>9,837</t>
  </si>
  <si>
    <t>09</t>
  </si>
  <si>
    <t>9,759.0000</t>
  </si>
  <si>
    <t>02</t>
  </si>
  <si>
    <t>9,588</t>
  </si>
  <si>
    <t>15</t>
  </si>
  <si>
    <t>9,643.0000</t>
  </si>
  <si>
    <t>*</t>
  </si>
  <si>
    <t>2024/04</t>
  </si>
  <si>
    <t>2023/04/26</t>
  </si>
  <si>
    <t>2024/04/24</t>
  </si>
  <si>
    <t>9,677</t>
  </si>
  <si>
    <t>29</t>
  </si>
  <si>
    <t>9,870</t>
  </si>
  <si>
    <t>22</t>
  </si>
  <si>
    <t>9,792.0000</t>
  </si>
  <si>
    <t>9,600</t>
  </si>
  <si>
    <t>9,810</t>
  </si>
  <si>
    <t>2024/06</t>
  </si>
  <si>
    <t>2023/06/28</t>
  </si>
  <si>
    <t>2024/06/25</t>
  </si>
  <si>
    <t>9,871</t>
  </si>
  <si>
    <t>9,584</t>
  </si>
  <si>
    <t>9,811</t>
  </si>
  <si>
    <t>2024/08</t>
  </si>
  <si>
    <t>2023/08/29</t>
  </si>
  <si>
    <t>2024/08/27</t>
  </si>
  <si>
    <t>9,670</t>
  </si>
  <si>
    <t>9,865</t>
  </si>
  <si>
    <t>28</t>
  </si>
  <si>
    <t>9,839.0000</t>
  </si>
  <si>
    <t>9,582</t>
  </si>
  <si>
    <t>9,800.0000</t>
  </si>
  <si>
    <t>9,808</t>
  </si>
  <si>
    <t>2024/10</t>
  </si>
  <si>
    <t>2023/10/27</t>
  </si>
  <si>
    <t>2024/10/28</t>
  </si>
  <si>
    <t>9,672</t>
  </si>
  <si>
    <t>9,869</t>
  </si>
  <si>
    <t>9,840.0000</t>
  </si>
  <si>
    <t>9,583</t>
  </si>
  <si>
    <t>9,807</t>
  </si>
  <si>
    <t>2024/12</t>
  </si>
  <si>
    <t>2023/12/26</t>
  </si>
  <si>
    <t>2024/12/24</t>
  </si>
  <si>
    <t>9,674</t>
  </si>
  <si>
    <t>9,872</t>
  </si>
  <si>
    <t>9,809.0000</t>
  </si>
  <si>
    <t>9,586</t>
  </si>
  <si>
    <t>16</t>
  </si>
  <si>
    <t>9,624.0000</t>
  </si>
  <si>
    <t>2025/02</t>
  </si>
  <si>
    <t>2024/02/27</t>
  </si>
  <si>
    <t>2025/02/25</t>
  </si>
  <si>
    <t>27</t>
  </si>
  <si>
    <t>9,875</t>
  </si>
  <si>
    <t>9,800</t>
  </si>
  <si>
    <t>9,812</t>
  </si>
  <si>
    <t>金ミニ先物</t>
  </si>
  <si>
    <t>Gold Mini Futures</t>
  </si>
  <si>
    <t>2024/02/22</t>
  </si>
  <si>
    <t>9,644.0</t>
  </si>
  <si>
    <t>9,807.5</t>
  </si>
  <si>
    <t>9,575.0</t>
  </si>
  <si>
    <t>9,804.0</t>
  </si>
  <si>
    <t>2024/04/23</t>
  </si>
  <si>
    <t>9,671.0</t>
  </si>
  <si>
    <t>9,865.0</t>
  </si>
  <si>
    <t>9,590.0</t>
  </si>
  <si>
    <t>9,806.0</t>
  </si>
  <si>
    <t>2024/06/24</t>
  </si>
  <si>
    <t>9,664.0</t>
  </si>
  <si>
    <t>9,846.0</t>
  </si>
  <si>
    <t>9,842.0</t>
  </si>
  <si>
    <t>2024/08/26</t>
  </si>
  <si>
    <t>9,645.0</t>
  </si>
  <si>
    <t>9,859.0</t>
  </si>
  <si>
    <t>9,588.0</t>
  </si>
  <si>
    <t>9,800.0</t>
  </si>
  <si>
    <t>2024/10/25</t>
  </si>
  <si>
    <t>9,669.0</t>
  </si>
  <si>
    <t>9,863.0</t>
  </si>
  <si>
    <t>9,584.0</t>
  </si>
  <si>
    <t>9,812.0</t>
  </si>
  <si>
    <t>2024/12/23</t>
  </si>
  <si>
    <t>9,868.5</t>
  </si>
  <si>
    <t>9,586.0</t>
  </si>
  <si>
    <t>9,806.5</t>
  </si>
  <si>
    <t>2025/02/21</t>
  </si>
  <si>
    <t>9,839.5</t>
  </si>
  <si>
    <t>9,871.5</t>
  </si>
  <si>
    <t>9,799.0</t>
  </si>
  <si>
    <t>金限日先物</t>
  </si>
  <si>
    <t>Gold Rolling-Spot Futures</t>
  </si>
  <si>
    <t>－</t>
  </si>
  <si>
    <t>9,696</t>
  </si>
  <si>
    <t>9,896</t>
  </si>
  <si>
    <t>9,606</t>
  </si>
  <si>
    <t>9,838</t>
  </si>
  <si>
    <t>銀先物</t>
  </si>
  <si>
    <t>Silver Futures</t>
  </si>
  <si>
    <t>101.3</t>
  </si>
  <si>
    <t>116.7</t>
  </si>
  <si>
    <t>115.0000</t>
  </si>
  <si>
    <t>100.5</t>
  </si>
  <si>
    <t>109.5</t>
  </si>
  <si>
    <t>114.0</t>
  </si>
  <si>
    <t>109.0</t>
  </si>
  <si>
    <t>19</t>
  </si>
  <si>
    <t>110.0</t>
  </si>
  <si>
    <t>07</t>
  </si>
  <si>
    <t>106.8</t>
  </si>
  <si>
    <t>20</t>
  </si>
  <si>
    <t>112.0</t>
  </si>
  <si>
    <t>106.3</t>
  </si>
  <si>
    <t>109.6</t>
  </si>
  <si>
    <t>白金標準先物</t>
  </si>
  <si>
    <t>Platinum Standard Futures</t>
  </si>
  <si>
    <t>4,380</t>
  </si>
  <si>
    <t>4,385</t>
  </si>
  <si>
    <t>4,295.0000</t>
  </si>
  <si>
    <t>13</t>
  </si>
  <si>
    <t>4,212</t>
  </si>
  <si>
    <t>4,286</t>
  </si>
  <si>
    <t>4,395</t>
  </si>
  <si>
    <t>21</t>
  </si>
  <si>
    <t>4,411</t>
  </si>
  <si>
    <t>4,325.0000</t>
  </si>
  <si>
    <t>14</t>
  </si>
  <si>
    <t>4,250</t>
  </si>
  <si>
    <t>4,275</t>
  </si>
  <si>
    <t>4,364</t>
  </si>
  <si>
    <t>4,400</t>
  </si>
  <si>
    <t>4,311.0000</t>
  </si>
  <si>
    <t>4,241</t>
  </si>
  <si>
    <t>4,279</t>
  </si>
  <si>
    <t>4,369</t>
  </si>
  <si>
    <t>4,415</t>
  </si>
  <si>
    <t>4,327.0000</t>
  </si>
  <si>
    <t>08</t>
  </si>
  <si>
    <t>4,246</t>
  </si>
  <si>
    <t>4,291</t>
  </si>
  <si>
    <t>4,362</t>
  </si>
  <si>
    <t>4,397</t>
  </si>
  <si>
    <t>4,317.0000</t>
  </si>
  <si>
    <t>4,225</t>
  </si>
  <si>
    <t>4,287.0000</t>
  </si>
  <si>
    <t>4,281</t>
  </si>
  <si>
    <t>4,392</t>
  </si>
  <si>
    <t>4,323.0000</t>
  </si>
  <si>
    <t>06</t>
  </si>
  <si>
    <t>4,285.0000</t>
  </si>
  <si>
    <t>4,285</t>
  </si>
  <si>
    <t>4,297</t>
  </si>
  <si>
    <t>4,335</t>
  </si>
  <si>
    <t>4,276</t>
  </si>
  <si>
    <t>4,288</t>
  </si>
  <si>
    <t>白金ミニ先物</t>
  </si>
  <si>
    <t>Platinum Mini Futures</t>
  </si>
  <si>
    <t>4,300.0</t>
  </si>
  <si>
    <t>4,369.5</t>
  </si>
  <si>
    <t>4,231.0</t>
  </si>
  <si>
    <t>4,294.0</t>
  </si>
  <si>
    <t>4,356.5</t>
  </si>
  <si>
    <t>4,401.5</t>
  </si>
  <si>
    <t>4,250.0</t>
  </si>
  <si>
    <t>4,277.5</t>
  </si>
  <si>
    <t>4,383.0</t>
  </si>
  <si>
    <t>4,391.5</t>
  </si>
  <si>
    <t>4,268.0</t>
  </si>
  <si>
    <t>4,333.0</t>
  </si>
  <si>
    <t>4,350.0</t>
  </si>
  <si>
    <t>4,410.5</t>
  </si>
  <si>
    <t>4,257.0</t>
  </si>
  <si>
    <t>4,362.0</t>
  </si>
  <si>
    <t>4,385.0</t>
  </si>
  <si>
    <t>4,233.0</t>
  </si>
  <si>
    <t>4,364.0</t>
  </si>
  <si>
    <t>4,389.0</t>
  </si>
  <si>
    <t>4,283.0</t>
  </si>
  <si>
    <t>4,326.0</t>
  </si>
  <si>
    <t>4,334.0</t>
  </si>
  <si>
    <t>4,276.0</t>
  </si>
  <si>
    <t>4,288.0</t>
  </si>
  <si>
    <t>白金限日先物</t>
  </si>
  <si>
    <t>Platinum Rolling-Spot Futures</t>
  </si>
  <si>
    <t>4,361</t>
  </si>
  <si>
    <t>4,406</t>
  </si>
  <si>
    <t>4,278.0000</t>
  </si>
  <si>
    <t>4,186</t>
  </si>
  <si>
    <t>4,282</t>
  </si>
  <si>
    <t>パラジウム先物</t>
  </si>
  <si>
    <t>Palladium Futures</t>
  </si>
  <si>
    <t>CME原油等指数先物</t>
  </si>
  <si>
    <t>CME Petroleum Index Futures</t>
  </si>
  <si>
    <t>2023/08/02</t>
  </si>
  <si>
    <t>2024/02/01</t>
  </si>
  <si>
    <t>2024/03</t>
  </si>
  <si>
    <t>2023/09/04</t>
  </si>
  <si>
    <t>2024/03/01</t>
  </si>
  <si>
    <t>2023/10/03</t>
  </si>
  <si>
    <t>2024/04/01</t>
  </si>
  <si>
    <t>190.20</t>
  </si>
  <si>
    <t>193.85</t>
  </si>
  <si>
    <t>2024/05</t>
  </si>
  <si>
    <t>2023/11/02</t>
  </si>
  <si>
    <t>2024/05/01</t>
  </si>
  <si>
    <t>2023/12/04</t>
  </si>
  <si>
    <t>2024/06/03</t>
  </si>
  <si>
    <t>2024/07</t>
  </si>
  <si>
    <t>2024/01/05</t>
  </si>
  <si>
    <t>2024/07/01</t>
  </si>
  <si>
    <t>2024/02/02</t>
  </si>
  <si>
    <t>2024/08/01</t>
  </si>
  <si>
    <t>ゴム（RSS3）先物</t>
  </si>
  <si>
    <t>RSS3 Rubber Futures</t>
  </si>
  <si>
    <t>2023/02/22</t>
  </si>
  <si>
    <t>279.9</t>
  </si>
  <si>
    <t>305.5</t>
  </si>
  <si>
    <t>305.0000</t>
  </si>
  <si>
    <t>278.6</t>
  </si>
  <si>
    <t>05</t>
  </si>
  <si>
    <t>282.5000</t>
  </si>
  <si>
    <t>2023/03/28</t>
  </si>
  <si>
    <t>2024/03/25</t>
  </si>
  <si>
    <t>280.6</t>
  </si>
  <si>
    <t>303.6</t>
  </si>
  <si>
    <t>301.4000</t>
  </si>
  <si>
    <t>277.5</t>
  </si>
  <si>
    <t>299.3000</t>
  </si>
  <si>
    <t>297.6</t>
  </si>
  <si>
    <t>2023/04/25</t>
  </si>
  <si>
    <t>281.2</t>
  </si>
  <si>
    <t>305.7</t>
  </si>
  <si>
    <t>305.6000</t>
  </si>
  <si>
    <t>276.7</t>
  </si>
  <si>
    <t>299.5</t>
  </si>
  <si>
    <t>2023/05/26</t>
  </si>
  <si>
    <t>2024/05/27</t>
  </si>
  <si>
    <t>283.8</t>
  </si>
  <si>
    <t>307.0</t>
  </si>
  <si>
    <t>305.8000</t>
  </si>
  <si>
    <t>276.2</t>
  </si>
  <si>
    <t>300.0</t>
  </si>
  <si>
    <t>2023/06/27</t>
  </si>
  <si>
    <t>284.5</t>
  </si>
  <si>
    <t>306.9</t>
  </si>
  <si>
    <t>303.4000</t>
  </si>
  <si>
    <t>273.5</t>
  </si>
  <si>
    <t>277.7000</t>
  </si>
  <si>
    <t>298.7</t>
  </si>
  <si>
    <t>2023/07/26</t>
  </si>
  <si>
    <t>2024/07/25</t>
  </si>
  <si>
    <t>285.4</t>
  </si>
  <si>
    <t>307.5</t>
  </si>
  <si>
    <t>296.1000</t>
  </si>
  <si>
    <t>272.3</t>
  </si>
  <si>
    <t>295.1000</t>
  </si>
  <si>
    <t>296.8</t>
  </si>
  <si>
    <t>2023/08/28</t>
  </si>
  <si>
    <t>284.4</t>
  </si>
  <si>
    <t>306.5</t>
  </si>
  <si>
    <t>275.0</t>
  </si>
  <si>
    <t>297.0</t>
  </si>
  <si>
    <t>2024/09</t>
  </si>
  <si>
    <t>2023/09/26</t>
  </si>
  <si>
    <t>2024/09/24</t>
  </si>
  <si>
    <t>291.6</t>
  </si>
  <si>
    <t>304.0</t>
  </si>
  <si>
    <t>276.0</t>
  </si>
  <si>
    <t>296.4</t>
  </si>
  <si>
    <t>2023/10/26</t>
  </si>
  <si>
    <t>280.0</t>
  </si>
  <si>
    <t>2024/11</t>
  </si>
  <si>
    <t>2023/11/27</t>
  </si>
  <si>
    <t>2024/11/25</t>
  </si>
  <si>
    <t>284.0</t>
  </si>
  <si>
    <t>2023/12/25</t>
  </si>
  <si>
    <t>2025/01</t>
  </si>
  <si>
    <t>2024/01/26</t>
  </si>
  <si>
    <t>2025/01/27</t>
  </si>
  <si>
    <t>290.9</t>
  </si>
  <si>
    <t>302.8</t>
  </si>
  <si>
    <t>290.5</t>
  </si>
  <si>
    <t>300.2</t>
  </si>
  <si>
    <t>300.1</t>
  </si>
  <si>
    <t>ゴム（TSR20）先物</t>
  </si>
  <si>
    <t>TSR20 Rubber Futures</t>
  </si>
  <si>
    <t>2023/03/01</t>
  </si>
  <si>
    <t>2024/02/29</t>
  </si>
  <si>
    <t>2023/04/03</t>
  </si>
  <si>
    <t>2024/03/29</t>
  </si>
  <si>
    <t>2023/05/01</t>
  </si>
  <si>
    <t>2024/04/30</t>
  </si>
  <si>
    <t>2023/06/01</t>
  </si>
  <si>
    <t>2024/05/31</t>
  </si>
  <si>
    <t>2023/07/03</t>
  </si>
  <si>
    <t>2024/06/28</t>
  </si>
  <si>
    <t>2023/08/01</t>
  </si>
  <si>
    <t>2024/07/31</t>
  </si>
  <si>
    <t>2023/09/01</t>
  </si>
  <si>
    <t>2024/08/30</t>
  </si>
  <si>
    <t>2023/10/02</t>
  </si>
  <si>
    <t>2024/09/30</t>
  </si>
  <si>
    <t>2023/11/01</t>
  </si>
  <si>
    <t>2024/10/31</t>
  </si>
  <si>
    <t>2023/12/01</t>
  </si>
  <si>
    <t>2024/11/29</t>
  </si>
  <si>
    <t>2024/01/04</t>
  </si>
  <si>
    <t>2024/12/30</t>
  </si>
  <si>
    <t>2025/01/31</t>
  </si>
  <si>
    <t>とうもろこし先物</t>
  </si>
  <si>
    <t>Corn Futures</t>
  </si>
  <si>
    <t>2023/02/16</t>
  </si>
  <si>
    <t>2024/02/15</t>
  </si>
  <si>
    <t>35,000</t>
  </si>
  <si>
    <t>37,100</t>
  </si>
  <si>
    <t>37,100.0000</t>
  </si>
  <si>
    <t>34,250</t>
  </si>
  <si>
    <t>2023/04/17</t>
  </si>
  <si>
    <t>2024/04/15</t>
  </si>
  <si>
    <t>37,250</t>
  </si>
  <si>
    <t>37,400</t>
  </si>
  <si>
    <t>37,000</t>
  </si>
  <si>
    <t>2023/06/16</t>
  </si>
  <si>
    <t>2024/06/14</t>
  </si>
  <si>
    <t>36,800</t>
  </si>
  <si>
    <t>33,360</t>
  </si>
  <si>
    <t>36,000</t>
  </si>
  <si>
    <t>2023/08/16</t>
  </si>
  <si>
    <t>2024/08/15</t>
  </si>
  <si>
    <t>38,010</t>
  </si>
  <si>
    <t>38,230</t>
  </si>
  <si>
    <t>38,000</t>
  </si>
  <si>
    <t>2023/10/16</t>
  </si>
  <si>
    <t>2024/10/15</t>
  </si>
  <si>
    <t>36,100.0000</t>
  </si>
  <si>
    <t>35,770</t>
  </si>
  <si>
    <t>36,300</t>
  </si>
  <si>
    <t>2023/12/18</t>
  </si>
  <si>
    <t>2024/12/13</t>
  </si>
  <si>
    <t>37,220</t>
  </si>
  <si>
    <t>37,750</t>
  </si>
  <si>
    <t>36,760</t>
  </si>
  <si>
    <t>2025/03</t>
  </si>
  <si>
    <t>2024/02/16</t>
  </si>
  <si>
    <t>2025/02/14</t>
  </si>
  <si>
    <t>36,950</t>
  </si>
  <si>
    <t>37,190</t>
  </si>
  <si>
    <t>36,700</t>
  </si>
  <si>
    <t>37,150</t>
  </si>
  <si>
    <t>一般大豆先物</t>
  </si>
  <si>
    <t>Soybean Futures</t>
  </si>
  <si>
    <t>小豆先物</t>
  </si>
  <si>
    <t>Azuki (Red Bean) Futures</t>
  </si>
  <si>
    <t>2023/09/27</t>
  </si>
  <si>
    <t>2024/03/26</t>
  </si>
  <si>
    <t>2023/11/28</t>
  </si>
  <si>
    <t>2024/05/28</t>
  </si>
  <si>
    <t>2023/12/21</t>
  </si>
  <si>
    <t>2024/01/29</t>
  </si>
  <si>
    <t>2024/07/26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</si>
</sst>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7">
    <numFmt numFmtId="176" formatCode="&quot;¥&quot;#,##0_);[Red]\(&quot;¥&quot;#,##0\)"/>
    <numFmt numFmtId="177" formatCode="&quot;¥&quot;#,##0.00_);[Red]\(&quot;¥&quot;#,##0.00\)"/>
    <numFmt numFmtId="178" formatCode="_(* #,##0_);_(* \(#,##0\);_(* &quot;-&quot;_);_(@_)"/>
    <numFmt numFmtId="179" formatCode="_(* #,##0.00_);_(* \(#,##0.00\);_(* &quot;-&quot;??_);_(@_)"/>
    <numFmt numFmtId="180" formatCode="#,##0;\-#,##0;&quot;-&quot;"/>
    <numFmt numFmtId="181" formatCode="0.00_)"/>
    <numFmt numFmtId="182" formatCode="0_)"/>
    <numFmt numFmtId="183" formatCode="0_);[Red]\(0\)"/>
    <numFmt numFmtId="184" formatCode="_-&quot;｣&quot;* #,##0_-;\-&quot;｣&quot;* #,##0_-;_-&quot;｣&quot;* &quot;-&quot;_-;_-@_-"/>
    <numFmt numFmtId="185" formatCode="_-&quot;｣&quot;* #,##0.00_-;\-&quot;｣&quot;* #,##0.00_-;_-&quot;｣&quot;* &quot;-&quot;??_-;_-@_-"/>
    <numFmt numFmtId="186" formatCode="&quot;$&quot;#,##0;[Red]\-&quot;$&quot;#,##0"/>
    <numFmt numFmtId="187" formatCode="&quot;$&quot;#,##0.00;[Red]\-&quot;$&quot;#,##0.00"/>
    <numFmt numFmtId="188" formatCode="0.00000"/>
    <numFmt numFmtId="189" formatCode="#,##0.0&quot;人月&quot;"/>
    <numFmt numFmtId="190" formatCode="_(&quot;$&quot;* #,##0.00_);_(&quot;$&quot;* \(#,##0.00\);_(&quot;$&quot;* &quot;-&quot;??_);_(@_)"/>
    <numFmt numFmtId="191" formatCode="_(&quot;$&quot;* #,##0_);_(&quot;$&quot;* \(#,##0\);_(&quot;$&quot;* &quot;-&quot;_);_(@_)"/>
    <numFmt numFmtId="192" formatCode="#0"/>
  </numFmts>
  <fonts count="97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10"/>
      <color indexed="8"/>
      <name val="Arial"/>
      <family val="2"/>
    </font>
    <font>
      <b/>
      <sz val="12"/>
      <name val="Arial"/>
      <family val="2"/>
    </font>
    <font>
      <b/>
      <i/>
      <sz val="16"/>
      <name val="Helv"/>
      <family val="2"/>
    </font>
    <font>
      <sz val="10"/>
      <name val="Arial"/>
      <family val="2"/>
    </font>
    <font>
      <sz val="11"/>
      <name val="明朝"/>
      <family val="1"/>
      <charset val="128"/>
    </font>
    <font>
      <strike/>
      <sz val="11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0"/>
      <name val="ＭＳ Ｐゴシック"/>
      <family val="3"/>
      <charset val="128"/>
    </font>
    <font>
      <sz val="10"/>
      <name val="Courier"/>
      <family val="3"/>
    </font>
    <font>
      <sz val="8"/>
      <name val="ＭＳ Ｐゴシック"/>
      <family val="3"/>
      <charset val="128"/>
    </font>
    <font>
      <sz val="9"/>
      <color theme="1"/>
      <name val="ＭＳ 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12"/>
      <name val="ＭＳ Ｐゴシック"/>
      <family val="3"/>
      <charset val="128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  <font>
      <sz val="11"/>
      <name val="明朝"/>
      <family val="3"/>
      <charset val="128"/>
    </font>
    <font>
      <sz val="11"/>
      <color indexed="8"/>
      <name val="ＭＳ Ｐゴシック"/>
      <family val="2"/>
      <scheme val="minor"/>
    </font>
    <font>
      <sz val="20"/>
      <name val="ＭＳ ゴシック"/>
      <family val="3"/>
      <charset val="128"/>
    </font>
    <font>
      <sz val="8"/>
      <name val="ＭＳ ゴシック"/>
      <family val="3"/>
      <charset val="128"/>
    </font>
    <font>
      <sz val="11"/>
      <name val="ＭＳ Ｐゴシック"/>
      <family val="2"/>
      <scheme val="minor"/>
    </font>
    <font>
      <sz val="5"/>
      <name val="ＭＳ ゴシック"/>
      <family val="3"/>
      <charset val="128"/>
    </font>
  </fonts>
  <fills count="2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46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indexed="64"/>
      </top>
      <bottom style="thin">
        <color rgb="FF000000"/>
      </bottom>
      <diagonal/>
    </border>
    <border>
      <left/>
      <right/>
      <top style="thin">
        <color indexed="64"/>
      </top>
      <bottom style="thin">
        <color rgb="FF000000"/>
      </bottom>
      <diagonal/>
    </border>
    <border>
      <left style="thin">
        <color rgb="FF000000"/>
      </left>
      <right/>
      <top style="thin">
        <color indexed="64"/>
      </top>
      <bottom/>
      <diagonal/>
    </border>
    <border>
      <left/>
      <right style="thin">
        <color rgb="FF000000"/>
      </right>
      <top style="thin">
        <color indexed="64"/>
      </top>
      <bottom/>
      <diagonal/>
    </border>
    <border>
      <left style="thin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hair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hair">
        <color rgb="FF000000"/>
      </right>
      <top style="thin">
        <color rgb="FF000000"/>
      </top>
      <bottom/>
      <diagonal/>
    </border>
    <border>
      <left style="thin">
        <color rgb="FF000000"/>
      </left>
      <right style="hair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/>
      <diagonal/>
    </border>
  </borders>
  <cellStyleXfs count="1953">
    <xf numFmtId="0" fontId="0" fillId="0" borderId="0"/>
    <xf numFmtId="38" fontId="5" fillId="0" borderId="0" applyFont="0" applyFill="0" applyBorder="0" applyAlignment="0" applyProtection="0"/>
    <xf numFmtId="180" fontId="8" fillId="0" borderId="0" applyFill="0" applyBorder="0" applyAlignment="0"/>
    <xf numFmtId="0" fontId="9" fillId="0" borderId="1" applyNumberFormat="0" applyAlignment="0" applyProtection="0">
      <alignment horizontal="left" vertical="center"/>
    </xf>
    <xf numFmtId="0" fontId="9" fillId="0" borderId="2">
      <alignment horizontal="left" vertical="center"/>
    </xf>
    <xf numFmtId="181" fontId="10" fillId="0" borderId="0"/>
    <xf numFmtId="0" fontId="11" fillId="0" borderId="0"/>
    <xf numFmtId="0" fontId="12" fillId="0" borderId="0"/>
    <xf numFmtId="49" fontId="13" fillId="2" borderId="3" applyNumberFormat="0" applyFill="0" applyBorder="0" applyProtection="0"/>
    <xf numFmtId="0" fontId="7" fillId="0" borderId="0">
      <alignment vertical="center"/>
    </xf>
    <xf numFmtId="0" fontId="14" fillId="0" borderId="0"/>
    <xf numFmtId="0" fontId="14" fillId="0" borderId="0">
      <alignment vertical="center"/>
    </xf>
    <xf numFmtId="182" fontId="16" fillId="0" borderId="0"/>
    <xf numFmtId="0" fontId="5" fillId="0" borderId="0"/>
    <xf numFmtId="0" fontId="5" fillId="0" borderId="0"/>
    <xf numFmtId="0" fontId="14" fillId="0" borderId="0">
      <alignment vertical="center"/>
    </xf>
    <xf numFmtId="0" fontId="4" fillId="0" borderId="0">
      <alignment vertical="center"/>
    </xf>
    <xf numFmtId="9" fontId="19" fillId="0" borderId="0" applyFont="0" applyFill="0" applyBorder="0" applyAlignment="0" applyProtection="0"/>
    <xf numFmtId="0" fontId="20" fillId="0" borderId="0"/>
    <xf numFmtId="0" fontId="5" fillId="0" borderId="0"/>
    <xf numFmtId="0" fontId="8" fillId="3" borderId="0" applyNumberFormat="0" applyBorder="0" applyAlignment="0" applyProtection="0"/>
    <xf numFmtId="0" fontId="8" fillId="4" borderId="0" applyNumberFormat="0" applyBorder="0" applyAlignment="0" applyProtection="0"/>
    <xf numFmtId="0" fontId="8" fillId="5" borderId="0" applyNumberFormat="0" applyBorder="0" applyAlignment="0" applyProtection="0"/>
    <xf numFmtId="0" fontId="8" fillId="6" borderId="0" applyNumberFormat="0" applyBorder="0" applyAlignment="0" applyProtection="0"/>
    <xf numFmtId="0" fontId="8" fillId="7" borderId="0" applyNumberFormat="0" applyBorder="0" applyAlignment="0" applyProtection="0"/>
    <xf numFmtId="0" fontId="8" fillId="8" borderId="0" applyNumberFormat="0" applyBorder="0" applyAlignment="0" applyProtection="0"/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/>
    <xf numFmtId="0" fontId="8" fillId="10" borderId="0" applyNumberFormat="0" applyBorder="0" applyAlignment="0" applyProtection="0"/>
    <xf numFmtId="0" fontId="8" fillId="11" borderId="0" applyNumberFormat="0" applyBorder="0" applyAlignment="0" applyProtection="0"/>
    <xf numFmtId="0" fontId="8" fillId="6" borderId="0" applyNumberFormat="0" applyBorder="0" applyAlignment="0" applyProtection="0"/>
    <xf numFmtId="0" fontId="8" fillId="9" borderId="0" applyNumberFormat="0" applyBorder="0" applyAlignment="0" applyProtection="0"/>
    <xf numFmtId="0" fontId="8" fillId="12" borderId="0" applyNumberFormat="0" applyBorder="0" applyAlignment="0" applyProtection="0"/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/>
    <xf numFmtId="0" fontId="22" fillId="10" borderId="0" applyNumberFormat="0" applyBorder="0" applyAlignment="0" applyProtection="0"/>
    <xf numFmtId="0" fontId="22" fillId="11" borderId="0" applyNumberFormat="0" applyBorder="0" applyAlignment="0" applyProtection="0"/>
    <xf numFmtId="0" fontId="22" fillId="14" borderId="0" applyNumberFormat="0" applyBorder="0" applyAlignment="0" applyProtection="0"/>
    <xf numFmtId="0" fontId="22" fillId="15" borderId="0" applyNumberFormat="0" applyBorder="0" applyAlignment="0" applyProtection="0"/>
    <xf numFmtId="0" fontId="22" fillId="16" borderId="0" applyNumberFormat="0" applyBorder="0" applyAlignment="0" applyProtection="0"/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/>
    <xf numFmtId="0" fontId="22" fillId="18" borderId="0" applyNumberFormat="0" applyBorder="0" applyAlignment="0" applyProtection="0"/>
    <xf numFmtId="0" fontId="22" fillId="19" borderId="0" applyNumberFormat="0" applyBorder="0" applyAlignment="0" applyProtection="0"/>
    <xf numFmtId="0" fontId="22" fillId="14" borderId="0" applyNumberFormat="0" applyBorder="0" applyAlignment="0" applyProtection="0"/>
    <xf numFmtId="0" fontId="22" fillId="15" borderId="0" applyNumberFormat="0" applyBorder="0" applyAlignment="0" applyProtection="0"/>
    <xf numFmtId="0" fontId="22" fillId="20" borderId="0" applyNumberFormat="0" applyBorder="0" applyAlignment="0" applyProtection="0"/>
    <xf numFmtId="0" fontId="24" fillId="0" borderId="0">
      <alignment horizontal="center" wrapText="1"/>
      <protection locked="0"/>
    </xf>
    <xf numFmtId="0" fontId="25" fillId="0" borderId="0"/>
    <xf numFmtId="0" fontId="26" fillId="4" borderId="0" applyNumberFormat="0" applyBorder="0" applyAlignment="0" applyProtection="0"/>
    <xf numFmtId="0" fontId="27" fillId="0" borderId="0" applyNumberFormat="0" applyFill="0" applyBorder="0" applyAlignment="0" applyProtection="0"/>
    <xf numFmtId="183" fontId="7" fillId="0" borderId="0" applyFill="0" applyBorder="0" applyAlignment="0"/>
    <xf numFmtId="0" fontId="28" fillId="21" borderId="10" applyNumberFormat="0" applyAlignment="0" applyProtection="0"/>
    <xf numFmtId="0" fontId="28" fillId="21" borderId="10" applyNumberFormat="0" applyAlignment="0" applyProtection="0"/>
    <xf numFmtId="0" fontId="28" fillId="21" borderId="10" applyNumberFormat="0" applyAlignment="0" applyProtection="0"/>
    <xf numFmtId="0" fontId="28" fillId="21" borderId="10" applyNumberFormat="0" applyAlignment="0" applyProtection="0"/>
    <xf numFmtId="0" fontId="28" fillId="21" borderId="10" applyNumberFormat="0" applyAlignment="0" applyProtection="0"/>
    <xf numFmtId="0" fontId="28" fillId="21" borderId="10" applyNumberFormat="0" applyAlignment="0" applyProtection="0"/>
    <xf numFmtId="0" fontId="28" fillId="21" borderId="10" applyNumberFormat="0" applyAlignment="0" applyProtection="0"/>
    <xf numFmtId="0" fontId="28" fillId="21" borderId="10" applyNumberFormat="0" applyAlignment="0" applyProtection="0"/>
    <xf numFmtId="0" fontId="28" fillId="21" borderId="10" applyNumberFormat="0" applyAlignment="0" applyProtection="0"/>
    <xf numFmtId="0" fontId="28" fillId="21" borderId="10" applyNumberFormat="0" applyAlignment="0" applyProtection="0"/>
    <xf numFmtId="0" fontId="28" fillId="21" borderId="10" applyNumberFormat="0" applyAlignment="0" applyProtection="0"/>
    <xf numFmtId="0" fontId="28" fillId="21" borderId="10" applyNumberFormat="0" applyAlignment="0" applyProtection="0"/>
    <xf numFmtId="0" fontId="28" fillId="21" borderId="10" applyNumberFormat="0" applyAlignment="0" applyProtection="0"/>
    <xf numFmtId="0" fontId="28" fillId="21" borderId="10" applyNumberFormat="0" applyAlignment="0" applyProtection="0"/>
    <xf numFmtId="0" fontId="28" fillId="21" borderId="10" applyNumberFormat="0" applyAlignment="0" applyProtection="0"/>
    <xf numFmtId="0" fontId="28" fillId="21" borderId="10" applyNumberFormat="0" applyAlignment="0" applyProtection="0"/>
    <xf numFmtId="0" fontId="29" fillId="22" borderId="11" applyNumberFormat="0" applyAlignment="0" applyProtection="0"/>
    <xf numFmtId="0" fontId="30" fillId="0" borderId="0">
      <alignment vertical="top" wrapText="1"/>
    </xf>
    <xf numFmtId="178" fontId="11" fillId="0" borderId="0" applyFont="0" applyFill="0" applyBorder="0" applyAlignment="0" applyProtection="0"/>
    <xf numFmtId="179" fontId="11" fillId="0" borderId="0" applyFont="0" applyFill="0" applyBorder="0" applyAlignment="0" applyProtection="0"/>
    <xf numFmtId="184" fontId="11" fillId="0" borderId="0" applyFont="0" applyFill="0" applyBorder="0" applyAlignment="0" applyProtection="0"/>
    <xf numFmtId="185" fontId="11" fillId="0" borderId="0" applyFont="0" applyFill="0" applyBorder="0" applyAlignment="0" applyProtection="0"/>
    <xf numFmtId="0" fontId="31" fillId="0" borderId="0">
      <alignment horizontal="left"/>
    </xf>
    <xf numFmtId="0" fontId="32" fillId="0" borderId="0" applyNumberFormat="0" applyFill="0" applyBorder="0" applyAlignment="0" applyProtection="0"/>
    <xf numFmtId="0" fontId="33" fillId="5" borderId="0" applyNumberFormat="0" applyBorder="0" applyAlignment="0" applyProtection="0"/>
    <xf numFmtId="38" fontId="34" fillId="23" borderId="0" applyNumberFormat="0" applyBorder="0" applyAlignment="0" applyProtection="0"/>
    <xf numFmtId="0" fontId="35" fillId="24" borderId="0"/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36" fillId="0" borderId="12" applyNumberFormat="0" applyFill="0" applyAlignment="0" applyProtection="0"/>
    <xf numFmtId="0" fontId="37" fillId="0" borderId="13" applyNumberFormat="0" applyFill="0" applyAlignment="0" applyProtection="0"/>
    <xf numFmtId="0" fontId="38" fillId="0" borderId="14" applyNumberFormat="0" applyFill="0" applyAlignment="0" applyProtection="0"/>
    <xf numFmtId="0" fontId="38" fillId="0" borderId="0" applyNumberFormat="0" applyFill="0" applyBorder="0" applyAlignment="0" applyProtection="0"/>
    <xf numFmtId="0" fontId="7" fillId="0" borderId="0" applyBorder="0"/>
    <xf numFmtId="0" fontId="39" fillId="8" borderId="10" applyNumberFormat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7" fillId="0" borderId="0"/>
    <xf numFmtId="0" fontId="40" fillId="0" borderId="15" applyNumberFormat="0" applyFill="0" applyAlignment="0" applyProtection="0"/>
    <xf numFmtId="38" fontId="41" fillId="0" borderId="0" applyFont="0" applyFill="0" applyBorder="0" applyAlignment="0" applyProtection="0"/>
    <xf numFmtId="40" fontId="41" fillId="0" borderId="0" applyFont="0" applyFill="0" applyBorder="0" applyAlignment="0" applyProtection="0"/>
    <xf numFmtId="186" fontId="41" fillId="0" borderId="0" applyFont="0" applyFill="0" applyBorder="0" applyAlignment="0" applyProtection="0"/>
    <xf numFmtId="187" fontId="41" fillId="0" borderId="0" applyFont="0" applyFill="0" applyBorder="0" applyAlignment="0" applyProtection="0"/>
    <xf numFmtId="0" fontId="42" fillId="26" borderId="0" applyNumberFormat="0" applyBorder="0" applyAlignment="0" applyProtection="0"/>
    <xf numFmtId="37" fontId="43" fillId="0" borderId="0"/>
    <xf numFmtId="188" fontId="7" fillId="0" borderId="0"/>
    <xf numFmtId="188" fontId="7" fillId="0" borderId="0"/>
    <xf numFmtId="181" fontId="10" fillId="0" borderId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44" fillId="21" borderId="17" applyNumberFormat="0" applyAlignment="0" applyProtection="0"/>
    <xf numFmtId="0" fontId="44" fillId="21" borderId="17" applyNumberFormat="0" applyAlignment="0" applyProtection="0"/>
    <xf numFmtId="0" fontId="44" fillId="21" borderId="17" applyNumberFormat="0" applyAlignment="0" applyProtection="0"/>
    <xf numFmtId="0" fontId="44" fillId="21" borderId="17" applyNumberFormat="0" applyAlignment="0" applyProtection="0"/>
    <xf numFmtId="0" fontId="44" fillId="21" borderId="17" applyNumberFormat="0" applyAlignment="0" applyProtection="0"/>
    <xf numFmtId="0" fontId="44" fillId="21" borderId="17" applyNumberFormat="0" applyAlignment="0" applyProtection="0"/>
    <xf numFmtId="0" fontId="44" fillId="21" borderId="17" applyNumberFormat="0" applyAlignment="0" applyProtection="0"/>
    <xf numFmtId="0" fontId="44" fillId="21" borderId="17" applyNumberFormat="0" applyAlignment="0" applyProtection="0"/>
    <xf numFmtId="0" fontId="44" fillId="21" borderId="17" applyNumberFormat="0" applyAlignment="0" applyProtection="0"/>
    <xf numFmtId="0" fontId="44" fillId="21" borderId="17" applyNumberFormat="0" applyAlignment="0" applyProtection="0"/>
    <xf numFmtId="0" fontId="44" fillId="21" borderId="17" applyNumberFormat="0" applyAlignment="0" applyProtection="0"/>
    <xf numFmtId="0" fontId="44" fillId="21" borderId="17" applyNumberFormat="0" applyAlignment="0" applyProtection="0"/>
    <xf numFmtId="0" fontId="44" fillId="21" borderId="17" applyNumberFormat="0" applyAlignment="0" applyProtection="0"/>
    <xf numFmtId="0" fontId="44" fillId="21" borderId="17" applyNumberFormat="0" applyAlignment="0" applyProtection="0"/>
    <xf numFmtId="0" fontId="44" fillId="21" borderId="17" applyNumberFormat="0" applyAlignment="0" applyProtection="0"/>
    <xf numFmtId="14" fontId="24" fillId="0" borderId="0">
      <alignment horizontal="center" wrapText="1"/>
      <protection locked="0"/>
    </xf>
    <xf numFmtId="10" fontId="11" fillId="0" borderId="0" applyFont="0" applyFill="0" applyBorder="0" applyAlignment="0" applyProtection="0"/>
    <xf numFmtId="4" fontId="31" fillId="0" borderId="0">
      <alignment horizontal="right"/>
    </xf>
    <xf numFmtId="0" fontId="45" fillId="0" borderId="0" applyNumberFormat="0" applyFont="0" applyFill="0" applyBorder="0" applyAlignment="0" applyProtection="0">
      <alignment horizontal="left"/>
    </xf>
    <xf numFmtId="0" fontId="46" fillId="0" borderId="18">
      <alignment horizontal="center"/>
    </xf>
    <xf numFmtId="0" fontId="47" fillId="0" borderId="0" applyNumberFormat="0" applyFont="0" applyFill="0" applyBorder="0" applyAlignment="0"/>
    <xf numFmtId="4" fontId="48" fillId="0" borderId="0">
      <alignment horizontal="right"/>
    </xf>
    <xf numFmtId="0" fontId="49" fillId="0" borderId="0">
      <alignment horizontal="left"/>
    </xf>
    <xf numFmtId="0" fontId="50" fillId="0" borderId="0"/>
    <xf numFmtId="0" fontId="51" fillId="0" borderId="0">
      <alignment horizontal="center"/>
    </xf>
    <xf numFmtId="0" fontId="52" fillId="0" borderId="19" applyNumberFormat="0" applyFill="0" applyAlignment="0" applyProtection="0"/>
    <xf numFmtId="0" fontId="52" fillId="0" borderId="19" applyNumberFormat="0" applyFill="0" applyAlignment="0" applyProtection="0"/>
    <xf numFmtId="0" fontId="52" fillId="0" borderId="19" applyNumberFormat="0" applyFill="0" applyAlignment="0" applyProtection="0"/>
    <xf numFmtId="0" fontId="52" fillId="0" borderId="19" applyNumberFormat="0" applyFill="0" applyAlignment="0" applyProtection="0"/>
    <xf numFmtId="0" fontId="52" fillId="0" borderId="19" applyNumberFormat="0" applyFill="0" applyAlignment="0" applyProtection="0"/>
    <xf numFmtId="0" fontId="52" fillId="0" borderId="19" applyNumberFormat="0" applyFill="0" applyAlignment="0" applyProtection="0"/>
    <xf numFmtId="0" fontId="52" fillId="0" borderId="19" applyNumberFormat="0" applyFill="0" applyAlignment="0" applyProtection="0"/>
    <xf numFmtId="0" fontId="52" fillId="0" borderId="19" applyNumberFormat="0" applyFill="0" applyAlignment="0" applyProtection="0"/>
    <xf numFmtId="0" fontId="52" fillId="0" borderId="19" applyNumberFormat="0" applyFill="0" applyAlignment="0" applyProtection="0"/>
    <xf numFmtId="0" fontId="52" fillId="0" borderId="19" applyNumberFormat="0" applyFill="0" applyAlignment="0" applyProtection="0"/>
    <xf numFmtId="0" fontId="52" fillId="0" borderId="19" applyNumberFormat="0" applyFill="0" applyAlignment="0" applyProtection="0"/>
    <xf numFmtId="0" fontId="52" fillId="0" borderId="19" applyNumberFormat="0" applyFill="0" applyAlignment="0" applyProtection="0"/>
    <xf numFmtId="0" fontId="52" fillId="0" borderId="19" applyNumberFormat="0" applyFill="0" applyAlignment="0" applyProtection="0"/>
    <xf numFmtId="0" fontId="52" fillId="0" borderId="19" applyNumberFormat="0" applyFill="0" applyAlignment="0" applyProtection="0"/>
    <xf numFmtId="0" fontId="52" fillId="0" borderId="19" applyNumberFormat="0" applyFill="0" applyAlignment="0" applyProtection="0"/>
    <xf numFmtId="0" fontId="53" fillId="0" borderId="0" applyNumberFormat="0" applyFill="0" applyBorder="0" applyAlignment="0" applyProtection="0"/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54" fillId="0" borderId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6" fillId="22" borderId="11" applyNumberFormat="0" applyAlignment="0" applyProtection="0">
      <alignment vertical="center"/>
    </xf>
    <xf numFmtId="0" fontId="56" fillId="22" borderId="11" applyNumberFormat="0" applyAlignment="0" applyProtection="0">
      <alignment vertical="center"/>
    </xf>
    <xf numFmtId="0" fontId="56" fillId="22" borderId="11" applyNumberFormat="0" applyAlignment="0" applyProtection="0">
      <alignment vertical="center"/>
    </xf>
    <xf numFmtId="0" fontId="56" fillId="22" borderId="11" applyNumberFormat="0" applyAlignment="0" applyProtection="0">
      <alignment vertical="center"/>
    </xf>
    <xf numFmtId="0" fontId="56" fillId="22" borderId="11" applyNumberFormat="0" applyAlignment="0" applyProtection="0">
      <alignment vertical="center"/>
    </xf>
    <xf numFmtId="0" fontId="56" fillId="22" borderId="11" applyNumberFormat="0" applyAlignment="0" applyProtection="0">
      <alignment vertical="center"/>
    </xf>
    <xf numFmtId="0" fontId="56" fillId="22" borderId="11" applyNumberFormat="0" applyAlignment="0" applyProtection="0">
      <alignment vertical="center"/>
    </xf>
    <xf numFmtId="0" fontId="56" fillId="22" borderId="11" applyNumberFormat="0" applyAlignment="0" applyProtection="0">
      <alignment vertical="center"/>
    </xf>
    <xf numFmtId="0" fontId="57" fillId="0" borderId="0"/>
    <xf numFmtId="0" fontId="58" fillId="26" borderId="0" applyNumberFormat="0" applyBorder="0" applyAlignment="0" applyProtection="0">
      <alignment vertical="center"/>
    </xf>
    <xf numFmtId="0" fontId="58" fillId="26" borderId="0" applyNumberFormat="0" applyBorder="0" applyAlignment="0" applyProtection="0">
      <alignment vertical="center"/>
    </xf>
    <xf numFmtId="0" fontId="58" fillId="26" borderId="0" applyNumberFormat="0" applyBorder="0" applyAlignment="0" applyProtection="0">
      <alignment vertical="center"/>
    </xf>
    <xf numFmtId="0" fontId="58" fillId="26" borderId="0" applyNumberFormat="0" applyBorder="0" applyAlignment="0" applyProtection="0">
      <alignment vertical="center"/>
    </xf>
    <xf numFmtId="0" fontId="58" fillId="26" borderId="0" applyNumberFormat="0" applyBorder="0" applyAlignment="0" applyProtection="0">
      <alignment vertical="center"/>
    </xf>
    <xf numFmtId="0" fontId="58" fillId="26" borderId="0" applyNumberFormat="0" applyBorder="0" applyAlignment="0" applyProtection="0">
      <alignment vertical="center"/>
    </xf>
    <xf numFmtId="0" fontId="58" fillId="26" borderId="0" applyNumberFormat="0" applyBorder="0" applyAlignment="0" applyProtection="0">
      <alignment vertical="center"/>
    </xf>
    <xf numFmtId="0" fontId="58" fillId="26" borderId="0" applyNumberFormat="0" applyBorder="0" applyAlignment="0" applyProtection="0">
      <alignment vertical="center"/>
    </xf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0" fontId="59" fillId="0" borderId="0" applyNumberFormat="0" applyFill="0" applyBorder="0" applyAlignment="0" applyProtection="0">
      <alignment vertical="top"/>
      <protection locked="0"/>
    </xf>
    <xf numFmtId="0" fontId="60" fillId="0" borderId="0" applyNumberFormat="0" applyFill="0" applyBorder="0" applyAlignment="0" applyProtection="0">
      <alignment vertical="top"/>
      <protection locked="0"/>
    </xf>
    <xf numFmtId="0" fontId="59" fillId="0" borderId="0" applyNumberFormat="0" applyFill="0" applyBorder="0" applyAlignment="0" applyProtection="0">
      <alignment vertical="top"/>
      <protection locked="0"/>
    </xf>
    <xf numFmtId="0" fontId="61" fillId="0" borderId="0" applyNumberFormat="0" applyFill="0" applyBorder="0" applyAlignment="0" applyProtection="0">
      <alignment vertical="top"/>
      <protection locked="0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7" fillId="27" borderId="16" applyNumberFormat="0" applyFont="0" applyAlignment="0" applyProtection="0">
      <alignment vertical="center"/>
    </xf>
    <xf numFmtId="0" fontId="7" fillId="27" borderId="16" applyNumberFormat="0" applyFont="0" applyAlignment="0" applyProtection="0">
      <alignment vertical="center"/>
    </xf>
    <xf numFmtId="0" fontId="7" fillId="27" borderId="16" applyNumberFormat="0" applyFont="0" applyAlignment="0" applyProtection="0">
      <alignment vertical="center"/>
    </xf>
    <xf numFmtId="0" fontId="7" fillId="27" borderId="16" applyNumberFormat="0" applyFont="0" applyAlignment="0" applyProtection="0">
      <alignment vertical="center"/>
    </xf>
    <xf numFmtId="0" fontId="7" fillId="27" borderId="16" applyNumberFormat="0" applyFont="0" applyAlignment="0" applyProtection="0">
      <alignment vertical="center"/>
    </xf>
    <xf numFmtId="0" fontId="7" fillId="27" borderId="16" applyNumberFormat="0" applyFont="0" applyAlignment="0" applyProtection="0">
      <alignment vertical="center"/>
    </xf>
    <xf numFmtId="0" fontId="7" fillId="27" borderId="16" applyNumberFormat="0" applyFont="0" applyAlignment="0" applyProtection="0">
      <alignment vertical="center"/>
    </xf>
    <xf numFmtId="0" fontId="7" fillId="27" borderId="16" applyNumberFormat="0" applyFont="0" applyAlignment="0" applyProtection="0">
      <alignment vertical="center"/>
    </xf>
    <xf numFmtId="0" fontId="7" fillId="27" borderId="16" applyNumberFormat="0" applyFont="0" applyAlignment="0" applyProtection="0">
      <alignment vertical="center"/>
    </xf>
    <xf numFmtId="0" fontId="7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7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62" fillId="0" borderId="15" applyNumberFormat="0" applyFill="0" applyAlignment="0" applyProtection="0">
      <alignment vertical="center"/>
    </xf>
    <xf numFmtId="0" fontId="62" fillId="0" borderId="15" applyNumberFormat="0" applyFill="0" applyAlignment="0" applyProtection="0">
      <alignment vertical="center"/>
    </xf>
    <xf numFmtId="0" fontId="62" fillId="0" borderId="15" applyNumberFormat="0" applyFill="0" applyAlignment="0" applyProtection="0">
      <alignment vertical="center"/>
    </xf>
    <xf numFmtId="0" fontId="62" fillId="0" borderId="15" applyNumberFormat="0" applyFill="0" applyAlignment="0" applyProtection="0">
      <alignment vertical="center"/>
    </xf>
    <xf numFmtId="0" fontId="62" fillId="0" borderId="15" applyNumberFormat="0" applyFill="0" applyAlignment="0" applyProtection="0">
      <alignment vertical="center"/>
    </xf>
    <xf numFmtId="0" fontId="62" fillId="0" borderId="15" applyNumberFormat="0" applyFill="0" applyAlignment="0" applyProtection="0">
      <alignment vertical="center"/>
    </xf>
    <xf numFmtId="0" fontId="62" fillId="0" borderId="15" applyNumberFormat="0" applyFill="0" applyAlignment="0" applyProtection="0">
      <alignment vertical="center"/>
    </xf>
    <xf numFmtId="0" fontId="62" fillId="0" borderId="15" applyNumberFormat="0" applyFill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3" fillId="4" borderId="0" applyNumberFormat="0" applyBorder="0" applyAlignment="0" applyProtection="0">
      <alignment vertical="center"/>
    </xf>
    <xf numFmtId="0" fontId="63" fillId="4" borderId="0" applyNumberFormat="0" applyBorder="0" applyAlignment="0" applyProtection="0">
      <alignment vertical="center"/>
    </xf>
    <xf numFmtId="0" fontId="63" fillId="4" borderId="0" applyNumberFormat="0" applyBorder="0" applyAlignment="0" applyProtection="0">
      <alignment vertical="center"/>
    </xf>
    <xf numFmtId="0" fontId="63" fillId="4" borderId="0" applyNumberFormat="0" applyBorder="0" applyAlignment="0" applyProtection="0">
      <alignment vertical="center"/>
    </xf>
    <xf numFmtId="0" fontId="63" fillId="4" borderId="0" applyNumberFormat="0" applyBorder="0" applyAlignment="0" applyProtection="0">
      <alignment vertical="center"/>
    </xf>
    <xf numFmtId="0" fontId="63" fillId="4" borderId="0" applyNumberFormat="0" applyBorder="0" applyAlignment="0" applyProtection="0">
      <alignment vertical="center"/>
    </xf>
    <xf numFmtId="0" fontId="63" fillId="4" borderId="0" applyNumberFormat="0" applyBorder="0" applyAlignment="0" applyProtection="0">
      <alignment vertical="center"/>
    </xf>
    <xf numFmtId="0" fontId="63" fillId="4" borderId="0" applyNumberFormat="0" applyBorder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179" fontId="11" fillId="0" borderId="0" applyFont="0" applyFill="0" applyBorder="0" applyAlignment="0" applyProtection="0"/>
    <xf numFmtId="38" fontId="66" fillId="0" borderId="0" applyFont="0" applyFill="0" applyBorder="0" applyAlignment="0" applyProtection="0"/>
    <xf numFmtId="38" fontId="17" fillId="0" borderId="0" applyFont="0" applyFill="0" applyBorder="0" applyAlignment="0" applyProtection="0">
      <alignment vertical="center"/>
    </xf>
    <xf numFmtId="38" fontId="67" fillId="0" borderId="0" applyFont="0" applyFill="0" applyBorder="0" applyAlignment="0" applyProtection="0"/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/>
    <xf numFmtId="38" fontId="67" fillId="0" borderId="0" applyFont="0" applyFill="0" applyBorder="0" applyAlignment="0" applyProtection="0"/>
    <xf numFmtId="38" fontId="5" fillId="0" borderId="0" applyFont="0" applyFill="0" applyBorder="0" applyAlignment="0" applyProtection="0"/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/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178" fontId="11" fillId="0" borderId="0" applyFont="0" applyFill="0" applyBorder="0" applyAlignment="0" applyProtection="0"/>
    <xf numFmtId="38" fontId="5" fillId="0" borderId="0" applyFont="0" applyFill="0" applyBorder="0" applyAlignment="0" applyProtection="0">
      <alignment vertical="center"/>
    </xf>
    <xf numFmtId="38" fontId="14" fillId="0" borderId="0" applyFont="0" applyFill="0" applyBorder="0" applyAlignment="0" applyProtection="0">
      <alignment vertical="center"/>
    </xf>
    <xf numFmtId="38" fontId="14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/>
    <xf numFmtId="38" fontId="14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21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21" fillId="0" borderId="0" applyFont="0" applyFill="0" applyBorder="0" applyAlignment="0" applyProtection="0">
      <alignment vertical="center"/>
    </xf>
    <xf numFmtId="38" fontId="14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/>
    <xf numFmtId="38" fontId="21" fillId="0" borderId="0" applyFont="0" applyFill="0" applyBorder="0" applyAlignment="0" applyProtection="0">
      <alignment vertical="center"/>
    </xf>
    <xf numFmtId="38" fontId="21" fillId="0" borderId="0" applyFont="0" applyFill="0" applyBorder="0" applyAlignment="0" applyProtection="0">
      <alignment vertical="center"/>
    </xf>
    <xf numFmtId="38" fontId="14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/>
    <xf numFmtId="0" fontId="68" fillId="0" borderId="12" applyNumberFormat="0" applyFill="0" applyAlignment="0" applyProtection="0">
      <alignment vertical="center"/>
    </xf>
    <xf numFmtId="0" fontId="68" fillId="0" borderId="12" applyNumberFormat="0" applyFill="0" applyAlignment="0" applyProtection="0">
      <alignment vertical="center"/>
    </xf>
    <xf numFmtId="0" fontId="68" fillId="0" borderId="12" applyNumberFormat="0" applyFill="0" applyAlignment="0" applyProtection="0">
      <alignment vertical="center"/>
    </xf>
    <xf numFmtId="0" fontId="68" fillId="0" borderId="12" applyNumberFormat="0" applyFill="0" applyAlignment="0" applyProtection="0">
      <alignment vertical="center"/>
    </xf>
    <xf numFmtId="0" fontId="68" fillId="0" borderId="12" applyNumberFormat="0" applyFill="0" applyAlignment="0" applyProtection="0">
      <alignment vertical="center"/>
    </xf>
    <xf numFmtId="0" fontId="68" fillId="0" borderId="12" applyNumberFormat="0" applyFill="0" applyAlignment="0" applyProtection="0">
      <alignment vertical="center"/>
    </xf>
    <xf numFmtId="0" fontId="68" fillId="0" borderId="12" applyNumberFormat="0" applyFill="0" applyAlignment="0" applyProtection="0">
      <alignment vertical="center"/>
    </xf>
    <xf numFmtId="0" fontId="68" fillId="0" borderId="12" applyNumberFormat="0" applyFill="0" applyAlignment="0" applyProtection="0">
      <alignment vertical="center"/>
    </xf>
    <xf numFmtId="0" fontId="69" fillId="0" borderId="13" applyNumberFormat="0" applyFill="0" applyAlignment="0" applyProtection="0">
      <alignment vertical="center"/>
    </xf>
    <xf numFmtId="0" fontId="69" fillId="0" borderId="13" applyNumberFormat="0" applyFill="0" applyAlignment="0" applyProtection="0">
      <alignment vertical="center"/>
    </xf>
    <xf numFmtId="0" fontId="69" fillId="0" borderId="13" applyNumberFormat="0" applyFill="0" applyAlignment="0" applyProtection="0">
      <alignment vertical="center"/>
    </xf>
    <xf numFmtId="0" fontId="69" fillId="0" borderId="13" applyNumberFormat="0" applyFill="0" applyAlignment="0" applyProtection="0">
      <alignment vertical="center"/>
    </xf>
    <xf numFmtId="0" fontId="69" fillId="0" borderId="13" applyNumberFormat="0" applyFill="0" applyAlignment="0" applyProtection="0">
      <alignment vertical="center"/>
    </xf>
    <xf numFmtId="0" fontId="69" fillId="0" borderId="13" applyNumberFormat="0" applyFill="0" applyAlignment="0" applyProtection="0">
      <alignment vertical="center"/>
    </xf>
    <xf numFmtId="0" fontId="69" fillId="0" borderId="13" applyNumberFormat="0" applyFill="0" applyAlignment="0" applyProtection="0">
      <alignment vertical="center"/>
    </xf>
    <xf numFmtId="0" fontId="69" fillId="0" borderId="13" applyNumberFormat="0" applyFill="0" applyAlignment="0" applyProtection="0">
      <alignment vertical="center"/>
    </xf>
    <xf numFmtId="0" fontId="70" fillId="0" borderId="14" applyNumberFormat="0" applyFill="0" applyAlignment="0" applyProtection="0">
      <alignment vertical="center"/>
    </xf>
    <xf numFmtId="0" fontId="70" fillId="0" borderId="14" applyNumberFormat="0" applyFill="0" applyAlignment="0" applyProtection="0">
      <alignment vertical="center"/>
    </xf>
    <xf numFmtId="0" fontId="70" fillId="0" borderId="14" applyNumberFormat="0" applyFill="0" applyAlignment="0" applyProtection="0">
      <alignment vertical="center"/>
    </xf>
    <xf numFmtId="0" fontId="70" fillId="0" borderId="14" applyNumberFormat="0" applyFill="0" applyAlignment="0" applyProtection="0">
      <alignment vertical="center"/>
    </xf>
    <xf numFmtId="0" fontId="70" fillId="0" borderId="14" applyNumberFormat="0" applyFill="0" applyAlignment="0" applyProtection="0">
      <alignment vertical="center"/>
    </xf>
    <xf numFmtId="0" fontId="70" fillId="0" borderId="14" applyNumberFormat="0" applyFill="0" applyAlignment="0" applyProtection="0">
      <alignment vertical="center"/>
    </xf>
    <xf numFmtId="0" fontId="70" fillId="0" borderId="14" applyNumberFormat="0" applyFill="0" applyAlignment="0" applyProtection="0">
      <alignment vertical="center"/>
    </xf>
    <xf numFmtId="0" fontId="70" fillId="0" borderId="14" applyNumberFormat="0" applyFill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1" fillId="0" borderId="0"/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189" fontId="12" fillId="0" borderId="0"/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190" fontId="11" fillId="0" borderId="0" applyFont="0" applyFill="0" applyBorder="0" applyAlignment="0" applyProtection="0"/>
    <xf numFmtId="191" fontId="11" fillId="0" borderId="0" applyFont="0" applyFill="0" applyBorder="0" applyAlignment="0" applyProtection="0"/>
    <xf numFmtId="177" fontId="7" fillId="0" borderId="0" applyFont="0" applyFill="0" applyBorder="0" applyAlignment="0" applyProtection="0"/>
    <xf numFmtId="177" fontId="7" fillId="0" borderId="0" applyFont="0" applyFill="0" applyBorder="0" applyAlignment="0" applyProtection="0"/>
    <xf numFmtId="177" fontId="7" fillId="0" borderId="0" applyFont="0" applyFill="0" applyBorder="0" applyAlignment="0" applyProtection="0"/>
    <xf numFmtId="177" fontId="7" fillId="0" borderId="0" applyFont="0" applyFill="0" applyBorder="0" applyAlignment="0" applyProtection="0"/>
    <xf numFmtId="177" fontId="7" fillId="0" borderId="0" applyFont="0" applyFill="0" applyBorder="0" applyAlignment="0" applyProtection="0"/>
    <xf numFmtId="177" fontId="7" fillId="0" borderId="0" applyFont="0" applyFill="0" applyBorder="0" applyAlignment="0" applyProtection="0"/>
    <xf numFmtId="176" fontId="5" fillId="0" borderId="0" applyFont="0" applyFill="0" applyBorder="0" applyAlignment="0" applyProtection="0"/>
    <xf numFmtId="176" fontId="14" fillId="0" borderId="0" applyFont="0" applyFill="0" applyBorder="0" applyAlignment="0" applyProtection="0">
      <alignment vertical="center"/>
    </xf>
    <xf numFmtId="176" fontId="75" fillId="0" borderId="0" applyFont="0" applyFill="0" applyBorder="0" applyAlignment="0" applyProtection="0">
      <alignment vertical="center"/>
    </xf>
    <xf numFmtId="176" fontId="14" fillId="0" borderId="0" applyFont="0" applyFill="0" applyBorder="0" applyAlignment="0" applyProtection="0">
      <alignment vertical="center"/>
    </xf>
    <xf numFmtId="176" fontId="14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/>
    <xf numFmtId="176" fontId="7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/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7" fillId="0" borderId="0">
      <alignment vertical="center"/>
    </xf>
    <xf numFmtId="0" fontId="77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7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19" fillId="0" borderId="0"/>
    <xf numFmtId="0" fontId="17" fillId="0" borderId="0">
      <alignment vertical="center"/>
    </xf>
    <xf numFmtId="0" fontId="19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14" fillId="0" borderId="0">
      <alignment vertical="center"/>
    </xf>
    <xf numFmtId="0" fontId="5" fillId="0" borderId="0"/>
    <xf numFmtId="0" fontId="78" fillId="0" borderId="0">
      <alignment vertical="center"/>
    </xf>
    <xf numFmtId="0" fontId="14" fillId="0" borderId="0">
      <alignment vertical="center"/>
    </xf>
    <xf numFmtId="0" fontId="5" fillId="0" borderId="0"/>
    <xf numFmtId="0" fontId="5" fillId="0" borderId="0"/>
    <xf numFmtId="0" fontId="5" fillId="0" borderId="0"/>
    <xf numFmtId="0" fontId="18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/>
    <xf numFmtId="0" fontId="14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79" fillId="0" borderId="0">
      <alignment vertical="center"/>
    </xf>
    <xf numFmtId="0" fontId="14" fillId="0" borderId="0"/>
    <xf numFmtId="0" fontId="79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/>
    <xf numFmtId="0" fontId="80" fillId="0" borderId="0">
      <alignment vertical="center"/>
    </xf>
    <xf numFmtId="0" fontId="5" fillId="0" borderId="0"/>
    <xf numFmtId="0" fontId="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19" fillId="0" borderId="0"/>
    <xf numFmtId="0" fontId="14" fillId="0" borderId="0">
      <alignment vertical="center"/>
    </xf>
    <xf numFmtId="0" fontId="14" fillId="0" borderId="0">
      <alignment vertical="center"/>
    </xf>
    <xf numFmtId="0" fontId="19" fillId="0" borderId="0"/>
    <xf numFmtId="0" fontId="17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/>
    <xf numFmtId="0" fontId="14" fillId="0" borderId="0">
      <alignment vertical="center"/>
    </xf>
    <xf numFmtId="0" fontId="5" fillId="0" borderId="0"/>
    <xf numFmtId="0" fontId="81" fillId="0" borderId="0"/>
    <xf numFmtId="0" fontId="14" fillId="0" borderId="0"/>
    <xf numFmtId="0" fontId="7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19" fillId="0" borderId="0"/>
    <xf numFmtId="0" fontId="78" fillId="0" borderId="0">
      <alignment vertical="center"/>
    </xf>
    <xf numFmtId="0" fontId="19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5" fillId="0" borderId="0"/>
    <xf numFmtId="0" fontId="5" fillId="0" borderId="0"/>
    <xf numFmtId="0" fontId="21" fillId="0" borderId="0">
      <alignment vertical="center"/>
    </xf>
    <xf numFmtId="0" fontId="14" fillId="0" borderId="0">
      <alignment vertical="center"/>
    </xf>
    <xf numFmtId="0" fontId="5" fillId="0" borderId="0"/>
    <xf numFmtId="0" fontId="14" fillId="0" borderId="0"/>
    <xf numFmtId="0" fontId="14" fillId="0" borderId="0"/>
    <xf numFmtId="0" fontId="5" fillId="0" borderId="0"/>
    <xf numFmtId="0" fontId="5" fillId="0" borderId="0">
      <alignment vertical="center"/>
    </xf>
    <xf numFmtId="0" fontId="17" fillId="0" borderId="0">
      <alignment vertical="center"/>
    </xf>
    <xf numFmtId="0" fontId="81" fillId="0" borderId="0"/>
    <xf numFmtId="0" fontId="17" fillId="0" borderId="0">
      <alignment vertical="center"/>
    </xf>
    <xf numFmtId="0" fontId="5" fillId="0" borderId="0"/>
    <xf numFmtId="0" fontId="5" fillId="0" borderId="0">
      <alignment vertical="center"/>
    </xf>
    <xf numFmtId="0" fontId="81" fillId="0" borderId="0"/>
    <xf numFmtId="0" fontId="5" fillId="0" borderId="0"/>
    <xf numFmtId="0" fontId="5" fillId="0" borderId="0"/>
    <xf numFmtId="0" fontId="81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81" fillId="0" borderId="0"/>
    <xf numFmtId="0" fontId="81" fillId="0" borderId="0"/>
    <xf numFmtId="0" fontId="5" fillId="0" borderId="0"/>
    <xf numFmtId="0" fontId="81" fillId="0" borderId="0"/>
    <xf numFmtId="0" fontId="21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82" fillId="0" borderId="0">
      <alignment vertical="center"/>
    </xf>
    <xf numFmtId="0" fontId="5" fillId="0" borderId="0"/>
    <xf numFmtId="0" fontId="5" fillId="0" borderId="0"/>
    <xf numFmtId="0" fontId="14" fillId="0" borderId="0"/>
    <xf numFmtId="0" fontId="14" fillId="0" borderId="0"/>
    <xf numFmtId="0" fontId="5" fillId="0" borderId="0"/>
    <xf numFmtId="0" fontId="5" fillId="0" borderId="0"/>
    <xf numFmtId="0" fontId="7" fillId="0" borderId="0">
      <alignment vertical="center"/>
    </xf>
    <xf numFmtId="0" fontId="5" fillId="0" borderId="0"/>
    <xf numFmtId="0" fontId="5" fillId="0" borderId="0"/>
    <xf numFmtId="0" fontId="14" fillId="0" borderId="0">
      <alignment vertical="center"/>
    </xf>
    <xf numFmtId="0" fontId="5" fillId="0" borderId="0"/>
    <xf numFmtId="0" fontId="5" fillId="0" borderId="0"/>
    <xf numFmtId="0" fontId="14" fillId="0" borderId="0">
      <alignment vertical="center"/>
    </xf>
    <xf numFmtId="0" fontId="5" fillId="0" borderId="0"/>
    <xf numFmtId="0" fontId="5" fillId="0" borderId="0"/>
    <xf numFmtId="0" fontId="14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14" fillId="0" borderId="0">
      <alignment vertical="center"/>
    </xf>
    <xf numFmtId="0" fontId="17" fillId="0" borderId="0"/>
    <xf numFmtId="0" fontId="5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83" fillId="0" borderId="0">
      <alignment vertical="center"/>
    </xf>
    <xf numFmtId="0" fontId="14" fillId="0" borderId="0">
      <alignment vertical="center"/>
    </xf>
    <xf numFmtId="0" fontId="21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84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8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8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8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85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5" fillId="0" borderId="0"/>
    <xf numFmtId="0" fontId="5" fillId="0" borderId="0"/>
    <xf numFmtId="0" fontId="14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4" fillId="0" borderId="0">
      <alignment vertical="center"/>
    </xf>
    <xf numFmtId="0" fontId="14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80" fillId="0" borderId="0">
      <alignment vertical="center"/>
    </xf>
    <xf numFmtId="0" fontId="5" fillId="0" borderId="0"/>
    <xf numFmtId="0" fontId="5" fillId="0" borderId="0">
      <alignment vertical="center"/>
    </xf>
    <xf numFmtId="0" fontId="8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85" fillId="0" borderId="0">
      <alignment vertical="center"/>
    </xf>
    <xf numFmtId="0" fontId="85" fillId="0" borderId="0">
      <alignment vertical="center"/>
    </xf>
    <xf numFmtId="0" fontId="5" fillId="0" borderId="0">
      <alignment vertical="center"/>
    </xf>
    <xf numFmtId="0" fontId="8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19" fillId="0" borderId="0"/>
    <xf numFmtId="0" fontId="85" fillId="0" borderId="0">
      <alignment vertical="center"/>
    </xf>
    <xf numFmtId="0" fontId="19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86" fillId="0" borderId="0"/>
    <xf numFmtId="0" fontId="87" fillId="0" borderId="0"/>
    <xf numFmtId="0" fontId="57" fillId="0" borderId="0"/>
    <xf numFmtId="49" fontId="15" fillId="0" borderId="0" applyFill="0" applyBorder="0"/>
    <xf numFmtId="0" fontId="88" fillId="0" borderId="0"/>
    <xf numFmtId="0" fontId="89" fillId="0" borderId="0"/>
    <xf numFmtId="0" fontId="88" fillId="0" borderId="0"/>
    <xf numFmtId="0" fontId="90" fillId="5" borderId="0" applyNumberFormat="0" applyBorder="0" applyAlignment="0" applyProtection="0">
      <alignment vertical="center"/>
    </xf>
    <xf numFmtId="0" fontId="90" fillId="5" borderId="0" applyNumberFormat="0" applyBorder="0" applyAlignment="0" applyProtection="0">
      <alignment vertical="center"/>
    </xf>
    <xf numFmtId="0" fontId="90" fillId="5" borderId="0" applyNumberFormat="0" applyBorder="0" applyAlignment="0" applyProtection="0">
      <alignment vertical="center"/>
    </xf>
    <xf numFmtId="0" fontId="90" fillId="5" borderId="0" applyNumberFormat="0" applyBorder="0" applyAlignment="0" applyProtection="0">
      <alignment vertical="center"/>
    </xf>
    <xf numFmtId="0" fontId="90" fillId="5" borderId="0" applyNumberFormat="0" applyBorder="0" applyAlignment="0" applyProtection="0">
      <alignment vertical="center"/>
    </xf>
    <xf numFmtId="0" fontId="90" fillId="5" borderId="0" applyNumberFormat="0" applyBorder="0" applyAlignment="0" applyProtection="0">
      <alignment vertical="center"/>
    </xf>
    <xf numFmtId="0" fontId="90" fillId="5" borderId="0" applyNumberFormat="0" applyBorder="0" applyAlignment="0" applyProtection="0">
      <alignment vertical="center"/>
    </xf>
    <xf numFmtId="0" fontId="90" fillId="5" borderId="0" applyNumberFormat="0" applyBorder="0" applyAlignment="0" applyProtection="0">
      <alignment vertical="center"/>
    </xf>
    <xf numFmtId="0" fontId="5" fillId="0" borderId="0"/>
    <xf numFmtId="0" fontId="3" fillId="0" borderId="0">
      <alignment vertical="center"/>
    </xf>
    <xf numFmtId="0" fontId="91" fillId="0" borderId="0"/>
    <xf numFmtId="0" fontId="91" fillId="0" borderId="0"/>
    <xf numFmtId="189" fontId="91" fillId="0" borderId="0"/>
    <xf numFmtId="189" fontId="91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38" fontId="2" fillId="0" borderId="0" applyFont="0" applyFill="0" applyBorder="0" applyAlignment="0" applyProtection="0">
      <alignment vertical="center"/>
    </xf>
    <xf numFmtId="0" fontId="9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56">
    <xf numFmtId="0" fontId="0" fillId="0" borderId="0" xfId="0"/>
    <xf numFmtId="192" fontId="7" fillId="0" borderId="37" xfId="1946" applyNumberFormat="1" applyFont="1" applyBorder="1" applyAlignment="1">
      <alignment horizontal="right" vertical="center"/>
    </xf>
    <xf numFmtId="3" fontId="7" fillId="0" borderId="23" xfId="1946" applyNumberFormat="1" applyFont="1" applyBorder="1" applyAlignment="1">
      <alignment horizontal="right" vertical="center"/>
    </xf>
    <xf numFmtId="49" fontId="7" fillId="0" borderId="22" xfId="1946" applyNumberFormat="1" applyFont="1" applyBorder="1" applyAlignment="1">
      <alignment horizontal="right" vertical="center"/>
    </xf>
    <xf numFmtId="3" fontId="7" fillId="0" borderId="21" xfId="1946" applyNumberFormat="1" applyFont="1" applyBorder="1" applyAlignment="1">
      <alignment horizontal="right" vertical="center"/>
    </xf>
    <xf numFmtId="4" fontId="7" fillId="0" borderId="21" xfId="1946" applyNumberFormat="1" applyFont="1" applyBorder="1" applyAlignment="1">
      <alignment horizontal="right" vertical="center"/>
    </xf>
    <xf numFmtId="49" fontId="7" fillId="0" borderId="23" xfId="1946" applyNumberFormat="1" applyFont="1" applyBorder="1" applyAlignment="1">
      <alignment horizontal="right" vertical="center"/>
    </xf>
    <xf numFmtId="49" fontId="7" fillId="0" borderId="22" xfId="1946" applyNumberFormat="1" applyFont="1" applyBorder="1">
      <alignment vertical="center"/>
    </xf>
    <xf numFmtId="49" fontId="7" fillId="0" borderId="21" xfId="1946" applyNumberFormat="1" applyFont="1" applyBorder="1">
      <alignment vertical="center"/>
    </xf>
    <xf numFmtId="49" fontId="7" fillId="0" borderId="36" xfId="1946" applyNumberFormat="1" applyFont="1" applyBorder="1">
      <alignment vertical="center"/>
    </xf>
    <xf numFmtId="0" fontId="95" fillId="0" borderId="0" xfId="1946" applyFont="1">
      <alignment vertical="center"/>
    </xf>
    <xf numFmtId="0" fontId="19" fillId="0" borderId="9" xfId="1946" applyFont="1" applyBorder="1">
      <alignment vertical="center"/>
    </xf>
    <xf numFmtId="0" fontId="19" fillId="0" borderId="20" xfId="1946" applyFont="1" applyBorder="1">
      <alignment vertical="center"/>
    </xf>
    <xf numFmtId="0" fontId="19" fillId="0" borderId="8" xfId="1946" applyFont="1" applyBorder="1">
      <alignment vertical="center"/>
    </xf>
    <xf numFmtId="0" fontId="7" fillId="0" borderId="39" xfId="1946" applyFont="1" applyBorder="1" applyAlignment="1">
      <alignment horizontal="center" vertical="center" wrapText="1"/>
    </xf>
    <xf numFmtId="0" fontId="7" fillId="0" borderId="44" xfId="1946" applyFont="1" applyBorder="1" applyAlignment="1">
      <alignment horizontal="center" vertical="center" wrapText="1"/>
    </xf>
    <xf numFmtId="0" fontId="19" fillId="0" borderId="0" xfId="1946" applyFont="1">
      <alignment vertical="center"/>
    </xf>
    <xf numFmtId="0" fontId="94" fillId="0" borderId="9" xfId="1946" applyFont="1" applyBorder="1" applyAlignment="1">
      <alignment vertical="center" wrapText="1"/>
    </xf>
    <xf numFmtId="0" fontId="94" fillId="0" borderId="9" xfId="1946" applyFont="1" applyBorder="1">
      <alignment vertical="center"/>
    </xf>
    <xf numFmtId="0" fontId="94" fillId="0" borderId="6" xfId="1946" applyFont="1" applyBorder="1">
      <alignment vertical="center"/>
    </xf>
    <xf numFmtId="0" fontId="7" fillId="0" borderId="23" xfId="1946" applyFont="1" applyBorder="1" applyAlignment="1">
      <alignment horizontal="center" vertical="center" wrapText="1"/>
    </xf>
    <xf numFmtId="0" fontId="7" fillId="0" borderId="37" xfId="1946" applyFont="1" applyBorder="1" applyAlignment="1">
      <alignment horizontal="center" vertical="center" wrapText="1"/>
    </xf>
    <xf numFmtId="0" fontId="7" fillId="0" borderId="21" xfId="1946" applyFont="1" applyBorder="1" applyAlignment="1">
      <alignment horizontal="center" vertical="center" wrapText="1"/>
    </xf>
    <xf numFmtId="0" fontId="93" fillId="0" borderId="20" xfId="1946" applyFont="1" applyBorder="1" applyAlignment="1">
      <alignment vertical="center" wrapText="1"/>
    </xf>
    <xf numFmtId="0" fontId="7" fillId="0" borderId="36" xfId="1946" applyFont="1" applyBorder="1" applyAlignment="1">
      <alignment horizontal="center" vertical="center" wrapText="1"/>
    </xf>
    <xf numFmtId="0" fontId="7" fillId="0" borderId="35" xfId="1946" applyFont="1" applyBorder="1" applyAlignment="1">
      <alignment horizontal="center" vertical="center" wrapText="1"/>
    </xf>
    <xf numFmtId="0" fontId="7" fillId="0" borderId="37" xfId="1946" applyFont="1" applyBorder="1" applyAlignment="1">
      <alignment horizontal="center" vertical="center" wrapText="1"/>
    </xf>
    <xf numFmtId="0" fontId="7" fillId="0" borderId="40" xfId="1946" applyFont="1" applyBorder="1" applyAlignment="1">
      <alignment horizontal="center" vertical="center" wrapText="1"/>
    </xf>
    <xf numFmtId="0" fontId="7" fillId="0" borderId="41" xfId="1946" applyFont="1" applyBorder="1" applyAlignment="1">
      <alignment horizontal="center" vertical="center" wrapText="1"/>
    </xf>
    <xf numFmtId="0" fontId="7" fillId="0" borderId="38" xfId="1946" applyFont="1" applyBorder="1" applyAlignment="1">
      <alignment horizontal="center" vertical="center" wrapText="1"/>
    </xf>
    <xf numFmtId="0" fontId="7" fillId="0" borderId="29" xfId="1946" applyFont="1" applyBorder="1" applyAlignment="1">
      <alignment horizontal="center" vertical="center" wrapText="1"/>
    </xf>
    <xf numFmtId="0" fontId="96" fillId="0" borderId="23" xfId="1946" applyFont="1" applyBorder="1" applyAlignment="1">
      <alignment horizontal="center" vertical="center" wrapText="1"/>
    </xf>
    <xf numFmtId="0" fontId="7" fillId="0" borderId="24" xfId="1946" applyFont="1" applyBorder="1" applyAlignment="1">
      <alignment horizontal="center" vertical="center" wrapText="1"/>
    </xf>
    <xf numFmtId="0" fontId="7" fillId="0" borderId="42" xfId="1946" applyFont="1" applyBorder="1" applyAlignment="1">
      <alignment horizontal="center" vertical="center" wrapText="1"/>
    </xf>
    <xf numFmtId="0" fontId="7" fillId="0" borderId="43" xfId="1946" applyFont="1" applyBorder="1" applyAlignment="1">
      <alignment horizontal="center" vertical="center" wrapText="1"/>
    </xf>
    <xf numFmtId="0" fontId="7" fillId="0" borderId="21" xfId="1946" applyFont="1" applyBorder="1" applyAlignment="1">
      <alignment horizontal="center" vertical="center" wrapText="1"/>
    </xf>
    <xf numFmtId="0" fontId="7" fillId="0" borderId="45" xfId="1946" applyFont="1" applyBorder="1" applyAlignment="1">
      <alignment horizontal="center" vertical="center" wrapText="1"/>
    </xf>
    <xf numFmtId="0" fontId="7" fillId="0" borderId="27" xfId="1946" applyFont="1" applyBorder="1" applyAlignment="1">
      <alignment horizontal="center" vertical="center" wrapText="1"/>
    </xf>
    <xf numFmtId="0" fontId="7" fillId="0" borderId="32" xfId="1946" applyFont="1" applyBorder="1" applyAlignment="1">
      <alignment horizontal="center" vertical="top" wrapText="1"/>
    </xf>
    <xf numFmtId="0" fontId="7" fillId="0" borderId="9" xfId="1946" applyFont="1" applyBorder="1" applyAlignment="1">
      <alignment horizontal="center" vertical="top" wrapText="1"/>
    </xf>
    <xf numFmtId="0" fontId="7" fillId="0" borderId="33" xfId="1946" applyFont="1" applyBorder="1" applyAlignment="1">
      <alignment horizontal="center" vertical="top" wrapText="1"/>
    </xf>
    <xf numFmtId="0" fontId="93" fillId="0" borderId="5" xfId="1946" applyFont="1" applyBorder="1" applyAlignment="1">
      <alignment vertical="center" wrapText="1"/>
    </xf>
    <xf numFmtId="0" fontId="93" fillId="0" borderId="9" xfId="1946" applyFont="1" applyBorder="1" applyAlignment="1">
      <alignment vertical="center" wrapText="1"/>
    </xf>
    <xf numFmtId="0" fontId="93" fillId="0" borderId="7" xfId="1946" applyFont="1" applyBorder="1" applyAlignment="1">
      <alignment vertical="center" wrapText="1"/>
    </xf>
    <xf numFmtId="0" fontId="93" fillId="0" borderId="20" xfId="1946" applyFont="1" applyBorder="1" applyAlignment="1">
      <alignment vertical="center" wrapText="1"/>
    </xf>
    <xf numFmtId="0" fontId="7" fillId="0" borderId="34" xfId="1946" applyFont="1" applyBorder="1" applyAlignment="1">
      <alignment horizontal="center" vertical="center" wrapText="1"/>
    </xf>
    <xf numFmtId="0" fontId="7" fillId="0" borderId="36" xfId="1946" applyFont="1" applyBorder="1" applyAlignment="1">
      <alignment horizontal="center" vertical="center" wrapText="1"/>
    </xf>
    <xf numFmtId="0" fontId="7" fillId="0" borderId="32" xfId="1946" applyFont="1" applyBorder="1" applyAlignment="1">
      <alignment horizontal="center" vertical="center" wrapText="1"/>
    </xf>
    <xf numFmtId="0" fontId="7" fillId="0" borderId="33" xfId="1946" applyFont="1" applyBorder="1" applyAlignment="1">
      <alignment horizontal="center" vertical="center" wrapText="1"/>
    </xf>
    <xf numFmtId="0" fontId="7" fillId="0" borderId="25" xfId="1946" applyFont="1" applyBorder="1" applyAlignment="1">
      <alignment horizontal="center" vertical="center" wrapText="1"/>
    </xf>
    <xf numFmtId="0" fontId="7" fillId="0" borderId="28" xfId="1946" applyFont="1" applyBorder="1" applyAlignment="1">
      <alignment horizontal="center" vertical="center" wrapText="1"/>
    </xf>
    <xf numFmtId="0" fontId="7" fillId="0" borderId="26" xfId="1946" applyFont="1" applyBorder="1" applyAlignment="1">
      <alignment horizontal="center" vertical="center" wrapText="1"/>
    </xf>
    <xf numFmtId="0" fontId="7" fillId="0" borderId="22" xfId="1946" applyFont="1" applyBorder="1" applyAlignment="1">
      <alignment horizontal="center" vertical="center" wrapText="1"/>
    </xf>
    <xf numFmtId="0" fontId="7" fillId="0" borderId="23" xfId="1946" applyFont="1" applyBorder="1" applyAlignment="1">
      <alignment horizontal="center" vertical="center" wrapText="1"/>
    </xf>
    <xf numFmtId="0" fontId="7" fillId="0" borderId="30" xfId="1946" applyFont="1" applyBorder="1" applyAlignment="1">
      <alignment horizontal="center" vertical="top" wrapText="1"/>
    </xf>
    <xf numFmtId="0" fontId="7" fillId="0" borderId="31" xfId="1946" applyFont="1" applyBorder="1" applyAlignment="1">
      <alignment horizontal="center" vertical="top" wrapText="1"/>
    </xf>
  </cellXfs>
  <cellStyles count="1953">
    <cellStyle name="_x000c_ーセン_x000c_" xfId="17" xr:uid="{00000000-0005-0000-0000-000000000000}"/>
    <cellStyle name="_x000d__x000a_JournalTemplate=C:\COMFO\CTALK\JOURSTD.TPL_x000d__x000a_LbStateAddress=3 3 0 251 1 89 2 311_x000d__x000a_LbStateJou" xfId="18" xr:uid="{00000000-0005-0000-0000-000001000000}"/>
    <cellStyle name="0,0_x000d__x000a_NA_x000d__x000a_" xfId="19" xr:uid="{00000000-0005-0000-0000-000002000000}"/>
    <cellStyle name="20% - Accent1" xfId="20" xr:uid="{00000000-0005-0000-0000-000003000000}"/>
    <cellStyle name="20% - Accent2" xfId="21" xr:uid="{00000000-0005-0000-0000-000004000000}"/>
    <cellStyle name="20% - Accent3" xfId="22" xr:uid="{00000000-0005-0000-0000-000005000000}"/>
    <cellStyle name="20% - Accent4" xfId="23" xr:uid="{00000000-0005-0000-0000-000006000000}"/>
    <cellStyle name="20% - Accent5" xfId="24" xr:uid="{00000000-0005-0000-0000-000007000000}"/>
    <cellStyle name="20% - Accent6" xfId="25" xr:uid="{00000000-0005-0000-0000-000008000000}"/>
    <cellStyle name="20% - アクセント 1 2" xfId="26" xr:uid="{00000000-0005-0000-0000-000009000000}"/>
    <cellStyle name="20% - アクセント 1 3" xfId="27" xr:uid="{00000000-0005-0000-0000-00000A000000}"/>
    <cellStyle name="20% - アクセント 1 4" xfId="28" xr:uid="{00000000-0005-0000-0000-00000B000000}"/>
    <cellStyle name="20% - アクセント 1 5" xfId="29" xr:uid="{00000000-0005-0000-0000-00000C000000}"/>
    <cellStyle name="20% - アクセント 1 6" xfId="30" xr:uid="{00000000-0005-0000-0000-00000D000000}"/>
    <cellStyle name="20% - アクセント 1 7" xfId="31" xr:uid="{00000000-0005-0000-0000-00000E000000}"/>
    <cellStyle name="20% - アクセント 1 8" xfId="32" xr:uid="{00000000-0005-0000-0000-00000F000000}"/>
    <cellStyle name="20% - アクセント 1 9" xfId="33" xr:uid="{00000000-0005-0000-0000-000010000000}"/>
    <cellStyle name="20% - アクセント 2 2" xfId="34" xr:uid="{00000000-0005-0000-0000-000011000000}"/>
    <cellStyle name="20% - アクセント 2 3" xfId="35" xr:uid="{00000000-0005-0000-0000-000012000000}"/>
    <cellStyle name="20% - アクセント 2 4" xfId="36" xr:uid="{00000000-0005-0000-0000-000013000000}"/>
    <cellStyle name="20% - アクセント 2 5" xfId="37" xr:uid="{00000000-0005-0000-0000-000014000000}"/>
    <cellStyle name="20% - アクセント 2 6" xfId="38" xr:uid="{00000000-0005-0000-0000-000015000000}"/>
    <cellStyle name="20% - アクセント 2 7" xfId="39" xr:uid="{00000000-0005-0000-0000-000016000000}"/>
    <cellStyle name="20% - アクセント 2 8" xfId="40" xr:uid="{00000000-0005-0000-0000-000017000000}"/>
    <cellStyle name="20% - アクセント 2 9" xfId="41" xr:uid="{00000000-0005-0000-0000-000018000000}"/>
    <cellStyle name="20% - アクセント 3 2" xfId="42" xr:uid="{00000000-0005-0000-0000-000019000000}"/>
    <cellStyle name="20% - アクセント 3 3" xfId="43" xr:uid="{00000000-0005-0000-0000-00001A000000}"/>
    <cellStyle name="20% - アクセント 3 4" xfId="44" xr:uid="{00000000-0005-0000-0000-00001B000000}"/>
    <cellStyle name="20% - アクセント 3 5" xfId="45" xr:uid="{00000000-0005-0000-0000-00001C000000}"/>
    <cellStyle name="20% - アクセント 3 6" xfId="46" xr:uid="{00000000-0005-0000-0000-00001D000000}"/>
    <cellStyle name="20% - アクセント 3 7" xfId="47" xr:uid="{00000000-0005-0000-0000-00001E000000}"/>
    <cellStyle name="20% - アクセント 3 8" xfId="48" xr:uid="{00000000-0005-0000-0000-00001F000000}"/>
    <cellStyle name="20% - アクセント 3 9" xfId="49" xr:uid="{00000000-0005-0000-0000-000020000000}"/>
    <cellStyle name="20% - アクセント 4 2" xfId="50" xr:uid="{00000000-0005-0000-0000-000021000000}"/>
    <cellStyle name="20% - アクセント 4 3" xfId="51" xr:uid="{00000000-0005-0000-0000-000022000000}"/>
    <cellStyle name="20% - アクセント 4 4" xfId="52" xr:uid="{00000000-0005-0000-0000-000023000000}"/>
    <cellStyle name="20% - アクセント 4 5" xfId="53" xr:uid="{00000000-0005-0000-0000-000024000000}"/>
    <cellStyle name="20% - アクセント 4 6" xfId="54" xr:uid="{00000000-0005-0000-0000-000025000000}"/>
    <cellStyle name="20% - アクセント 4 7" xfId="55" xr:uid="{00000000-0005-0000-0000-000026000000}"/>
    <cellStyle name="20% - アクセント 4 8" xfId="56" xr:uid="{00000000-0005-0000-0000-000027000000}"/>
    <cellStyle name="20% - アクセント 4 9" xfId="57" xr:uid="{00000000-0005-0000-0000-000028000000}"/>
    <cellStyle name="20% - アクセント 5 2" xfId="58" xr:uid="{00000000-0005-0000-0000-000029000000}"/>
    <cellStyle name="20% - アクセント 5 3" xfId="59" xr:uid="{00000000-0005-0000-0000-00002A000000}"/>
    <cellStyle name="20% - アクセント 5 4" xfId="60" xr:uid="{00000000-0005-0000-0000-00002B000000}"/>
    <cellStyle name="20% - アクセント 5 5" xfId="61" xr:uid="{00000000-0005-0000-0000-00002C000000}"/>
    <cellStyle name="20% - アクセント 5 6" xfId="62" xr:uid="{00000000-0005-0000-0000-00002D000000}"/>
    <cellStyle name="20% - アクセント 5 7" xfId="63" xr:uid="{00000000-0005-0000-0000-00002E000000}"/>
    <cellStyle name="20% - アクセント 5 8" xfId="64" xr:uid="{00000000-0005-0000-0000-00002F000000}"/>
    <cellStyle name="20% - アクセント 5 9" xfId="65" xr:uid="{00000000-0005-0000-0000-000030000000}"/>
    <cellStyle name="20% - アクセント 6 2" xfId="66" xr:uid="{00000000-0005-0000-0000-000031000000}"/>
    <cellStyle name="20% - アクセント 6 3" xfId="67" xr:uid="{00000000-0005-0000-0000-000032000000}"/>
    <cellStyle name="20% - アクセント 6 4" xfId="68" xr:uid="{00000000-0005-0000-0000-000033000000}"/>
    <cellStyle name="20% - アクセント 6 5" xfId="69" xr:uid="{00000000-0005-0000-0000-000034000000}"/>
    <cellStyle name="20% - アクセント 6 6" xfId="70" xr:uid="{00000000-0005-0000-0000-000035000000}"/>
    <cellStyle name="20% - アクセント 6 7" xfId="71" xr:uid="{00000000-0005-0000-0000-000036000000}"/>
    <cellStyle name="20% - アクセント 6 8" xfId="72" xr:uid="{00000000-0005-0000-0000-000037000000}"/>
    <cellStyle name="20% - アクセント 6 9" xfId="73" xr:uid="{00000000-0005-0000-0000-000038000000}"/>
    <cellStyle name="40% - Accent1" xfId="74" xr:uid="{00000000-0005-0000-0000-000039000000}"/>
    <cellStyle name="40% - Accent2" xfId="75" xr:uid="{00000000-0005-0000-0000-00003A000000}"/>
    <cellStyle name="40% - Accent3" xfId="76" xr:uid="{00000000-0005-0000-0000-00003B000000}"/>
    <cellStyle name="40% - Accent4" xfId="77" xr:uid="{00000000-0005-0000-0000-00003C000000}"/>
    <cellStyle name="40% - Accent5" xfId="78" xr:uid="{00000000-0005-0000-0000-00003D000000}"/>
    <cellStyle name="40% - Accent6" xfId="79" xr:uid="{00000000-0005-0000-0000-00003E000000}"/>
    <cellStyle name="40% - アクセント 1 2" xfId="80" xr:uid="{00000000-0005-0000-0000-00003F000000}"/>
    <cellStyle name="40% - アクセント 1 3" xfId="81" xr:uid="{00000000-0005-0000-0000-000040000000}"/>
    <cellStyle name="40% - アクセント 1 4" xfId="82" xr:uid="{00000000-0005-0000-0000-000041000000}"/>
    <cellStyle name="40% - アクセント 1 5" xfId="83" xr:uid="{00000000-0005-0000-0000-000042000000}"/>
    <cellStyle name="40% - アクセント 1 6" xfId="84" xr:uid="{00000000-0005-0000-0000-000043000000}"/>
    <cellStyle name="40% - アクセント 1 7" xfId="85" xr:uid="{00000000-0005-0000-0000-000044000000}"/>
    <cellStyle name="40% - アクセント 1 8" xfId="86" xr:uid="{00000000-0005-0000-0000-000045000000}"/>
    <cellStyle name="40% - アクセント 1 9" xfId="87" xr:uid="{00000000-0005-0000-0000-000046000000}"/>
    <cellStyle name="40% - アクセント 2 2" xfId="88" xr:uid="{00000000-0005-0000-0000-000047000000}"/>
    <cellStyle name="40% - アクセント 2 3" xfId="89" xr:uid="{00000000-0005-0000-0000-000048000000}"/>
    <cellStyle name="40% - アクセント 2 4" xfId="90" xr:uid="{00000000-0005-0000-0000-000049000000}"/>
    <cellStyle name="40% - アクセント 2 5" xfId="91" xr:uid="{00000000-0005-0000-0000-00004A000000}"/>
    <cellStyle name="40% - アクセント 2 6" xfId="92" xr:uid="{00000000-0005-0000-0000-00004B000000}"/>
    <cellStyle name="40% - アクセント 2 7" xfId="93" xr:uid="{00000000-0005-0000-0000-00004C000000}"/>
    <cellStyle name="40% - アクセント 2 8" xfId="94" xr:uid="{00000000-0005-0000-0000-00004D000000}"/>
    <cellStyle name="40% - アクセント 2 9" xfId="95" xr:uid="{00000000-0005-0000-0000-00004E000000}"/>
    <cellStyle name="40% - アクセント 3 2" xfId="96" xr:uid="{00000000-0005-0000-0000-00004F000000}"/>
    <cellStyle name="40% - アクセント 3 3" xfId="97" xr:uid="{00000000-0005-0000-0000-000050000000}"/>
    <cellStyle name="40% - アクセント 3 4" xfId="98" xr:uid="{00000000-0005-0000-0000-000051000000}"/>
    <cellStyle name="40% - アクセント 3 5" xfId="99" xr:uid="{00000000-0005-0000-0000-000052000000}"/>
    <cellStyle name="40% - アクセント 3 6" xfId="100" xr:uid="{00000000-0005-0000-0000-000053000000}"/>
    <cellStyle name="40% - アクセント 3 7" xfId="101" xr:uid="{00000000-0005-0000-0000-000054000000}"/>
    <cellStyle name="40% - アクセント 3 8" xfId="102" xr:uid="{00000000-0005-0000-0000-000055000000}"/>
    <cellStyle name="40% - アクセント 3 9" xfId="103" xr:uid="{00000000-0005-0000-0000-000056000000}"/>
    <cellStyle name="40% - アクセント 4 2" xfId="104" xr:uid="{00000000-0005-0000-0000-000057000000}"/>
    <cellStyle name="40% - アクセント 4 3" xfId="105" xr:uid="{00000000-0005-0000-0000-000058000000}"/>
    <cellStyle name="40% - アクセント 4 4" xfId="106" xr:uid="{00000000-0005-0000-0000-000059000000}"/>
    <cellStyle name="40% - アクセント 4 5" xfId="107" xr:uid="{00000000-0005-0000-0000-00005A000000}"/>
    <cellStyle name="40% - アクセント 4 6" xfId="108" xr:uid="{00000000-0005-0000-0000-00005B000000}"/>
    <cellStyle name="40% - アクセント 4 7" xfId="109" xr:uid="{00000000-0005-0000-0000-00005C000000}"/>
    <cellStyle name="40% - アクセント 4 8" xfId="110" xr:uid="{00000000-0005-0000-0000-00005D000000}"/>
    <cellStyle name="40% - アクセント 4 9" xfId="111" xr:uid="{00000000-0005-0000-0000-00005E000000}"/>
    <cellStyle name="40% - アクセント 5 2" xfId="112" xr:uid="{00000000-0005-0000-0000-00005F000000}"/>
    <cellStyle name="40% - アクセント 5 3" xfId="113" xr:uid="{00000000-0005-0000-0000-000060000000}"/>
    <cellStyle name="40% - アクセント 5 4" xfId="114" xr:uid="{00000000-0005-0000-0000-000061000000}"/>
    <cellStyle name="40% - アクセント 5 5" xfId="115" xr:uid="{00000000-0005-0000-0000-000062000000}"/>
    <cellStyle name="40% - アクセント 5 6" xfId="116" xr:uid="{00000000-0005-0000-0000-000063000000}"/>
    <cellStyle name="40% - アクセント 5 7" xfId="117" xr:uid="{00000000-0005-0000-0000-000064000000}"/>
    <cellStyle name="40% - アクセント 5 8" xfId="118" xr:uid="{00000000-0005-0000-0000-000065000000}"/>
    <cellStyle name="40% - アクセント 5 9" xfId="119" xr:uid="{00000000-0005-0000-0000-000066000000}"/>
    <cellStyle name="40% - アクセント 6 2" xfId="120" xr:uid="{00000000-0005-0000-0000-000067000000}"/>
    <cellStyle name="40% - アクセント 6 3" xfId="121" xr:uid="{00000000-0005-0000-0000-000068000000}"/>
    <cellStyle name="40% - アクセント 6 4" xfId="122" xr:uid="{00000000-0005-0000-0000-000069000000}"/>
    <cellStyle name="40% - アクセント 6 5" xfId="123" xr:uid="{00000000-0005-0000-0000-00006A000000}"/>
    <cellStyle name="40% - アクセント 6 6" xfId="124" xr:uid="{00000000-0005-0000-0000-00006B000000}"/>
    <cellStyle name="40% - アクセント 6 7" xfId="125" xr:uid="{00000000-0005-0000-0000-00006C000000}"/>
    <cellStyle name="40% - アクセント 6 8" xfId="126" xr:uid="{00000000-0005-0000-0000-00006D000000}"/>
    <cellStyle name="40% - アクセント 6 9" xfId="127" xr:uid="{00000000-0005-0000-0000-00006E000000}"/>
    <cellStyle name="60% - Accent1" xfId="128" xr:uid="{00000000-0005-0000-0000-00006F000000}"/>
    <cellStyle name="60% - Accent2" xfId="129" xr:uid="{00000000-0005-0000-0000-000070000000}"/>
    <cellStyle name="60% - Accent3" xfId="130" xr:uid="{00000000-0005-0000-0000-000071000000}"/>
    <cellStyle name="60% - Accent4" xfId="131" xr:uid="{00000000-0005-0000-0000-000072000000}"/>
    <cellStyle name="60% - Accent5" xfId="132" xr:uid="{00000000-0005-0000-0000-000073000000}"/>
    <cellStyle name="60% - Accent6" xfId="133" xr:uid="{00000000-0005-0000-0000-000074000000}"/>
    <cellStyle name="60% - アクセント 1 2" xfId="134" xr:uid="{00000000-0005-0000-0000-000075000000}"/>
    <cellStyle name="60% - アクセント 1 3" xfId="135" xr:uid="{00000000-0005-0000-0000-000076000000}"/>
    <cellStyle name="60% - アクセント 1 4" xfId="136" xr:uid="{00000000-0005-0000-0000-000077000000}"/>
    <cellStyle name="60% - アクセント 1 5" xfId="137" xr:uid="{00000000-0005-0000-0000-000078000000}"/>
    <cellStyle name="60% - アクセント 1 6" xfId="138" xr:uid="{00000000-0005-0000-0000-000079000000}"/>
    <cellStyle name="60% - アクセント 1 7" xfId="139" xr:uid="{00000000-0005-0000-0000-00007A000000}"/>
    <cellStyle name="60% - アクセント 1 8" xfId="140" xr:uid="{00000000-0005-0000-0000-00007B000000}"/>
    <cellStyle name="60% - アクセント 1 9" xfId="141" xr:uid="{00000000-0005-0000-0000-00007C000000}"/>
    <cellStyle name="60% - アクセント 2 2" xfId="142" xr:uid="{00000000-0005-0000-0000-00007D000000}"/>
    <cellStyle name="60% - アクセント 2 3" xfId="143" xr:uid="{00000000-0005-0000-0000-00007E000000}"/>
    <cellStyle name="60% - アクセント 2 4" xfId="144" xr:uid="{00000000-0005-0000-0000-00007F000000}"/>
    <cellStyle name="60% - アクセント 2 5" xfId="145" xr:uid="{00000000-0005-0000-0000-000080000000}"/>
    <cellStyle name="60% - アクセント 2 6" xfId="146" xr:uid="{00000000-0005-0000-0000-000081000000}"/>
    <cellStyle name="60% - アクセント 2 7" xfId="147" xr:uid="{00000000-0005-0000-0000-000082000000}"/>
    <cellStyle name="60% - アクセント 2 8" xfId="148" xr:uid="{00000000-0005-0000-0000-000083000000}"/>
    <cellStyle name="60% - アクセント 2 9" xfId="149" xr:uid="{00000000-0005-0000-0000-000084000000}"/>
    <cellStyle name="60% - アクセント 3 2" xfId="150" xr:uid="{00000000-0005-0000-0000-000085000000}"/>
    <cellStyle name="60% - アクセント 3 3" xfId="151" xr:uid="{00000000-0005-0000-0000-000086000000}"/>
    <cellStyle name="60% - アクセント 3 4" xfId="152" xr:uid="{00000000-0005-0000-0000-000087000000}"/>
    <cellStyle name="60% - アクセント 3 5" xfId="153" xr:uid="{00000000-0005-0000-0000-000088000000}"/>
    <cellStyle name="60% - アクセント 3 6" xfId="154" xr:uid="{00000000-0005-0000-0000-000089000000}"/>
    <cellStyle name="60% - アクセント 3 7" xfId="155" xr:uid="{00000000-0005-0000-0000-00008A000000}"/>
    <cellStyle name="60% - アクセント 3 8" xfId="156" xr:uid="{00000000-0005-0000-0000-00008B000000}"/>
    <cellStyle name="60% - アクセント 3 9" xfId="157" xr:uid="{00000000-0005-0000-0000-00008C000000}"/>
    <cellStyle name="60% - アクセント 4 2" xfId="158" xr:uid="{00000000-0005-0000-0000-00008D000000}"/>
    <cellStyle name="60% - アクセント 4 3" xfId="159" xr:uid="{00000000-0005-0000-0000-00008E000000}"/>
    <cellStyle name="60% - アクセント 4 4" xfId="160" xr:uid="{00000000-0005-0000-0000-00008F000000}"/>
    <cellStyle name="60% - アクセント 4 5" xfId="161" xr:uid="{00000000-0005-0000-0000-000090000000}"/>
    <cellStyle name="60% - アクセント 4 6" xfId="162" xr:uid="{00000000-0005-0000-0000-000091000000}"/>
    <cellStyle name="60% - アクセント 4 7" xfId="163" xr:uid="{00000000-0005-0000-0000-000092000000}"/>
    <cellStyle name="60% - アクセント 4 8" xfId="164" xr:uid="{00000000-0005-0000-0000-000093000000}"/>
    <cellStyle name="60% - アクセント 4 9" xfId="165" xr:uid="{00000000-0005-0000-0000-000094000000}"/>
    <cellStyle name="60% - アクセント 5 2" xfId="166" xr:uid="{00000000-0005-0000-0000-000095000000}"/>
    <cellStyle name="60% - アクセント 5 3" xfId="167" xr:uid="{00000000-0005-0000-0000-000096000000}"/>
    <cellStyle name="60% - アクセント 5 4" xfId="168" xr:uid="{00000000-0005-0000-0000-000097000000}"/>
    <cellStyle name="60% - アクセント 5 5" xfId="169" xr:uid="{00000000-0005-0000-0000-000098000000}"/>
    <cellStyle name="60% - アクセント 5 6" xfId="170" xr:uid="{00000000-0005-0000-0000-000099000000}"/>
    <cellStyle name="60% - アクセント 5 7" xfId="171" xr:uid="{00000000-0005-0000-0000-00009A000000}"/>
    <cellStyle name="60% - アクセント 5 8" xfId="172" xr:uid="{00000000-0005-0000-0000-00009B000000}"/>
    <cellStyle name="60% - アクセント 5 9" xfId="173" xr:uid="{00000000-0005-0000-0000-00009C000000}"/>
    <cellStyle name="60% - アクセント 6 2" xfId="174" xr:uid="{00000000-0005-0000-0000-00009D000000}"/>
    <cellStyle name="60% - アクセント 6 3" xfId="175" xr:uid="{00000000-0005-0000-0000-00009E000000}"/>
    <cellStyle name="60% - アクセント 6 4" xfId="176" xr:uid="{00000000-0005-0000-0000-00009F000000}"/>
    <cellStyle name="60% - アクセント 6 5" xfId="177" xr:uid="{00000000-0005-0000-0000-0000A0000000}"/>
    <cellStyle name="60% - アクセント 6 6" xfId="178" xr:uid="{00000000-0005-0000-0000-0000A1000000}"/>
    <cellStyle name="60% - アクセント 6 7" xfId="179" xr:uid="{00000000-0005-0000-0000-0000A2000000}"/>
    <cellStyle name="60% - アクセント 6 8" xfId="180" xr:uid="{00000000-0005-0000-0000-0000A3000000}"/>
    <cellStyle name="60% - アクセント 6 9" xfId="181" xr:uid="{00000000-0005-0000-0000-0000A4000000}"/>
    <cellStyle name="Accent1" xfId="182" xr:uid="{00000000-0005-0000-0000-0000A5000000}"/>
    <cellStyle name="Accent2" xfId="183" xr:uid="{00000000-0005-0000-0000-0000A6000000}"/>
    <cellStyle name="Accent3" xfId="184" xr:uid="{00000000-0005-0000-0000-0000A7000000}"/>
    <cellStyle name="Accent4" xfId="185" xr:uid="{00000000-0005-0000-0000-0000A8000000}"/>
    <cellStyle name="Accent5" xfId="186" xr:uid="{00000000-0005-0000-0000-0000A9000000}"/>
    <cellStyle name="Accent6" xfId="187" xr:uid="{00000000-0005-0000-0000-0000AA000000}"/>
    <cellStyle name="args.style" xfId="188" xr:uid="{00000000-0005-0000-0000-0000AB000000}"/>
    <cellStyle name="B10" xfId="189" xr:uid="{00000000-0005-0000-0000-0000AC000000}"/>
    <cellStyle name="Bad" xfId="190" xr:uid="{00000000-0005-0000-0000-0000AD000000}"/>
    <cellStyle name="Body" xfId="191" xr:uid="{00000000-0005-0000-0000-0000AE000000}"/>
    <cellStyle name="Calc Currency (0)" xfId="2" xr:uid="{00000000-0005-0000-0000-0000AF000000}"/>
    <cellStyle name="Calc Currency (0) 2" xfId="192" xr:uid="{00000000-0005-0000-0000-0000B0000000}"/>
    <cellStyle name="Calculation" xfId="193" xr:uid="{00000000-0005-0000-0000-0000B1000000}"/>
    <cellStyle name="Calculation 2" xfId="194" xr:uid="{00000000-0005-0000-0000-0000B2000000}"/>
    <cellStyle name="Calculation 2 2" xfId="195" xr:uid="{00000000-0005-0000-0000-0000B3000000}"/>
    <cellStyle name="Calculation 2 2 2" xfId="196" xr:uid="{00000000-0005-0000-0000-0000B4000000}"/>
    <cellStyle name="Calculation 2 3" xfId="197" xr:uid="{00000000-0005-0000-0000-0000B5000000}"/>
    <cellStyle name="Calculation 2 3 2" xfId="198" xr:uid="{00000000-0005-0000-0000-0000B6000000}"/>
    <cellStyle name="Calculation 2 4" xfId="199" xr:uid="{00000000-0005-0000-0000-0000B7000000}"/>
    <cellStyle name="Calculation 2 4 2" xfId="200" xr:uid="{00000000-0005-0000-0000-0000B8000000}"/>
    <cellStyle name="Calculation 2 5" xfId="201" xr:uid="{00000000-0005-0000-0000-0000B9000000}"/>
    <cellStyle name="Calculation 2 5 2" xfId="202" xr:uid="{00000000-0005-0000-0000-0000BA000000}"/>
    <cellStyle name="Calculation 2 6" xfId="203" xr:uid="{00000000-0005-0000-0000-0000BB000000}"/>
    <cellStyle name="Calculation 2 6 2" xfId="204" xr:uid="{00000000-0005-0000-0000-0000BC000000}"/>
    <cellStyle name="Calculation 2 7" xfId="205" xr:uid="{00000000-0005-0000-0000-0000BD000000}"/>
    <cellStyle name="Calculation 3" xfId="206" xr:uid="{00000000-0005-0000-0000-0000BE000000}"/>
    <cellStyle name="Calculation 3 2" xfId="207" xr:uid="{00000000-0005-0000-0000-0000BF000000}"/>
    <cellStyle name="Calculation 4" xfId="208" xr:uid="{00000000-0005-0000-0000-0000C0000000}"/>
    <cellStyle name="Check Cell" xfId="209" xr:uid="{00000000-0005-0000-0000-0000C1000000}"/>
    <cellStyle name="Column Heading" xfId="210" xr:uid="{00000000-0005-0000-0000-0000C2000000}"/>
    <cellStyle name="Comma [0]_laroux" xfId="211" xr:uid="{00000000-0005-0000-0000-0000C3000000}"/>
    <cellStyle name="Comma_laroux" xfId="212" xr:uid="{00000000-0005-0000-0000-0000C4000000}"/>
    <cellStyle name="Currency [0]_laroux" xfId="213" xr:uid="{00000000-0005-0000-0000-0000C5000000}"/>
    <cellStyle name="Currency_laroux" xfId="214" xr:uid="{00000000-0005-0000-0000-0000C6000000}"/>
    <cellStyle name="entry" xfId="215" xr:uid="{00000000-0005-0000-0000-0000C7000000}"/>
    <cellStyle name="Explanatory Text" xfId="216" xr:uid="{00000000-0005-0000-0000-0000C8000000}"/>
    <cellStyle name="Good" xfId="217" xr:uid="{00000000-0005-0000-0000-0000C9000000}"/>
    <cellStyle name="Grey" xfId="218" xr:uid="{00000000-0005-0000-0000-0000CA000000}"/>
    <cellStyle name="Head 1" xfId="219" xr:uid="{00000000-0005-0000-0000-0000CB000000}"/>
    <cellStyle name="Header1" xfId="3" xr:uid="{00000000-0005-0000-0000-0000CC000000}"/>
    <cellStyle name="Header2" xfId="4" xr:uid="{00000000-0005-0000-0000-0000CD000000}"/>
    <cellStyle name="Header2 2" xfId="220" xr:uid="{00000000-0005-0000-0000-0000CE000000}"/>
    <cellStyle name="Header2 2 2" xfId="221" xr:uid="{00000000-0005-0000-0000-0000CF000000}"/>
    <cellStyle name="Header2 2 2 2" xfId="222" xr:uid="{00000000-0005-0000-0000-0000D0000000}"/>
    <cellStyle name="Header2 2 2 3" xfId="223" xr:uid="{00000000-0005-0000-0000-0000D1000000}"/>
    <cellStyle name="Header2 2 2 4" xfId="224" xr:uid="{00000000-0005-0000-0000-0000D2000000}"/>
    <cellStyle name="Header2 2 2 5" xfId="225" xr:uid="{00000000-0005-0000-0000-0000D3000000}"/>
    <cellStyle name="Header2 2 2 6" xfId="226" xr:uid="{00000000-0005-0000-0000-0000D4000000}"/>
    <cellStyle name="Header2 2 2 7" xfId="227" xr:uid="{00000000-0005-0000-0000-0000D5000000}"/>
    <cellStyle name="Header2 2 2 7 2" xfId="228" xr:uid="{00000000-0005-0000-0000-0000D6000000}"/>
    <cellStyle name="Header2 2 3" xfId="229" xr:uid="{00000000-0005-0000-0000-0000D7000000}"/>
    <cellStyle name="Header2 2 3 2" xfId="230" xr:uid="{00000000-0005-0000-0000-0000D8000000}"/>
    <cellStyle name="Header2 2 3 3" xfId="231" xr:uid="{00000000-0005-0000-0000-0000D9000000}"/>
    <cellStyle name="Header2 3" xfId="232" xr:uid="{00000000-0005-0000-0000-0000DA000000}"/>
    <cellStyle name="Header2 3 2" xfId="233" xr:uid="{00000000-0005-0000-0000-0000DB000000}"/>
    <cellStyle name="Header2 3 2 2" xfId="234" xr:uid="{00000000-0005-0000-0000-0000DC000000}"/>
    <cellStyle name="Header2 3 2 3" xfId="235" xr:uid="{00000000-0005-0000-0000-0000DD000000}"/>
    <cellStyle name="Header2 3 2 4" xfId="236" xr:uid="{00000000-0005-0000-0000-0000DE000000}"/>
    <cellStyle name="Header2 3 2 5" xfId="237" xr:uid="{00000000-0005-0000-0000-0000DF000000}"/>
    <cellStyle name="Header2 3 2 6" xfId="238" xr:uid="{00000000-0005-0000-0000-0000E0000000}"/>
    <cellStyle name="Header2 3 2 7" xfId="239" xr:uid="{00000000-0005-0000-0000-0000E1000000}"/>
    <cellStyle name="Header2 3 2 7 2" xfId="240" xr:uid="{00000000-0005-0000-0000-0000E2000000}"/>
    <cellStyle name="Header2 3 3" xfId="241" xr:uid="{00000000-0005-0000-0000-0000E3000000}"/>
    <cellStyle name="Header2 3 4" xfId="242" xr:uid="{00000000-0005-0000-0000-0000E4000000}"/>
    <cellStyle name="Header2 3 5" xfId="243" xr:uid="{00000000-0005-0000-0000-0000E5000000}"/>
    <cellStyle name="Header2 3 6" xfId="244" xr:uid="{00000000-0005-0000-0000-0000E6000000}"/>
    <cellStyle name="Header2 3 7" xfId="245" xr:uid="{00000000-0005-0000-0000-0000E7000000}"/>
    <cellStyle name="Header2 3 8" xfId="246" xr:uid="{00000000-0005-0000-0000-0000E8000000}"/>
    <cellStyle name="Header2 3 9" xfId="247" xr:uid="{00000000-0005-0000-0000-0000E9000000}"/>
    <cellStyle name="Header2 3 9 2" xfId="248" xr:uid="{00000000-0005-0000-0000-0000EA000000}"/>
    <cellStyle name="Header2 3 9 3" xfId="249" xr:uid="{00000000-0005-0000-0000-0000EB000000}"/>
    <cellStyle name="Header2 4" xfId="250" xr:uid="{00000000-0005-0000-0000-0000EC000000}"/>
    <cellStyle name="Header2 4 2" xfId="251" xr:uid="{00000000-0005-0000-0000-0000ED000000}"/>
    <cellStyle name="Header2 4 3" xfId="252" xr:uid="{00000000-0005-0000-0000-0000EE000000}"/>
    <cellStyle name="Header2 4 4" xfId="253" xr:uid="{00000000-0005-0000-0000-0000EF000000}"/>
    <cellStyle name="Header2 4 5" xfId="254" xr:uid="{00000000-0005-0000-0000-0000F0000000}"/>
    <cellStyle name="Header2 4 6" xfId="255" xr:uid="{00000000-0005-0000-0000-0000F1000000}"/>
    <cellStyle name="Header2 4 7" xfId="256" xr:uid="{00000000-0005-0000-0000-0000F2000000}"/>
    <cellStyle name="Header2 4 7 2" xfId="257" xr:uid="{00000000-0005-0000-0000-0000F3000000}"/>
    <cellStyle name="Header2 5" xfId="258" xr:uid="{00000000-0005-0000-0000-0000F4000000}"/>
    <cellStyle name="Header2 6" xfId="259" xr:uid="{00000000-0005-0000-0000-0000F5000000}"/>
    <cellStyle name="Header2 7" xfId="260" xr:uid="{00000000-0005-0000-0000-0000F6000000}"/>
    <cellStyle name="Header2 7 2" xfId="261" xr:uid="{00000000-0005-0000-0000-0000F7000000}"/>
    <cellStyle name="Header2 7 3" xfId="262" xr:uid="{00000000-0005-0000-0000-0000F8000000}"/>
    <cellStyle name="Heading 1" xfId="263" xr:uid="{00000000-0005-0000-0000-0000F9000000}"/>
    <cellStyle name="Heading 2" xfId="264" xr:uid="{00000000-0005-0000-0000-0000FA000000}"/>
    <cellStyle name="Heading 3" xfId="265" xr:uid="{00000000-0005-0000-0000-0000FB000000}"/>
    <cellStyle name="Heading 4" xfId="266" xr:uid="{00000000-0005-0000-0000-0000FC000000}"/>
    <cellStyle name="IBM(401K)" xfId="267" xr:uid="{00000000-0005-0000-0000-0000FD000000}"/>
    <cellStyle name="Input" xfId="268" xr:uid="{00000000-0005-0000-0000-0000FE000000}"/>
    <cellStyle name="Input [yellow]" xfId="269" xr:uid="{00000000-0005-0000-0000-0000FF000000}"/>
    <cellStyle name="Input [yellow] 2" xfId="270" xr:uid="{00000000-0005-0000-0000-000000010000}"/>
    <cellStyle name="Input [yellow] 2 2" xfId="271" xr:uid="{00000000-0005-0000-0000-000001010000}"/>
    <cellStyle name="Input [yellow] 2 2 2" xfId="272" xr:uid="{00000000-0005-0000-0000-000002010000}"/>
    <cellStyle name="Input [yellow] 2 2 3" xfId="273" xr:uid="{00000000-0005-0000-0000-000003010000}"/>
    <cellStyle name="Input [yellow] 2 2 4" xfId="274" xr:uid="{00000000-0005-0000-0000-000004010000}"/>
    <cellStyle name="Input [yellow] 2 2 5" xfId="275" xr:uid="{00000000-0005-0000-0000-000005010000}"/>
    <cellStyle name="Input [yellow] 2 2 6" xfId="276" xr:uid="{00000000-0005-0000-0000-000006010000}"/>
    <cellStyle name="Input [yellow] 2 2 7" xfId="277" xr:uid="{00000000-0005-0000-0000-000007010000}"/>
    <cellStyle name="Input [yellow] 2 2 8" xfId="278" xr:uid="{00000000-0005-0000-0000-000008010000}"/>
    <cellStyle name="Input [yellow] 2 2 9" xfId="279" xr:uid="{00000000-0005-0000-0000-000009010000}"/>
    <cellStyle name="Input [yellow] 2 3" xfId="280" xr:uid="{00000000-0005-0000-0000-00000A010000}"/>
    <cellStyle name="Input [yellow] 2 3 2" xfId="281" xr:uid="{00000000-0005-0000-0000-00000B010000}"/>
    <cellStyle name="Input [yellow] 2 3 3" xfId="282" xr:uid="{00000000-0005-0000-0000-00000C010000}"/>
    <cellStyle name="Input [yellow] 3" xfId="283" xr:uid="{00000000-0005-0000-0000-00000D010000}"/>
    <cellStyle name="Input [yellow] 3 2" xfId="284" xr:uid="{00000000-0005-0000-0000-00000E010000}"/>
    <cellStyle name="Input [yellow] 3 2 2" xfId="285" xr:uid="{00000000-0005-0000-0000-00000F010000}"/>
    <cellStyle name="Input [yellow] 3 2 3" xfId="286" xr:uid="{00000000-0005-0000-0000-000010010000}"/>
    <cellStyle name="Input [yellow] 3 2 4" xfId="287" xr:uid="{00000000-0005-0000-0000-000011010000}"/>
    <cellStyle name="Input [yellow] 3 2 5" xfId="288" xr:uid="{00000000-0005-0000-0000-000012010000}"/>
    <cellStyle name="Input [yellow] 3 2 6" xfId="289" xr:uid="{00000000-0005-0000-0000-000013010000}"/>
    <cellStyle name="Input [yellow] 3 2 7" xfId="290" xr:uid="{00000000-0005-0000-0000-000014010000}"/>
    <cellStyle name="Input [yellow] 3 2 8" xfId="291" xr:uid="{00000000-0005-0000-0000-000015010000}"/>
    <cellStyle name="Input [yellow] 3 2 9" xfId="292" xr:uid="{00000000-0005-0000-0000-000016010000}"/>
    <cellStyle name="Input [yellow] 3 3" xfId="293" xr:uid="{00000000-0005-0000-0000-000017010000}"/>
    <cellStyle name="Input [yellow] 3 4" xfId="294" xr:uid="{00000000-0005-0000-0000-000018010000}"/>
    <cellStyle name="Input [yellow] 3 5" xfId="295" xr:uid="{00000000-0005-0000-0000-000019010000}"/>
    <cellStyle name="Input [yellow] 3 6" xfId="296" xr:uid="{00000000-0005-0000-0000-00001A010000}"/>
    <cellStyle name="Input [yellow] 3 7" xfId="297" xr:uid="{00000000-0005-0000-0000-00001B010000}"/>
    <cellStyle name="Input [yellow] 3 8" xfId="298" xr:uid="{00000000-0005-0000-0000-00001C010000}"/>
    <cellStyle name="Input [yellow] 3 9" xfId="299" xr:uid="{00000000-0005-0000-0000-00001D010000}"/>
    <cellStyle name="Input [yellow] 3 9 2" xfId="300" xr:uid="{00000000-0005-0000-0000-00001E010000}"/>
    <cellStyle name="Input [yellow] 3 9 3" xfId="301" xr:uid="{00000000-0005-0000-0000-00001F010000}"/>
    <cellStyle name="Input [yellow] 4" xfId="302" xr:uid="{00000000-0005-0000-0000-000020010000}"/>
    <cellStyle name="Input [yellow] 4 2" xfId="303" xr:uid="{00000000-0005-0000-0000-000021010000}"/>
    <cellStyle name="Input [yellow] 4 3" xfId="304" xr:uid="{00000000-0005-0000-0000-000022010000}"/>
    <cellStyle name="Input [yellow] 4 4" xfId="305" xr:uid="{00000000-0005-0000-0000-000023010000}"/>
    <cellStyle name="Input [yellow] 4 5" xfId="306" xr:uid="{00000000-0005-0000-0000-000024010000}"/>
    <cellStyle name="Input [yellow] 4 6" xfId="307" xr:uid="{00000000-0005-0000-0000-000025010000}"/>
    <cellStyle name="Input [yellow] 4 7" xfId="308" xr:uid="{00000000-0005-0000-0000-000026010000}"/>
    <cellStyle name="Input [yellow] 4 8" xfId="309" xr:uid="{00000000-0005-0000-0000-000027010000}"/>
    <cellStyle name="Input [yellow] 4 8 2" xfId="310" xr:uid="{00000000-0005-0000-0000-000028010000}"/>
    <cellStyle name="Input [yellow] 4 8 3" xfId="311" xr:uid="{00000000-0005-0000-0000-000029010000}"/>
    <cellStyle name="Input [yellow] 5" xfId="312" xr:uid="{00000000-0005-0000-0000-00002A010000}"/>
    <cellStyle name="Input [yellow] 6" xfId="313" xr:uid="{00000000-0005-0000-0000-00002B010000}"/>
    <cellStyle name="Input [yellow] 7" xfId="314" xr:uid="{00000000-0005-0000-0000-00002C010000}"/>
    <cellStyle name="Input [yellow] 7 2" xfId="315" xr:uid="{00000000-0005-0000-0000-00002D010000}"/>
    <cellStyle name="Input [yellow] 7 3" xfId="316" xr:uid="{00000000-0005-0000-0000-00002E010000}"/>
    <cellStyle name="Input 10" xfId="317" xr:uid="{00000000-0005-0000-0000-00002F010000}"/>
    <cellStyle name="Input 10 2" xfId="318" xr:uid="{00000000-0005-0000-0000-000030010000}"/>
    <cellStyle name="Input 11" xfId="319" xr:uid="{00000000-0005-0000-0000-000031010000}"/>
    <cellStyle name="Input 11 2" xfId="320" xr:uid="{00000000-0005-0000-0000-000032010000}"/>
    <cellStyle name="Input 12" xfId="321" xr:uid="{00000000-0005-0000-0000-000033010000}"/>
    <cellStyle name="Input 12 2" xfId="322" xr:uid="{00000000-0005-0000-0000-000034010000}"/>
    <cellStyle name="Input 13" xfId="323" xr:uid="{00000000-0005-0000-0000-000035010000}"/>
    <cellStyle name="Input 13 2" xfId="324" xr:uid="{00000000-0005-0000-0000-000036010000}"/>
    <cellStyle name="Input 14" xfId="325" xr:uid="{00000000-0005-0000-0000-000037010000}"/>
    <cellStyle name="Input 14 2" xfId="326" xr:uid="{00000000-0005-0000-0000-000038010000}"/>
    <cellStyle name="Input 15" xfId="327" xr:uid="{00000000-0005-0000-0000-000039010000}"/>
    <cellStyle name="Input 15 2" xfId="328" xr:uid="{00000000-0005-0000-0000-00003A010000}"/>
    <cellStyle name="Input 16" xfId="329" xr:uid="{00000000-0005-0000-0000-00003B010000}"/>
    <cellStyle name="Input 16 2" xfId="330" xr:uid="{00000000-0005-0000-0000-00003C010000}"/>
    <cellStyle name="Input 17" xfId="331" xr:uid="{00000000-0005-0000-0000-00003D010000}"/>
    <cellStyle name="Input 17 2" xfId="332" xr:uid="{00000000-0005-0000-0000-00003E010000}"/>
    <cellStyle name="Input 18" xfId="333" xr:uid="{00000000-0005-0000-0000-00003F010000}"/>
    <cellStyle name="Input 19" xfId="334" xr:uid="{00000000-0005-0000-0000-000040010000}"/>
    <cellStyle name="Input 2" xfId="335" xr:uid="{00000000-0005-0000-0000-000041010000}"/>
    <cellStyle name="Input 2 2" xfId="336" xr:uid="{00000000-0005-0000-0000-000042010000}"/>
    <cellStyle name="Input 2 2 2" xfId="337" xr:uid="{00000000-0005-0000-0000-000043010000}"/>
    <cellStyle name="Input 2 3" xfId="338" xr:uid="{00000000-0005-0000-0000-000044010000}"/>
    <cellStyle name="Input 2 3 2" xfId="339" xr:uid="{00000000-0005-0000-0000-000045010000}"/>
    <cellStyle name="Input 2 4" xfId="340" xr:uid="{00000000-0005-0000-0000-000046010000}"/>
    <cellStyle name="Input 2 4 2" xfId="341" xr:uid="{00000000-0005-0000-0000-000047010000}"/>
    <cellStyle name="Input 2 5" xfId="342" xr:uid="{00000000-0005-0000-0000-000048010000}"/>
    <cellStyle name="Input 2 5 2" xfId="343" xr:uid="{00000000-0005-0000-0000-000049010000}"/>
    <cellStyle name="Input 2 6" xfId="344" xr:uid="{00000000-0005-0000-0000-00004A010000}"/>
    <cellStyle name="Input 2 6 2" xfId="345" xr:uid="{00000000-0005-0000-0000-00004B010000}"/>
    <cellStyle name="Input 2 7" xfId="346" xr:uid="{00000000-0005-0000-0000-00004C010000}"/>
    <cellStyle name="Input 20" xfId="347" xr:uid="{00000000-0005-0000-0000-00004D010000}"/>
    <cellStyle name="Input 21" xfId="348" xr:uid="{00000000-0005-0000-0000-00004E010000}"/>
    <cellStyle name="Input 22" xfId="349" xr:uid="{00000000-0005-0000-0000-00004F010000}"/>
    <cellStyle name="Input 23" xfId="350" xr:uid="{00000000-0005-0000-0000-000050010000}"/>
    <cellStyle name="Input 24" xfId="351" xr:uid="{00000000-0005-0000-0000-000051010000}"/>
    <cellStyle name="Input 25" xfId="352" xr:uid="{00000000-0005-0000-0000-000052010000}"/>
    <cellStyle name="Input 26" xfId="353" xr:uid="{00000000-0005-0000-0000-000053010000}"/>
    <cellStyle name="Input 3" xfId="354" xr:uid="{00000000-0005-0000-0000-000054010000}"/>
    <cellStyle name="Input 3 2" xfId="355" xr:uid="{00000000-0005-0000-0000-000055010000}"/>
    <cellStyle name="Input 4" xfId="356" xr:uid="{00000000-0005-0000-0000-000056010000}"/>
    <cellStyle name="Input 4 2" xfId="357" xr:uid="{00000000-0005-0000-0000-000057010000}"/>
    <cellStyle name="Input 5" xfId="358" xr:uid="{00000000-0005-0000-0000-000058010000}"/>
    <cellStyle name="Input 5 2" xfId="359" xr:uid="{00000000-0005-0000-0000-000059010000}"/>
    <cellStyle name="Input 6" xfId="360" xr:uid="{00000000-0005-0000-0000-00005A010000}"/>
    <cellStyle name="Input 6 2" xfId="361" xr:uid="{00000000-0005-0000-0000-00005B010000}"/>
    <cellStyle name="Input 7" xfId="362" xr:uid="{00000000-0005-0000-0000-00005C010000}"/>
    <cellStyle name="Input 7 2" xfId="363" xr:uid="{00000000-0005-0000-0000-00005D010000}"/>
    <cellStyle name="Input 8" xfId="364" xr:uid="{00000000-0005-0000-0000-00005E010000}"/>
    <cellStyle name="Input 8 2" xfId="365" xr:uid="{00000000-0005-0000-0000-00005F010000}"/>
    <cellStyle name="Input 9" xfId="366" xr:uid="{00000000-0005-0000-0000-000060010000}"/>
    <cellStyle name="Input 9 2" xfId="367" xr:uid="{00000000-0005-0000-0000-000061010000}"/>
    <cellStyle name="J401K" xfId="368" xr:uid="{00000000-0005-0000-0000-000062010000}"/>
    <cellStyle name="Linked Cell" xfId="369" xr:uid="{00000000-0005-0000-0000-000063010000}"/>
    <cellStyle name="Millares [0]_Compra" xfId="370" xr:uid="{00000000-0005-0000-0000-000064010000}"/>
    <cellStyle name="Millares_Compra" xfId="371" xr:uid="{00000000-0005-0000-0000-000065010000}"/>
    <cellStyle name="Moneda [0]_Compra" xfId="372" xr:uid="{00000000-0005-0000-0000-000066010000}"/>
    <cellStyle name="Moneda_Compra" xfId="373" xr:uid="{00000000-0005-0000-0000-000067010000}"/>
    <cellStyle name="Neutral" xfId="374" xr:uid="{00000000-0005-0000-0000-000068010000}"/>
    <cellStyle name="no dec" xfId="375" xr:uid="{00000000-0005-0000-0000-000069010000}"/>
    <cellStyle name="Normal - Style1" xfId="5" xr:uid="{00000000-0005-0000-0000-00006A010000}"/>
    <cellStyle name="Normal - Style1 2" xfId="376" xr:uid="{00000000-0005-0000-0000-00006B010000}"/>
    <cellStyle name="Normal - Style1 2 2" xfId="377" xr:uid="{00000000-0005-0000-0000-00006C010000}"/>
    <cellStyle name="Normal - Style1 2 3" xfId="378" xr:uid="{00000000-0005-0000-0000-00006D010000}"/>
    <cellStyle name="Normal_#18-Internet" xfId="6" xr:uid="{00000000-0005-0000-0000-00006E010000}"/>
    <cellStyle name="Note" xfId="379" xr:uid="{00000000-0005-0000-0000-00006F010000}"/>
    <cellStyle name="Note 2" xfId="380" xr:uid="{00000000-0005-0000-0000-000070010000}"/>
    <cellStyle name="Note 2 2" xfId="381" xr:uid="{00000000-0005-0000-0000-000071010000}"/>
    <cellStyle name="Note 2 2 2" xfId="382" xr:uid="{00000000-0005-0000-0000-000072010000}"/>
    <cellStyle name="Note 2 2 2 2" xfId="383" xr:uid="{00000000-0005-0000-0000-000073010000}"/>
    <cellStyle name="Note 2 2 3" xfId="384" xr:uid="{00000000-0005-0000-0000-000074010000}"/>
    <cellStyle name="Note 2 2 3 2" xfId="385" xr:uid="{00000000-0005-0000-0000-000075010000}"/>
    <cellStyle name="Note 2 2 4" xfId="386" xr:uid="{00000000-0005-0000-0000-000076010000}"/>
    <cellStyle name="Note 2 2 4 2" xfId="387" xr:uid="{00000000-0005-0000-0000-000077010000}"/>
    <cellStyle name="Note 2 2 5" xfId="388" xr:uid="{00000000-0005-0000-0000-000078010000}"/>
    <cellStyle name="Note 2 2 5 2" xfId="389" xr:uid="{00000000-0005-0000-0000-000079010000}"/>
    <cellStyle name="Note 2 2 6" xfId="390" xr:uid="{00000000-0005-0000-0000-00007A010000}"/>
    <cellStyle name="Note 2 2 6 2" xfId="391" xr:uid="{00000000-0005-0000-0000-00007B010000}"/>
    <cellStyle name="Note 2 2 7" xfId="392" xr:uid="{00000000-0005-0000-0000-00007C010000}"/>
    <cellStyle name="Note 2 3" xfId="393" xr:uid="{00000000-0005-0000-0000-00007D010000}"/>
    <cellStyle name="Note 2 3 2" xfId="394" xr:uid="{00000000-0005-0000-0000-00007E010000}"/>
    <cellStyle name="Note 2 4" xfId="395" xr:uid="{00000000-0005-0000-0000-00007F010000}"/>
    <cellStyle name="Note 3" xfId="396" xr:uid="{00000000-0005-0000-0000-000080010000}"/>
    <cellStyle name="Note 3 2" xfId="397" xr:uid="{00000000-0005-0000-0000-000081010000}"/>
    <cellStyle name="Note 3 2 2" xfId="398" xr:uid="{00000000-0005-0000-0000-000082010000}"/>
    <cellStyle name="Note 3 2 2 2" xfId="399" xr:uid="{00000000-0005-0000-0000-000083010000}"/>
    <cellStyle name="Note 3 2 3" xfId="400" xr:uid="{00000000-0005-0000-0000-000084010000}"/>
    <cellStyle name="Note 3 2 3 2" xfId="401" xr:uid="{00000000-0005-0000-0000-000085010000}"/>
    <cellStyle name="Note 3 2 4" xfId="402" xr:uid="{00000000-0005-0000-0000-000086010000}"/>
    <cellStyle name="Note 3 2 4 2" xfId="403" xr:uid="{00000000-0005-0000-0000-000087010000}"/>
    <cellStyle name="Note 3 2 5" xfId="404" xr:uid="{00000000-0005-0000-0000-000088010000}"/>
    <cellStyle name="Note 3 2 5 2" xfId="405" xr:uid="{00000000-0005-0000-0000-000089010000}"/>
    <cellStyle name="Note 3 2 6" xfId="406" xr:uid="{00000000-0005-0000-0000-00008A010000}"/>
    <cellStyle name="Note 3 2 6 2" xfId="407" xr:uid="{00000000-0005-0000-0000-00008B010000}"/>
    <cellStyle name="Note 3 2 7" xfId="408" xr:uid="{00000000-0005-0000-0000-00008C010000}"/>
    <cellStyle name="Note 3 3" xfId="409" xr:uid="{00000000-0005-0000-0000-00008D010000}"/>
    <cellStyle name="Note 3 3 2" xfId="410" xr:uid="{00000000-0005-0000-0000-00008E010000}"/>
    <cellStyle name="Note 3 4" xfId="411" xr:uid="{00000000-0005-0000-0000-00008F010000}"/>
    <cellStyle name="Note 3 4 2" xfId="412" xr:uid="{00000000-0005-0000-0000-000090010000}"/>
    <cellStyle name="Note 3 5" xfId="413" xr:uid="{00000000-0005-0000-0000-000091010000}"/>
    <cellStyle name="Note 3 5 2" xfId="414" xr:uid="{00000000-0005-0000-0000-000092010000}"/>
    <cellStyle name="Note 3 6" xfId="415" xr:uid="{00000000-0005-0000-0000-000093010000}"/>
    <cellStyle name="Note 3 6 2" xfId="416" xr:uid="{00000000-0005-0000-0000-000094010000}"/>
    <cellStyle name="Note 3 7" xfId="417" xr:uid="{00000000-0005-0000-0000-000095010000}"/>
    <cellStyle name="Note 3 7 2" xfId="418" xr:uid="{00000000-0005-0000-0000-000096010000}"/>
    <cellStyle name="Note 3 8" xfId="419" xr:uid="{00000000-0005-0000-0000-000097010000}"/>
    <cellStyle name="Note 4" xfId="420" xr:uid="{00000000-0005-0000-0000-000098010000}"/>
    <cellStyle name="Note 4 2" xfId="421" xr:uid="{00000000-0005-0000-0000-000099010000}"/>
    <cellStyle name="Note 4 2 2" xfId="422" xr:uid="{00000000-0005-0000-0000-00009A010000}"/>
    <cellStyle name="Note 4 3" xfId="423" xr:uid="{00000000-0005-0000-0000-00009B010000}"/>
    <cellStyle name="Note 4 3 2" xfId="424" xr:uid="{00000000-0005-0000-0000-00009C010000}"/>
    <cellStyle name="Note 4 4" xfId="425" xr:uid="{00000000-0005-0000-0000-00009D010000}"/>
    <cellStyle name="Note 4 4 2" xfId="426" xr:uid="{00000000-0005-0000-0000-00009E010000}"/>
    <cellStyle name="Note 4 5" xfId="427" xr:uid="{00000000-0005-0000-0000-00009F010000}"/>
    <cellStyle name="Note 4 5 2" xfId="428" xr:uid="{00000000-0005-0000-0000-0000A0010000}"/>
    <cellStyle name="Note 4 6" xfId="429" xr:uid="{00000000-0005-0000-0000-0000A1010000}"/>
    <cellStyle name="Note 4 6 2" xfId="430" xr:uid="{00000000-0005-0000-0000-0000A2010000}"/>
    <cellStyle name="Note 4 7" xfId="431" xr:uid="{00000000-0005-0000-0000-0000A3010000}"/>
    <cellStyle name="Note 5" xfId="432" xr:uid="{00000000-0005-0000-0000-0000A4010000}"/>
    <cellStyle name="Note 5 2" xfId="433" xr:uid="{00000000-0005-0000-0000-0000A5010000}"/>
    <cellStyle name="Output" xfId="434" xr:uid="{00000000-0005-0000-0000-0000A6010000}"/>
    <cellStyle name="Output 2" xfId="435" xr:uid="{00000000-0005-0000-0000-0000A7010000}"/>
    <cellStyle name="Output 2 2" xfId="436" xr:uid="{00000000-0005-0000-0000-0000A8010000}"/>
    <cellStyle name="Output 2 2 2" xfId="437" xr:uid="{00000000-0005-0000-0000-0000A9010000}"/>
    <cellStyle name="Output 2 3" xfId="438" xr:uid="{00000000-0005-0000-0000-0000AA010000}"/>
    <cellStyle name="Output 2 3 2" xfId="439" xr:uid="{00000000-0005-0000-0000-0000AB010000}"/>
    <cellStyle name="Output 2 4" xfId="440" xr:uid="{00000000-0005-0000-0000-0000AC010000}"/>
    <cellStyle name="Output 2 4 2" xfId="441" xr:uid="{00000000-0005-0000-0000-0000AD010000}"/>
    <cellStyle name="Output 2 5" xfId="442" xr:uid="{00000000-0005-0000-0000-0000AE010000}"/>
    <cellStyle name="Output 2 5 2" xfId="443" xr:uid="{00000000-0005-0000-0000-0000AF010000}"/>
    <cellStyle name="Output 2 6" xfId="444" xr:uid="{00000000-0005-0000-0000-0000B0010000}"/>
    <cellStyle name="Output 2 6 2" xfId="445" xr:uid="{00000000-0005-0000-0000-0000B1010000}"/>
    <cellStyle name="Output 2 7" xfId="446" xr:uid="{00000000-0005-0000-0000-0000B2010000}"/>
    <cellStyle name="Output 3" xfId="447" xr:uid="{00000000-0005-0000-0000-0000B3010000}"/>
    <cellStyle name="Output 3 2" xfId="448" xr:uid="{00000000-0005-0000-0000-0000B4010000}"/>
    <cellStyle name="per.style" xfId="449" xr:uid="{00000000-0005-0000-0000-0000B5010000}"/>
    <cellStyle name="Percent [2]" xfId="450" xr:uid="{00000000-0005-0000-0000-0000B6010000}"/>
    <cellStyle name="price" xfId="451" xr:uid="{00000000-0005-0000-0000-0000B7010000}"/>
    <cellStyle name="PSChar" xfId="452" xr:uid="{00000000-0005-0000-0000-0000B8010000}"/>
    <cellStyle name="PSHeading" xfId="453" xr:uid="{00000000-0005-0000-0000-0000B9010000}"/>
    <cellStyle name="QDF" xfId="454" xr:uid="{00000000-0005-0000-0000-0000BA010000}"/>
    <cellStyle name="revised" xfId="455" xr:uid="{00000000-0005-0000-0000-0000BB010000}"/>
    <cellStyle name="section" xfId="456" xr:uid="{00000000-0005-0000-0000-0000BC010000}"/>
    <cellStyle name="subhead" xfId="457" xr:uid="{00000000-0005-0000-0000-0000BD010000}"/>
    <cellStyle name="title" xfId="458" xr:uid="{00000000-0005-0000-0000-0000BE010000}"/>
    <cellStyle name="Total" xfId="459" xr:uid="{00000000-0005-0000-0000-0000BF010000}"/>
    <cellStyle name="Total 2" xfId="460" xr:uid="{00000000-0005-0000-0000-0000C0010000}"/>
    <cellStyle name="Total 2 2" xfId="461" xr:uid="{00000000-0005-0000-0000-0000C1010000}"/>
    <cellStyle name="Total 2 2 2" xfId="462" xr:uid="{00000000-0005-0000-0000-0000C2010000}"/>
    <cellStyle name="Total 2 3" xfId="463" xr:uid="{00000000-0005-0000-0000-0000C3010000}"/>
    <cellStyle name="Total 2 3 2" xfId="464" xr:uid="{00000000-0005-0000-0000-0000C4010000}"/>
    <cellStyle name="Total 2 4" xfId="465" xr:uid="{00000000-0005-0000-0000-0000C5010000}"/>
    <cellStyle name="Total 2 4 2" xfId="466" xr:uid="{00000000-0005-0000-0000-0000C6010000}"/>
    <cellStyle name="Total 2 5" xfId="467" xr:uid="{00000000-0005-0000-0000-0000C7010000}"/>
    <cellStyle name="Total 2 5 2" xfId="468" xr:uid="{00000000-0005-0000-0000-0000C8010000}"/>
    <cellStyle name="Total 2 6" xfId="469" xr:uid="{00000000-0005-0000-0000-0000C9010000}"/>
    <cellStyle name="Total 2 6 2" xfId="470" xr:uid="{00000000-0005-0000-0000-0000CA010000}"/>
    <cellStyle name="Total 2 7" xfId="471" xr:uid="{00000000-0005-0000-0000-0000CB010000}"/>
    <cellStyle name="Total 3" xfId="472" xr:uid="{00000000-0005-0000-0000-0000CC010000}"/>
    <cellStyle name="Total 3 2" xfId="473" xr:uid="{00000000-0005-0000-0000-0000CD010000}"/>
    <cellStyle name="Warning Text" xfId="474" xr:uid="{00000000-0005-0000-0000-0000CE010000}"/>
    <cellStyle name="アクセント 1 2" xfId="475" xr:uid="{00000000-0005-0000-0000-0000CF010000}"/>
    <cellStyle name="アクセント 1 3" xfId="476" xr:uid="{00000000-0005-0000-0000-0000D0010000}"/>
    <cellStyle name="アクセント 1 4" xfId="477" xr:uid="{00000000-0005-0000-0000-0000D1010000}"/>
    <cellStyle name="アクセント 1 5" xfId="478" xr:uid="{00000000-0005-0000-0000-0000D2010000}"/>
    <cellStyle name="アクセント 1 6" xfId="479" xr:uid="{00000000-0005-0000-0000-0000D3010000}"/>
    <cellStyle name="アクセント 1 7" xfId="480" xr:uid="{00000000-0005-0000-0000-0000D4010000}"/>
    <cellStyle name="アクセント 1 8" xfId="481" xr:uid="{00000000-0005-0000-0000-0000D5010000}"/>
    <cellStyle name="アクセント 1 9" xfId="482" xr:uid="{00000000-0005-0000-0000-0000D6010000}"/>
    <cellStyle name="アクセント 2 2" xfId="483" xr:uid="{00000000-0005-0000-0000-0000D7010000}"/>
    <cellStyle name="アクセント 2 3" xfId="484" xr:uid="{00000000-0005-0000-0000-0000D8010000}"/>
    <cellStyle name="アクセント 2 4" xfId="485" xr:uid="{00000000-0005-0000-0000-0000D9010000}"/>
    <cellStyle name="アクセント 2 5" xfId="486" xr:uid="{00000000-0005-0000-0000-0000DA010000}"/>
    <cellStyle name="アクセント 2 6" xfId="487" xr:uid="{00000000-0005-0000-0000-0000DB010000}"/>
    <cellStyle name="アクセント 2 7" xfId="488" xr:uid="{00000000-0005-0000-0000-0000DC010000}"/>
    <cellStyle name="アクセント 2 8" xfId="489" xr:uid="{00000000-0005-0000-0000-0000DD010000}"/>
    <cellStyle name="アクセント 2 9" xfId="490" xr:uid="{00000000-0005-0000-0000-0000DE010000}"/>
    <cellStyle name="アクセント 3 2" xfId="491" xr:uid="{00000000-0005-0000-0000-0000DF010000}"/>
    <cellStyle name="アクセント 3 3" xfId="492" xr:uid="{00000000-0005-0000-0000-0000E0010000}"/>
    <cellStyle name="アクセント 3 4" xfId="493" xr:uid="{00000000-0005-0000-0000-0000E1010000}"/>
    <cellStyle name="アクセント 3 5" xfId="494" xr:uid="{00000000-0005-0000-0000-0000E2010000}"/>
    <cellStyle name="アクセント 3 6" xfId="495" xr:uid="{00000000-0005-0000-0000-0000E3010000}"/>
    <cellStyle name="アクセント 3 7" xfId="496" xr:uid="{00000000-0005-0000-0000-0000E4010000}"/>
    <cellStyle name="アクセント 3 8" xfId="497" xr:uid="{00000000-0005-0000-0000-0000E5010000}"/>
    <cellStyle name="アクセント 3 9" xfId="498" xr:uid="{00000000-0005-0000-0000-0000E6010000}"/>
    <cellStyle name="アクセント 4 2" xfId="499" xr:uid="{00000000-0005-0000-0000-0000E7010000}"/>
    <cellStyle name="アクセント 4 3" xfId="500" xr:uid="{00000000-0005-0000-0000-0000E8010000}"/>
    <cellStyle name="アクセント 4 4" xfId="501" xr:uid="{00000000-0005-0000-0000-0000E9010000}"/>
    <cellStyle name="アクセント 4 5" xfId="502" xr:uid="{00000000-0005-0000-0000-0000EA010000}"/>
    <cellStyle name="アクセント 4 6" xfId="503" xr:uid="{00000000-0005-0000-0000-0000EB010000}"/>
    <cellStyle name="アクセント 4 7" xfId="504" xr:uid="{00000000-0005-0000-0000-0000EC010000}"/>
    <cellStyle name="アクセント 4 8" xfId="505" xr:uid="{00000000-0005-0000-0000-0000ED010000}"/>
    <cellStyle name="アクセント 4 9" xfId="506" xr:uid="{00000000-0005-0000-0000-0000EE010000}"/>
    <cellStyle name="アクセント 5 2" xfId="507" xr:uid="{00000000-0005-0000-0000-0000EF010000}"/>
    <cellStyle name="アクセント 5 3" xfId="508" xr:uid="{00000000-0005-0000-0000-0000F0010000}"/>
    <cellStyle name="アクセント 5 4" xfId="509" xr:uid="{00000000-0005-0000-0000-0000F1010000}"/>
    <cellStyle name="アクセント 5 5" xfId="510" xr:uid="{00000000-0005-0000-0000-0000F2010000}"/>
    <cellStyle name="アクセント 5 6" xfId="511" xr:uid="{00000000-0005-0000-0000-0000F3010000}"/>
    <cellStyle name="アクセント 5 7" xfId="512" xr:uid="{00000000-0005-0000-0000-0000F4010000}"/>
    <cellStyle name="アクセント 5 8" xfId="513" xr:uid="{00000000-0005-0000-0000-0000F5010000}"/>
    <cellStyle name="アクセント 5 9" xfId="514" xr:uid="{00000000-0005-0000-0000-0000F6010000}"/>
    <cellStyle name="アクセント 6 2" xfId="515" xr:uid="{00000000-0005-0000-0000-0000F7010000}"/>
    <cellStyle name="アクセント 6 3" xfId="516" xr:uid="{00000000-0005-0000-0000-0000F8010000}"/>
    <cellStyle name="アクセント 6 4" xfId="517" xr:uid="{00000000-0005-0000-0000-0000F9010000}"/>
    <cellStyle name="アクセント 6 5" xfId="518" xr:uid="{00000000-0005-0000-0000-0000FA010000}"/>
    <cellStyle name="アクセント 6 6" xfId="519" xr:uid="{00000000-0005-0000-0000-0000FB010000}"/>
    <cellStyle name="アクセント 6 7" xfId="520" xr:uid="{00000000-0005-0000-0000-0000FC010000}"/>
    <cellStyle name="アクセント 6 8" xfId="521" xr:uid="{00000000-0005-0000-0000-0000FD010000}"/>
    <cellStyle name="アクセント 6 9" xfId="522" xr:uid="{00000000-0005-0000-0000-0000FE010000}"/>
    <cellStyle name="センター" xfId="523" xr:uid="{00000000-0005-0000-0000-0000FF010000}"/>
    <cellStyle name="タイトル 2" xfId="524" xr:uid="{00000000-0005-0000-0000-000000020000}"/>
    <cellStyle name="タイトル 3" xfId="525" xr:uid="{00000000-0005-0000-0000-000001020000}"/>
    <cellStyle name="タイトル 4" xfId="526" xr:uid="{00000000-0005-0000-0000-000002020000}"/>
    <cellStyle name="タイトル 5" xfId="527" xr:uid="{00000000-0005-0000-0000-000003020000}"/>
    <cellStyle name="タイトル 6" xfId="528" xr:uid="{00000000-0005-0000-0000-000004020000}"/>
    <cellStyle name="タイトル 7" xfId="529" xr:uid="{00000000-0005-0000-0000-000005020000}"/>
    <cellStyle name="タイトル 8" xfId="530" xr:uid="{00000000-0005-0000-0000-000006020000}"/>
    <cellStyle name="タイトル 9" xfId="531" xr:uid="{00000000-0005-0000-0000-000007020000}"/>
    <cellStyle name="チェック セル 2" xfId="532" xr:uid="{00000000-0005-0000-0000-000008020000}"/>
    <cellStyle name="チェック セル 3" xfId="533" xr:uid="{00000000-0005-0000-0000-000009020000}"/>
    <cellStyle name="チェック セル 4" xfId="534" xr:uid="{00000000-0005-0000-0000-00000A020000}"/>
    <cellStyle name="チェック セル 5" xfId="535" xr:uid="{00000000-0005-0000-0000-00000B020000}"/>
    <cellStyle name="チェック セル 6" xfId="536" xr:uid="{00000000-0005-0000-0000-00000C020000}"/>
    <cellStyle name="チェック セル 7" xfId="537" xr:uid="{00000000-0005-0000-0000-00000D020000}"/>
    <cellStyle name="チェック セル 8" xfId="538" xr:uid="{00000000-0005-0000-0000-00000E020000}"/>
    <cellStyle name="チェック セル 9" xfId="539" xr:uid="{00000000-0005-0000-0000-00000F020000}"/>
    <cellStyle name="チャート" xfId="540" xr:uid="{00000000-0005-0000-0000-000010020000}"/>
    <cellStyle name="どちらでもない 2" xfId="541" xr:uid="{00000000-0005-0000-0000-000011020000}"/>
    <cellStyle name="どちらでもない 3" xfId="542" xr:uid="{00000000-0005-0000-0000-000012020000}"/>
    <cellStyle name="どちらでもない 4" xfId="543" xr:uid="{00000000-0005-0000-0000-000013020000}"/>
    <cellStyle name="どちらでもない 5" xfId="544" xr:uid="{00000000-0005-0000-0000-000014020000}"/>
    <cellStyle name="どちらでもない 6" xfId="545" xr:uid="{00000000-0005-0000-0000-000015020000}"/>
    <cellStyle name="どちらでもない 7" xfId="546" xr:uid="{00000000-0005-0000-0000-000016020000}"/>
    <cellStyle name="どちらでもない 8" xfId="547" xr:uid="{00000000-0005-0000-0000-000017020000}"/>
    <cellStyle name="どちらでもない 9" xfId="548" xr:uid="{00000000-0005-0000-0000-000018020000}"/>
    <cellStyle name="パーセント 2" xfId="549" xr:uid="{00000000-0005-0000-0000-000019020000}"/>
    <cellStyle name="パーセント 2 2" xfId="550" xr:uid="{00000000-0005-0000-0000-00001A020000}"/>
    <cellStyle name="パーセント 3" xfId="551" xr:uid="{00000000-0005-0000-0000-00001B020000}"/>
    <cellStyle name="ハイパーリンク 2" xfId="552" xr:uid="{00000000-0005-0000-0000-00001C020000}"/>
    <cellStyle name="ハイパーリンク 2 2" xfId="553" xr:uid="{00000000-0005-0000-0000-00001D020000}"/>
    <cellStyle name="ハイパーリンク 2 3" xfId="554" xr:uid="{00000000-0005-0000-0000-00001E020000}"/>
    <cellStyle name="ハイパーリンク 3" xfId="555" xr:uid="{00000000-0005-0000-0000-00001F020000}"/>
    <cellStyle name="メモ 2" xfId="556" xr:uid="{00000000-0005-0000-0000-000020020000}"/>
    <cellStyle name="メモ 2 2" xfId="557" xr:uid="{00000000-0005-0000-0000-000021020000}"/>
    <cellStyle name="メモ 2 2 2" xfId="558" xr:uid="{00000000-0005-0000-0000-000022020000}"/>
    <cellStyle name="メモ 2 2 2 2" xfId="559" xr:uid="{00000000-0005-0000-0000-000023020000}"/>
    <cellStyle name="メモ 2 2 2 2 2" xfId="560" xr:uid="{00000000-0005-0000-0000-000024020000}"/>
    <cellStyle name="メモ 2 2 2 3" xfId="561" xr:uid="{00000000-0005-0000-0000-000025020000}"/>
    <cellStyle name="メモ 2 2 2 3 2" xfId="562" xr:uid="{00000000-0005-0000-0000-000026020000}"/>
    <cellStyle name="メモ 2 2 2 4" xfId="563" xr:uid="{00000000-0005-0000-0000-000027020000}"/>
    <cellStyle name="メモ 2 2 2 4 2" xfId="564" xr:uid="{00000000-0005-0000-0000-000028020000}"/>
    <cellStyle name="メモ 2 2 2 5" xfId="565" xr:uid="{00000000-0005-0000-0000-000029020000}"/>
    <cellStyle name="メモ 2 2 2 5 2" xfId="566" xr:uid="{00000000-0005-0000-0000-00002A020000}"/>
    <cellStyle name="メモ 2 2 2 6" xfId="567" xr:uid="{00000000-0005-0000-0000-00002B020000}"/>
    <cellStyle name="メモ 2 2 2 6 2" xfId="568" xr:uid="{00000000-0005-0000-0000-00002C020000}"/>
    <cellStyle name="メモ 2 2 2 7" xfId="569" xr:uid="{00000000-0005-0000-0000-00002D020000}"/>
    <cellStyle name="メモ 2 2 3" xfId="570" xr:uid="{00000000-0005-0000-0000-00002E020000}"/>
    <cellStyle name="メモ 2 2 3 2" xfId="571" xr:uid="{00000000-0005-0000-0000-00002F020000}"/>
    <cellStyle name="メモ 2 2 4" xfId="572" xr:uid="{00000000-0005-0000-0000-000030020000}"/>
    <cellStyle name="メモ 2 3" xfId="573" xr:uid="{00000000-0005-0000-0000-000031020000}"/>
    <cellStyle name="メモ 2 3 2" xfId="574" xr:uid="{00000000-0005-0000-0000-000032020000}"/>
    <cellStyle name="メモ 2 3 2 2" xfId="575" xr:uid="{00000000-0005-0000-0000-000033020000}"/>
    <cellStyle name="メモ 2 3 2 2 2" xfId="576" xr:uid="{00000000-0005-0000-0000-000034020000}"/>
    <cellStyle name="メモ 2 3 2 3" xfId="577" xr:uid="{00000000-0005-0000-0000-000035020000}"/>
    <cellStyle name="メモ 2 3 2 3 2" xfId="578" xr:uid="{00000000-0005-0000-0000-000036020000}"/>
    <cellStyle name="メモ 2 3 2 4" xfId="579" xr:uid="{00000000-0005-0000-0000-000037020000}"/>
    <cellStyle name="メモ 2 3 2 4 2" xfId="580" xr:uid="{00000000-0005-0000-0000-000038020000}"/>
    <cellStyle name="メモ 2 3 2 5" xfId="581" xr:uid="{00000000-0005-0000-0000-000039020000}"/>
    <cellStyle name="メモ 2 3 2 5 2" xfId="582" xr:uid="{00000000-0005-0000-0000-00003A020000}"/>
    <cellStyle name="メモ 2 3 2 6" xfId="583" xr:uid="{00000000-0005-0000-0000-00003B020000}"/>
    <cellStyle name="メモ 2 3 2 6 2" xfId="584" xr:uid="{00000000-0005-0000-0000-00003C020000}"/>
    <cellStyle name="メモ 2 3 2 7" xfId="585" xr:uid="{00000000-0005-0000-0000-00003D020000}"/>
    <cellStyle name="メモ 2 3 3" xfId="586" xr:uid="{00000000-0005-0000-0000-00003E020000}"/>
    <cellStyle name="メモ 2 3 3 2" xfId="587" xr:uid="{00000000-0005-0000-0000-00003F020000}"/>
    <cellStyle name="メモ 2 4" xfId="588" xr:uid="{00000000-0005-0000-0000-000040020000}"/>
    <cellStyle name="メモ 2 4 2" xfId="589" xr:uid="{00000000-0005-0000-0000-000041020000}"/>
    <cellStyle name="メモ 2 4 2 2" xfId="590" xr:uid="{00000000-0005-0000-0000-000042020000}"/>
    <cellStyle name="メモ 2 4 2 2 2" xfId="591" xr:uid="{00000000-0005-0000-0000-000043020000}"/>
    <cellStyle name="メモ 2 4 2 3" xfId="592" xr:uid="{00000000-0005-0000-0000-000044020000}"/>
    <cellStyle name="メモ 2 4 2 3 2" xfId="593" xr:uid="{00000000-0005-0000-0000-000045020000}"/>
    <cellStyle name="メモ 2 4 2 4" xfId="594" xr:uid="{00000000-0005-0000-0000-000046020000}"/>
    <cellStyle name="メモ 2 4 2 4 2" xfId="595" xr:uid="{00000000-0005-0000-0000-000047020000}"/>
    <cellStyle name="メモ 2 4 2 5" xfId="596" xr:uid="{00000000-0005-0000-0000-000048020000}"/>
    <cellStyle name="メモ 2 4 2 5 2" xfId="597" xr:uid="{00000000-0005-0000-0000-000049020000}"/>
    <cellStyle name="メモ 2 4 2 6" xfId="598" xr:uid="{00000000-0005-0000-0000-00004A020000}"/>
    <cellStyle name="メモ 2 4 2 6 2" xfId="599" xr:uid="{00000000-0005-0000-0000-00004B020000}"/>
    <cellStyle name="メモ 2 4 2 7" xfId="600" xr:uid="{00000000-0005-0000-0000-00004C020000}"/>
    <cellStyle name="メモ 2 4 3" xfId="601" xr:uid="{00000000-0005-0000-0000-00004D020000}"/>
    <cellStyle name="メモ 2 4 3 2" xfId="602" xr:uid="{00000000-0005-0000-0000-00004E020000}"/>
    <cellStyle name="メモ 2 4 4" xfId="603" xr:uid="{00000000-0005-0000-0000-00004F020000}"/>
    <cellStyle name="メモ 2 4 4 2" xfId="604" xr:uid="{00000000-0005-0000-0000-000050020000}"/>
    <cellStyle name="メモ 2 4 5" xfId="605" xr:uid="{00000000-0005-0000-0000-000051020000}"/>
    <cellStyle name="メモ 2 4 5 2" xfId="606" xr:uid="{00000000-0005-0000-0000-000052020000}"/>
    <cellStyle name="メモ 2 4 6" xfId="607" xr:uid="{00000000-0005-0000-0000-000053020000}"/>
    <cellStyle name="メモ 2 4 6 2" xfId="608" xr:uid="{00000000-0005-0000-0000-000054020000}"/>
    <cellStyle name="メモ 2 4 7" xfId="609" xr:uid="{00000000-0005-0000-0000-000055020000}"/>
    <cellStyle name="メモ 2 4 7 2" xfId="610" xr:uid="{00000000-0005-0000-0000-000056020000}"/>
    <cellStyle name="メモ 2 4 8" xfId="611" xr:uid="{00000000-0005-0000-0000-000057020000}"/>
    <cellStyle name="メモ 2 5" xfId="612" xr:uid="{00000000-0005-0000-0000-000058020000}"/>
    <cellStyle name="メモ 2 5 2" xfId="613" xr:uid="{00000000-0005-0000-0000-000059020000}"/>
    <cellStyle name="メモ 2 5 2 2" xfId="614" xr:uid="{00000000-0005-0000-0000-00005A020000}"/>
    <cellStyle name="メモ 2 5 2 2 2" xfId="615" xr:uid="{00000000-0005-0000-0000-00005B020000}"/>
    <cellStyle name="メモ 2 5 2 3" xfId="616" xr:uid="{00000000-0005-0000-0000-00005C020000}"/>
    <cellStyle name="メモ 2 5 2 3 2" xfId="617" xr:uid="{00000000-0005-0000-0000-00005D020000}"/>
    <cellStyle name="メモ 2 5 2 4" xfId="618" xr:uid="{00000000-0005-0000-0000-00005E020000}"/>
    <cellStyle name="メモ 2 5 2 4 2" xfId="619" xr:uid="{00000000-0005-0000-0000-00005F020000}"/>
    <cellStyle name="メモ 2 5 2 5" xfId="620" xr:uid="{00000000-0005-0000-0000-000060020000}"/>
    <cellStyle name="メモ 2 5 2 5 2" xfId="621" xr:uid="{00000000-0005-0000-0000-000061020000}"/>
    <cellStyle name="メモ 2 5 2 6" xfId="622" xr:uid="{00000000-0005-0000-0000-000062020000}"/>
    <cellStyle name="メモ 2 5 2 6 2" xfId="623" xr:uid="{00000000-0005-0000-0000-000063020000}"/>
    <cellStyle name="メモ 2 5 2 7" xfId="624" xr:uid="{00000000-0005-0000-0000-000064020000}"/>
    <cellStyle name="メモ 2 5 3" xfId="625" xr:uid="{00000000-0005-0000-0000-000065020000}"/>
    <cellStyle name="メモ 2 5 3 2" xfId="626" xr:uid="{00000000-0005-0000-0000-000066020000}"/>
    <cellStyle name="メモ 2 5 4" xfId="627" xr:uid="{00000000-0005-0000-0000-000067020000}"/>
    <cellStyle name="メモ 2 5 4 2" xfId="628" xr:uid="{00000000-0005-0000-0000-000068020000}"/>
    <cellStyle name="メモ 2 5 5" xfId="629" xr:uid="{00000000-0005-0000-0000-000069020000}"/>
    <cellStyle name="メモ 2 5 5 2" xfId="630" xr:uid="{00000000-0005-0000-0000-00006A020000}"/>
    <cellStyle name="メモ 2 5 6" xfId="631" xr:uid="{00000000-0005-0000-0000-00006B020000}"/>
    <cellStyle name="メモ 2 5 6 2" xfId="632" xr:uid="{00000000-0005-0000-0000-00006C020000}"/>
    <cellStyle name="メモ 2 5 7" xfId="633" xr:uid="{00000000-0005-0000-0000-00006D020000}"/>
    <cellStyle name="メモ 2 5 7 2" xfId="634" xr:uid="{00000000-0005-0000-0000-00006E020000}"/>
    <cellStyle name="メモ 2 5 8" xfId="635" xr:uid="{00000000-0005-0000-0000-00006F020000}"/>
    <cellStyle name="メモ 2 6" xfId="636" xr:uid="{00000000-0005-0000-0000-000070020000}"/>
    <cellStyle name="メモ 2 6 2" xfId="637" xr:uid="{00000000-0005-0000-0000-000071020000}"/>
    <cellStyle name="メモ 2 6 2 2" xfId="638" xr:uid="{00000000-0005-0000-0000-000072020000}"/>
    <cellStyle name="メモ 2 6 2 2 2" xfId="639" xr:uid="{00000000-0005-0000-0000-000073020000}"/>
    <cellStyle name="メモ 2 6 2 3" xfId="640" xr:uid="{00000000-0005-0000-0000-000074020000}"/>
    <cellStyle name="メモ 2 6 2 3 2" xfId="641" xr:uid="{00000000-0005-0000-0000-000075020000}"/>
    <cellStyle name="メモ 2 6 2 4" xfId="642" xr:uid="{00000000-0005-0000-0000-000076020000}"/>
    <cellStyle name="メモ 2 6 2 4 2" xfId="643" xr:uid="{00000000-0005-0000-0000-000077020000}"/>
    <cellStyle name="メモ 2 6 2 5" xfId="644" xr:uid="{00000000-0005-0000-0000-000078020000}"/>
    <cellStyle name="メモ 2 6 2 5 2" xfId="645" xr:uid="{00000000-0005-0000-0000-000079020000}"/>
    <cellStyle name="メモ 2 6 2 6" xfId="646" xr:uid="{00000000-0005-0000-0000-00007A020000}"/>
    <cellStyle name="メモ 2 6 2 6 2" xfId="647" xr:uid="{00000000-0005-0000-0000-00007B020000}"/>
    <cellStyle name="メモ 2 6 2 7" xfId="648" xr:uid="{00000000-0005-0000-0000-00007C020000}"/>
    <cellStyle name="メモ 2 6 3" xfId="649" xr:uid="{00000000-0005-0000-0000-00007D020000}"/>
    <cellStyle name="メモ 2 6 3 2" xfId="650" xr:uid="{00000000-0005-0000-0000-00007E020000}"/>
    <cellStyle name="メモ 2 6 4" xfId="651" xr:uid="{00000000-0005-0000-0000-00007F020000}"/>
    <cellStyle name="メモ 2 6 4 2" xfId="652" xr:uid="{00000000-0005-0000-0000-000080020000}"/>
    <cellStyle name="メモ 2 6 5" xfId="653" xr:uid="{00000000-0005-0000-0000-000081020000}"/>
    <cellStyle name="メモ 2 6 5 2" xfId="654" xr:uid="{00000000-0005-0000-0000-000082020000}"/>
    <cellStyle name="メモ 2 6 6" xfId="655" xr:uid="{00000000-0005-0000-0000-000083020000}"/>
    <cellStyle name="メモ 2 6 6 2" xfId="656" xr:uid="{00000000-0005-0000-0000-000084020000}"/>
    <cellStyle name="メモ 2 6 7" xfId="657" xr:uid="{00000000-0005-0000-0000-000085020000}"/>
    <cellStyle name="メモ 2 6 7 2" xfId="658" xr:uid="{00000000-0005-0000-0000-000086020000}"/>
    <cellStyle name="メモ 2 6 8" xfId="659" xr:uid="{00000000-0005-0000-0000-000087020000}"/>
    <cellStyle name="メモ 2 7" xfId="660" xr:uid="{00000000-0005-0000-0000-000088020000}"/>
    <cellStyle name="メモ 2 7 2" xfId="661" xr:uid="{00000000-0005-0000-0000-000089020000}"/>
    <cellStyle name="メモ 2 7 2 2" xfId="662" xr:uid="{00000000-0005-0000-0000-00008A020000}"/>
    <cellStyle name="メモ 2 7 3" xfId="663" xr:uid="{00000000-0005-0000-0000-00008B020000}"/>
    <cellStyle name="メモ 2 7 3 2" xfId="664" xr:uid="{00000000-0005-0000-0000-00008C020000}"/>
    <cellStyle name="メモ 2 7 4" xfId="665" xr:uid="{00000000-0005-0000-0000-00008D020000}"/>
    <cellStyle name="メモ 2 7 4 2" xfId="666" xr:uid="{00000000-0005-0000-0000-00008E020000}"/>
    <cellStyle name="メモ 2 7 5" xfId="667" xr:uid="{00000000-0005-0000-0000-00008F020000}"/>
    <cellStyle name="メモ 2 7 5 2" xfId="668" xr:uid="{00000000-0005-0000-0000-000090020000}"/>
    <cellStyle name="メモ 2 7 6" xfId="669" xr:uid="{00000000-0005-0000-0000-000091020000}"/>
    <cellStyle name="メモ 2 7 6 2" xfId="670" xr:uid="{00000000-0005-0000-0000-000092020000}"/>
    <cellStyle name="メモ 2 7 7" xfId="671" xr:uid="{00000000-0005-0000-0000-000093020000}"/>
    <cellStyle name="メモ 2 8" xfId="672" xr:uid="{00000000-0005-0000-0000-000094020000}"/>
    <cellStyle name="メモ 2 8 2" xfId="673" xr:uid="{00000000-0005-0000-0000-000095020000}"/>
    <cellStyle name="メモ 3" xfId="674" xr:uid="{00000000-0005-0000-0000-000096020000}"/>
    <cellStyle name="メモ 3 2" xfId="675" xr:uid="{00000000-0005-0000-0000-000097020000}"/>
    <cellStyle name="メモ 3 2 2" xfId="676" xr:uid="{00000000-0005-0000-0000-000098020000}"/>
    <cellStyle name="メモ 3 2 2 2" xfId="677" xr:uid="{00000000-0005-0000-0000-000099020000}"/>
    <cellStyle name="メモ 3 2 3" xfId="678" xr:uid="{00000000-0005-0000-0000-00009A020000}"/>
    <cellStyle name="メモ 3 2 3 2" xfId="679" xr:uid="{00000000-0005-0000-0000-00009B020000}"/>
    <cellStyle name="メモ 3 2 4" xfId="680" xr:uid="{00000000-0005-0000-0000-00009C020000}"/>
    <cellStyle name="メモ 3 2 4 2" xfId="681" xr:uid="{00000000-0005-0000-0000-00009D020000}"/>
    <cellStyle name="メモ 3 2 5" xfId="682" xr:uid="{00000000-0005-0000-0000-00009E020000}"/>
    <cellStyle name="メモ 3 2 5 2" xfId="683" xr:uid="{00000000-0005-0000-0000-00009F020000}"/>
    <cellStyle name="メモ 3 2 6" xfId="684" xr:uid="{00000000-0005-0000-0000-0000A0020000}"/>
    <cellStyle name="メモ 3 2 6 2" xfId="685" xr:uid="{00000000-0005-0000-0000-0000A1020000}"/>
    <cellStyle name="メモ 3 2 7" xfId="686" xr:uid="{00000000-0005-0000-0000-0000A2020000}"/>
    <cellStyle name="メモ 3 3" xfId="687" xr:uid="{00000000-0005-0000-0000-0000A3020000}"/>
    <cellStyle name="メモ 3 3 2" xfId="688" xr:uid="{00000000-0005-0000-0000-0000A4020000}"/>
    <cellStyle name="メモ 3 4" xfId="689" xr:uid="{00000000-0005-0000-0000-0000A5020000}"/>
    <cellStyle name="メモ 3 5" xfId="690" xr:uid="{00000000-0005-0000-0000-0000A6020000}"/>
    <cellStyle name="メモ 4" xfId="691" xr:uid="{00000000-0005-0000-0000-0000A7020000}"/>
    <cellStyle name="メモ 4 2" xfId="692" xr:uid="{00000000-0005-0000-0000-0000A8020000}"/>
    <cellStyle name="メモ 4 2 2" xfId="693" xr:uid="{00000000-0005-0000-0000-0000A9020000}"/>
    <cellStyle name="メモ 4 2 2 2" xfId="694" xr:uid="{00000000-0005-0000-0000-0000AA020000}"/>
    <cellStyle name="メモ 4 2 3" xfId="695" xr:uid="{00000000-0005-0000-0000-0000AB020000}"/>
    <cellStyle name="メモ 4 2 3 2" xfId="696" xr:uid="{00000000-0005-0000-0000-0000AC020000}"/>
    <cellStyle name="メモ 4 2 4" xfId="697" xr:uid="{00000000-0005-0000-0000-0000AD020000}"/>
    <cellStyle name="メモ 4 2 4 2" xfId="698" xr:uid="{00000000-0005-0000-0000-0000AE020000}"/>
    <cellStyle name="メモ 4 2 5" xfId="699" xr:uid="{00000000-0005-0000-0000-0000AF020000}"/>
    <cellStyle name="メモ 4 2 5 2" xfId="700" xr:uid="{00000000-0005-0000-0000-0000B0020000}"/>
    <cellStyle name="メモ 4 2 6" xfId="701" xr:uid="{00000000-0005-0000-0000-0000B1020000}"/>
    <cellStyle name="メモ 4 2 6 2" xfId="702" xr:uid="{00000000-0005-0000-0000-0000B2020000}"/>
    <cellStyle name="メモ 4 2 7" xfId="703" xr:uid="{00000000-0005-0000-0000-0000B3020000}"/>
    <cellStyle name="メモ 4 3" xfId="704" xr:uid="{00000000-0005-0000-0000-0000B4020000}"/>
    <cellStyle name="メモ 4 3 2" xfId="705" xr:uid="{00000000-0005-0000-0000-0000B5020000}"/>
    <cellStyle name="メモ 4 4" xfId="706" xr:uid="{00000000-0005-0000-0000-0000B6020000}"/>
    <cellStyle name="メモ 5" xfId="707" xr:uid="{00000000-0005-0000-0000-0000B7020000}"/>
    <cellStyle name="メモ 5 2" xfId="708" xr:uid="{00000000-0005-0000-0000-0000B8020000}"/>
    <cellStyle name="メモ 5 2 2" xfId="709" xr:uid="{00000000-0005-0000-0000-0000B9020000}"/>
    <cellStyle name="メモ 5 3" xfId="710" xr:uid="{00000000-0005-0000-0000-0000BA020000}"/>
    <cellStyle name="メモ 5 3 2" xfId="711" xr:uid="{00000000-0005-0000-0000-0000BB020000}"/>
    <cellStyle name="メモ 5 4" xfId="712" xr:uid="{00000000-0005-0000-0000-0000BC020000}"/>
    <cellStyle name="メモ 5 4 2" xfId="713" xr:uid="{00000000-0005-0000-0000-0000BD020000}"/>
    <cellStyle name="メモ 5 5" xfId="714" xr:uid="{00000000-0005-0000-0000-0000BE020000}"/>
    <cellStyle name="メモ 5 5 2" xfId="715" xr:uid="{00000000-0005-0000-0000-0000BF020000}"/>
    <cellStyle name="メモ 5 6" xfId="716" xr:uid="{00000000-0005-0000-0000-0000C0020000}"/>
    <cellStyle name="メモ 5 6 2" xfId="717" xr:uid="{00000000-0005-0000-0000-0000C1020000}"/>
    <cellStyle name="メモ 5 7" xfId="718" xr:uid="{00000000-0005-0000-0000-0000C2020000}"/>
    <cellStyle name="メモ 5 7 2" xfId="719" xr:uid="{00000000-0005-0000-0000-0000C3020000}"/>
    <cellStyle name="メモ 6" xfId="720" xr:uid="{00000000-0005-0000-0000-0000C4020000}"/>
    <cellStyle name="メモ 7" xfId="721" xr:uid="{00000000-0005-0000-0000-0000C5020000}"/>
    <cellStyle name="メモ 8" xfId="722" xr:uid="{00000000-0005-0000-0000-0000C6020000}"/>
    <cellStyle name="メモ 9" xfId="723" xr:uid="{00000000-0005-0000-0000-0000C7020000}"/>
    <cellStyle name="リンク セル 2" xfId="724" xr:uid="{00000000-0005-0000-0000-0000C8020000}"/>
    <cellStyle name="リンク セル 3" xfId="725" xr:uid="{00000000-0005-0000-0000-0000C9020000}"/>
    <cellStyle name="リンク セル 4" xfId="726" xr:uid="{00000000-0005-0000-0000-0000CA020000}"/>
    <cellStyle name="リンク セル 5" xfId="727" xr:uid="{00000000-0005-0000-0000-0000CB020000}"/>
    <cellStyle name="リンク セル 6" xfId="728" xr:uid="{00000000-0005-0000-0000-0000CC020000}"/>
    <cellStyle name="リンク セル 7" xfId="729" xr:uid="{00000000-0005-0000-0000-0000CD020000}"/>
    <cellStyle name="リンク セル 8" xfId="730" xr:uid="{00000000-0005-0000-0000-0000CE020000}"/>
    <cellStyle name="リンク セル 9" xfId="731" xr:uid="{00000000-0005-0000-0000-0000CF020000}"/>
    <cellStyle name="_x001d_・_x000c_ﾏ・_x000d_ﾂ・_x0001__x0016__x0011_F5_x0007__x0001__x0001_" xfId="7" xr:uid="{00000000-0005-0000-0000-0000D0020000}"/>
    <cellStyle name="_x001d_・_x000c_ﾏ・_x000d_ﾂ・_x0001__x0016__x0011_F5_x0007__x0001__x0001_ 2" xfId="732" xr:uid="{00000000-0005-0000-0000-0000D1020000}"/>
    <cellStyle name="_x001d_・_x000c_ﾏ・_x000d_ﾂ・_x0001__x0016__x0011_F5_x0007__x0001__x0001_ 2 2" xfId="733" xr:uid="{00000000-0005-0000-0000-0000D2020000}"/>
    <cellStyle name="_x001d_・_x000c_ﾏ・_x000d_ﾂ・_x0001__x0016__x0011_F5_x0007__x0001__x0001_ 2 2 2" xfId="734" xr:uid="{00000000-0005-0000-0000-0000D3020000}"/>
    <cellStyle name="_x001d_・_x000c_ﾏ・_x000d_ﾂ・_x0001__x0016__x0011_F5_x0007__x0001__x0001_ 2 3" xfId="735" xr:uid="{00000000-0005-0000-0000-0000D4020000}"/>
    <cellStyle name="_x001d_・_x000c_ﾏ・_x000d_ﾂ・_x0001__x0016__x0011_F5_x0007__x0001__x0001_ 2 4" xfId="1939" xr:uid="{00000000-0005-0000-0000-0000D5020000}"/>
    <cellStyle name="_x001d_・_x000c_ﾏ・_x000d_ﾂ・_x0001__x0016__x0011_F5_x0007__x0001__x0001_ 3" xfId="736" xr:uid="{00000000-0005-0000-0000-0000D6020000}"/>
    <cellStyle name="_x001d_・_x000c_ﾏ・_x000d_ﾂ・_x0001__x0016__x0011_F5_x0007__x0001__x0001_ 3 2" xfId="737" xr:uid="{00000000-0005-0000-0000-0000D7020000}"/>
    <cellStyle name="_x001d_・_x000c_ﾏ・_x000d_ﾂ・_x0001__x0016__x0011_F5_x0007__x0001__x0001_ 4" xfId="1938" xr:uid="{00000000-0005-0000-0000-0000D8020000}"/>
    <cellStyle name="悪い 2" xfId="738" xr:uid="{00000000-0005-0000-0000-0000D9020000}"/>
    <cellStyle name="悪い 3" xfId="739" xr:uid="{00000000-0005-0000-0000-0000DA020000}"/>
    <cellStyle name="悪い 4" xfId="740" xr:uid="{00000000-0005-0000-0000-0000DB020000}"/>
    <cellStyle name="悪い 5" xfId="741" xr:uid="{00000000-0005-0000-0000-0000DC020000}"/>
    <cellStyle name="悪い 6" xfId="742" xr:uid="{00000000-0005-0000-0000-0000DD020000}"/>
    <cellStyle name="悪い 7" xfId="743" xr:uid="{00000000-0005-0000-0000-0000DE020000}"/>
    <cellStyle name="悪い 8" xfId="744" xr:uid="{00000000-0005-0000-0000-0000DF020000}"/>
    <cellStyle name="悪い 9" xfId="745" xr:uid="{00000000-0005-0000-0000-0000E0020000}"/>
    <cellStyle name="計算 2" xfId="746" xr:uid="{00000000-0005-0000-0000-0000E1020000}"/>
    <cellStyle name="計算 2 2" xfId="747" xr:uid="{00000000-0005-0000-0000-0000E2020000}"/>
    <cellStyle name="計算 2 2 2" xfId="748" xr:uid="{00000000-0005-0000-0000-0000E3020000}"/>
    <cellStyle name="計算 2 2 2 2" xfId="749" xr:uid="{00000000-0005-0000-0000-0000E4020000}"/>
    <cellStyle name="計算 2 2 2 2 2" xfId="750" xr:uid="{00000000-0005-0000-0000-0000E5020000}"/>
    <cellStyle name="計算 2 2 2 3" xfId="751" xr:uid="{00000000-0005-0000-0000-0000E6020000}"/>
    <cellStyle name="計算 2 2 2 3 2" xfId="752" xr:uid="{00000000-0005-0000-0000-0000E7020000}"/>
    <cellStyle name="計算 2 2 2 4" xfId="753" xr:uid="{00000000-0005-0000-0000-0000E8020000}"/>
    <cellStyle name="計算 2 2 2 4 2" xfId="754" xr:uid="{00000000-0005-0000-0000-0000E9020000}"/>
    <cellStyle name="計算 2 2 2 5" xfId="755" xr:uid="{00000000-0005-0000-0000-0000EA020000}"/>
    <cellStyle name="計算 2 2 2 5 2" xfId="756" xr:uid="{00000000-0005-0000-0000-0000EB020000}"/>
    <cellStyle name="計算 2 2 2 6" xfId="757" xr:uid="{00000000-0005-0000-0000-0000EC020000}"/>
    <cellStyle name="計算 2 2 2 6 2" xfId="758" xr:uid="{00000000-0005-0000-0000-0000ED020000}"/>
    <cellStyle name="計算 2 2 2 7" xfId="759" xr:uid="{00000000-0005-0000-0000-0000EE020000}"/>
    <cellStyle name="計算 2 2 3" xfId="760" xr:uid="{00000000-0005-0000-0000-0000EF020000}"/>
    <cellStyle name="計算 2 2 3 2" xfId="761" xr:uid="{00000000-0005-0000-0000-0000F0020000}"/>
    <cellStyle name="計算 2 2 4" xfId="762" xr:uid="{00000000-0005-0000-0000-0000F1020000}"/>
    <cellStyle name="計算 2 3" xfId="763" xr:uid="{00000000-0005-0000-0000-0000F2020000}"/>
    <cellStyle name="計算 2 3 2" xfId="764" xr:uid="{00000000-0005-0000-0000-0000F3020000}"/>
    <cellStyle name="計算 2 3 2 2" xfId="765" xr:uid="{00000000-0005-0000-0000-0000F4020000}"/>
    <cellStyle name="計算 2 3 3" xfId="766" xr:uid="{00000000-0005-0000-0000-0000F5020000}"/>
    <cellStyle name="計算 2 3 3 2" xfId="767" xr:uid="{00000000-0005-0000-0000-0000F6020000}"/>
    <cellStyle name="計算 2 3 4" xfId="768" xr:uid="{00000000-0005-0000-0000-0000F7020000}"/>
    <cellStyle name="計算 2 3 4 2" xfId="769" xr:uid="{00000000-0005-0000-0000-0000F8020000}"/>
    <cellStyle name="計算 2 3 5" xfId="770" xr:uid="{00000000-0005-0000-0000-0000F9020000}"/>
    <cellStyle name="計算 2 3 5 2" xfId="771" xr:uid="{00000000-0005-0000-0000-0000FA020000}"/>
    <cellStyle name="計算 2 3 6" xfId="772" xr:uid="{00000000-0005-0000-0000-0000FB020000}"/>
    <cellStyle name="計算 2 3 6 2" xfId="773" xr:uid="{00000000-0005-0000-0000-0000FC020000}"/>
    <cellStyle name="計算 2 3 7" xfId="774" xr:uid="{00000000-0005-0000-0000-0000FD020000}"/>
    <cellStyle name="計算 2 4" xfId="775" xr:uid="{00000000-0005-0000-0000-0000FE020000}"/>
    <cellStyle name="計算 2 4 2" xfId="776" xr:uid="{00000000-0005-0000-0000-0000FF020000}"/>
    <cellStyle name="計算 2 5" xfId="777" xr:uid="{00000000-0005-0000-0000-000000030000}"/>
    <cellStyle name="計算 3" xfId="778" xr:uid="{00000000-0005-0000-0000-000001030000}"/>
    <cellStyle name="計算 3 2" xfId="779" xr:uid="{00000000-0005-0000-0000-000002030000}"/>
    <cellStyle name="計算 3 2 2" xfId="780" xr:uid="{00000000-0005-0000-0000-000003030000}"/>
    <cellStyle name="計算 3 2 2 2" xfId="781" xr:uid="{00000000-0005-0000-0000-000004030000}"/>
    <cellStyle name="計算 3 2 3" xfId="782" xr:uid="{00000000-0005-0000-0000-000005030000}"/>
    <cellStyle name="計算 3 2 3 2" xfId="783" xr:uid="{00000000-0005-0000-0000-000006030000}"/>
    <cellStyle name="計算 3 2 4" xfId="784" xr:uid="{00000000-0005-0000-0000-000007030000}"/>
    <cellStyle name="計算 3 2 4 2" xfId="785" xr:uid="{00000000-0005-0000-0000-000008030000}"/>
    <cellStyle name="計算 3 2 5" xfId="786" xr:uid="{00000000-0005-0000-0000-000009030000}"/>
    <cellStyle name="計算 3 2 5 2" xfId="787" xr:uid="{00000000-0005-0000-0000-00000A030000}"/>
    <cellStyle name="計算 3 2 6" xfId="788" xr:uid="{00000000-0005-0000-0000-00000B030000}"/>
    <cellStyle name="計算 3 2 6 2" xfId="789" xr:uid="{00000000-0005-0000-0000-00000C030000}"/>
    <cellStyle name="計算 3 2 7" xfId="790" xr:uid="{00000000-0005-0000-0000-00000D030000}"/>
    <cellStyle name="計算 3 3" xfId="791" xr:uid="{00000000-0005-0000-0000-00000E030000}"/>
    <cellStyle name="計算 3 3 2" xfId="792" xr:uid="{00000000-0005-0000-0000-00000F030000}"/>
    <cellStyle name="計算 3 4" xfId="793" xr:uid="{00000000-0005-0000-0000-000010030000}"/>
    <cellStyle name="計算 4" xfId="794" xr:uid="{00000000-0005-0000-0000-000011030000}"/>
    <cellStyle name="計算 4 2" xfId="795" xr:uid="{00000000-0005-0000-0000-000012030000}"/>
    <cellStyle name="計算 4 2 2" xfId="796" xr:uid="{00000000-0005-0000-0000-000013030000}"/>
    <cellStyle name="計算 4 3" xfId="797" xr:uid="{00000000-0005-0000-0000-000014030000}"/>
    <cellStyle name="計算 4 3 2" xfId="798" xr:uid="{00000000-0005-0000-0000-000015030000}"/>
    <cellStyle name="計算 4 4" xfId="799" xr:uid="{00000000-0005-0000-0000-000016030000}"/>
    <cellStyle name="計算 4 4 2" xfId="800" xr:uid="{00000000-0005-0000-0000-000017030000}"/>
    <cellStyle name="計算 4 5" xfId="801" xr:uid="{00000000-0005-0000-0000-000018030000}"/>
    <cellStyle name="計算 4 5 2" xfId="802" xr:uid="{00000000-0005-0000-0000-000019030000}"/>
    <cellStyle name="計算 4 6" xfId="803" xr:uid="{00000000-0005-0000-0000-00001A030000}"/>
    <cellStyle name="計算 4 6 2" xfId="804" xr:uid="{00000000-0005-0000-0000-00001B030000}"/>
    <cellStyle name="計算 4 7" xfId="805" xr:uid="{00000000-0005-0000-0000-00001C030000}"/>
    <cellStyle name="計算 5" xfId="806" xr:uid="{00000000-0005-0000-0000-00001D030000}"/>
    <cellStyle name="計算 6" xfId="807" xr:uid="{00000000-0005-0000-0000-00001E030000}"/>
    <cellStyle name="計算 7" xfId="808" xr:uid="{00000000-0005-0000-0000-00001F030000}"/>
    <cellStyle name="計算 8" xfId="809" xr:uid="{00000000-0005-0000-0000-000020030000}"/>
    <cellStyle name="計算 9" xfId="810" xr:uid="{00000000-0005-0000-0000-000021030000}"/>
    <cellStyle name="警告文 2" xfId="811" xr:uid="{00000000-0005-0000-0000-000022030000}"/>
    <cellStyle name="警告文 3" xfId="812" xr:uid="{00000000-0005-0000-0000-000023030000}"/>
    <cellStyle name="警告文 4" xfId="813" xr:uid="{00000000-0005-0000-0000-000024030000}"/>
    <cellStyle name="警告文 5" xfId="814" xr:uid="{00000000-0005-0000-0000-000025030000}"/>
    <cellStyle name="警告文 6" xfId="815" xr:uid="{00000000-0005-0000-0000-000026030000}"/>
    <cellStyle name="警告文 7" xfId="816" xr:uid="{00000000-0005-0000-0000-000027030000}"/>
    <cellStyle name="警告文 8" xfId="817" xr:uid="{00000000-0005-0000-0000-000028030000}"/>
    <cellStyle name="警告文 9" xfId="818" xr:uid="{00000000-0005-0000-0000-000029030000}"/>
    <cellStyle name="桁蟻唇Ｆ [0.00]_laroux" xfId="819" xr:uid="{00000000-0005-0000-0000-00002A030000}"/>
    <cellStyle name="桁蟻唇Ｆ_A°DAU±ATIsA" xfId="820" xr:uid="{00000000-0005-0000-0000-00002B030000}"/>
    <cellStyle name="桁区切り 2" xfId="1" xr:uid="{00000000-0005-0000-0000-00002C030000}"/>
    <cellStyle name="桁区切り 2 2" xfId="821" xr:uid="{00000000-0005-0000-0000-00002D030000}"/>
    <cellStyle name="桁区切り 2 2 2" xfId="822" xr:uid="{00000000-0005-0000-0000-00002E030000}"/>
    <cellStyle name="桁区切り 2 3" xfId="823" xr:uid="{00000000-0005-0000-0000-00002F030000}"/>
    <cellStyle name="桁区切り 2 4" xfId="824" xr:uid="{00000000-0005-0000-0000-000030030000}"/>
    <cellStyle name="桁区切り 2 4 2" xfId="825" xr:uid="{00000000-0005-0000-0000-000031030000}"/>
    <cellStyle name="桁区切り 2 4 3" xfId="826" xr:uid="{00000000-0005-0000-0000-000032030000}"/>
    <cellStyle name="桁区切り 2 5" xfId="827" xr:uid="{00000000-0005-0000-0000-000033030000}"/>
    <cellStyle name="桁区切り 2 5 2" xfId="828" xr:uid="{00000000-0005-0000-0000-000034030000}"/>
    <cellStyle name="桁区切り 2 5 3" xfId="829" xr:uid="{00000000-0005-0000-0000-000035030000}"/>
    <cellStyle name="桁区切り 2 6" xfId="830" xr:uid="{00000000-0005-0000-0000-000036030000}"/>
    <cellStyle name="桁区切り 2_バックアップセンタ_切替テストスケジュール_20120406~10" xfId="831" xr:uid="{00000000-0005-0000-0000-000037030000}"/>
    <cellStyle name="桁区切り 3" xfId="832" xr:uid="{00000000-0005-0000-0000-000038030000}"/>
    <cellStyle name="桁区切り 3 2" xfId="833" xr:uid="{00000000-0005-0000-0000-000039030000}"/>
    <cellStyle name="桁区切り 3 2 2" xfId="834" xr:uid="{00000000-0005-0000-0000-00003A030000}"/>
    <cellStyle name="桁区切り 3 2 3" xfId="835" xr:uid="{00000000-0005-0000-0000-00003B030000}"/>
    <cellStyle name="桁区切り 3 3" xfId="836" xr:uid="{00000000-0005-0000-0000-00003C030000}"/>
    <cellStyle name="桁区切り 4" xfId="837" xr:uid="{00000000-0005-0000-0000-00003D030000}"/>
    <cellStyle name="桁区切り 4 2" xfId="838" xr:uid="{00000000-0005-0000-0000-00003E030000}"/>
    <cellStyle name="桁区切り 4 2 2" xfId="839" xr:uid="{00000000-0005-0000-0000-00003F030000}"/>
    <cellStyle name="桁区切り 4 2 3" xfId="840" xr:uid="{00000000-0005-0000-0000-000040030000}"/>
    <cellStyle name="桁区切り 4 3" xfId="841" xr:uid="{00000000-0005-0000-0000-000041030000}"/>
    <cellStyle name="桁区切り 4 4" xfId="842" xr:uid="{00000000-0005-0000-0000-000042030000}"/>
    <cellStyle name="桁区切り 5" xfId="843" xr:uid="{00000000-0005-0000-0000-000043030000}"/>
    <cellStyle name="桁区切り 5 2" xfId="844" xr:uid="{00000000-0005-0000-0000-000044030000}"/>
    <cellStyle name="桁区切り 5 3" xfId="845" xr:uid="{00000000-0005-0000-0000-000045030000}"/>
    <cellStyle name="桁区切り 6" xfId="846" xr:uid="{00000000-0005-0000-0000-000046030000}"/>
    <cellStyle name="桁区切り 7" xfId="1945" xr:uid="{00000000-0005-0000-0000-000047030000}"/>
    <cellStyle name="桁区切り 7 2" xfId="1952" xr:uid="{00000000-0005-0000-0000-000048030000}"/>
    <cellStyle name="見出し 1 2" xfId="847" xr:uid="{00000000-0005-0000-0000-000049030000}"/>
    <cellStyle name="見出し 1 3" xfId="848" xr:uid="{00000000-0005-0000-0000-00004A030000}"/>
    <cellStyle name="見出し 1 4" xfId="849" xr:uid="{00000000-0005-0000-0000-00004B030000}"/>
    <cellStyle name="見出し 1 5" xfId="850" xr:uid="{00000000-0005-0000-0000-00004C030000}"/>
    <cellStyle name="見出し 1 6" xfId="851" xr:uid="{00000000-0005-0000-0000-00004D030000}"/>
    <cellStyle name="見出し 1 7" xfId="852" xr:uid="{00000000-0005-0000-0000-00004E030000}"/>
    <cellStyle name="見出し 1 8" xfId="853" xr:uid="{00000000-0005-0000-0000-00004F030000}"/>
    <cellStyle name="見出し 1 9" xfId="854" xr:uid="{00000000-0005-0000-0000-000050030000}"/>
    <cellStyle name="見出し 2 2" xfId="855" xr:uid="{00000000-0005-0000-0000-000051030000}"/>
    <cellStyle name="見出し 2 3" xfId="856" xr:uid="{00000000-0005-0000-0000-000052030000}"/>
    <cellStyle name="見出し 2 4" xfId="857" xr:uid="{00000000-0005-0000-0000-000053030000}"/>
    <cellStyle name="見出し 2 5" xfId="858" xr:uid="{00000000-0005-0000-0000-000054030000}"/>
    <cellStyle name="見出し 2 6" xfId="859" xr:uid="{00000000-0005-0000-0000-000055030000}"/>
    <cellStyle name="見出し 2 7" xfId="860" xr:uid="{00000000-0005-0000-0000-000056030000}"/>
    <cellStyle name="見出し 2 8" xfId="861" xr:uid="{00000000-0005-0000-0000-000057030000}"/>
    <cellStyle name="見出し 2 9" xfId="862" xr:uid="{00000000-0005-0000-0000-000058030000}"/>
    <cellStyle name="見出し 3 2" xfId="863" xr:uid="{00000000-0005-0000-0000-000059030000}"/>
    <cellStyle name="見出し 3 3" xfId="864" xr:uid="{00000000-0005-0000-0000-00005A030000}"/>
    <cellStyle name="見出し 3 4" xfId="865" xr:uid="{00000000-0005-0000-0000-00005B030000}"/>
    <cellStyle name="見出し 3 5" xfId="866" xr:uid="{00000000-0005-0000-0000-00005C030000}"/>
    <cellStyle name="見出し 3 6" xfId="867" xr:uid="{00000000-0005-0000-0000-00005D030000}"/>
    <cellStyle name="見出し 3 7" xfId="868" xr:uid="{00000000-0005-0000-0000-00005E030000}"/>
    <cellStyle name="見出し 3 8" xfId="869" xr:uid="{00000000-0005-0000-0000-00005F030000}"/>
    <cellStyle name="見出し 3 9" xfId="870" xr:uid="{00000000-0005-0000-0000-000060030000}"/>
    <cellStyle name="見出し 4 2" xfId="871" xr:uid="{00000000-0005-0000-0000-000061030000}"/>
    <cellStyle name="見出し 4 3" xfId="872" xr:uid="{00000000-0005-0000-0000-000062030000}"/>
    <cellStyle name="見出し 4 4" xfId="873" xr:uid="{00000000-0005-0000-0000-000063030000}"/>
    <cellStyle name="見出し 4 5" xfId="874" xr:uid="{00000000-0005-0000-0000-000064030000}"/>
    <cellStyle name="見出し 4 6" xfId="875" xr:uid="{00000000-0005-0000-0000-000065030000}"/>
    <cellStyle name="見出し 4 7" xfId="876" xr:uid="{00000000-0005-0000-0000-000066030000}"/>
    <cellStyle name="見出し 4 8" xfId="877" xr:uid="{00000000-0005-0000-0000-000067030000}"/>
    <cellStyle name="見出し 4 9" xfId="878" xr:uid="{00000000-0005-0000-0000-000068030000}"/>
    <cellStyle name="構成図作成用" xfId="879" xr:uid="{00000000-0005-0000-0000-000069030000}"/>
    <cellStyle name="取り消し" xfId="8" xr:uid="{00000000-0005-0000-0000-00006A030000}"/>
    <cellStyle name="集計 2" xfId="880" xr:uid="{00000000-0005-0000-0000-00006B030000}"/>
    <cellStyle name="集計 2 2" xfId="881" xr:uid="{00000000-0005-0000-0000-00006C030000}"/>
    <cellStyle name="集計 2 2 2" xfId="882" xr:uid="{00000000-0005-0000-0000-00006D030000}"/>
    <cellStyle name="集計 2 2 2 2" xfId="883" xr:uid="{00000000-0005-0000-0000-00006E030000}"/>
    <cellStyle name="集計 2 2 2 2 2" xfId="884" xr:uid="{00000000-0005-0000-0000-00006F030000}"/>
    <cellStyle name="集計 2 2 2 3" xfId="885" xr:uid="{00000000-0005-0000-0000-000070030000}"/>
    <cellStyle name="集計 2 2 2 3 2" xfId="886" xr:uid="{00000000-0005-0000-0000-000071030000}"/>
    <cellStyle name="集計 2 2 2 4" xfId="887" xr:uid="{00000000-0005-0000-0000-000072030000}"/>
    <cellStyle name="集計 2 2 2 4 2" xfId="888" xr:uid="{00000000-0005-0000-0000-000073030000}"/>
    <cellStyle name="集計 2 2 2 5" xfId="889" xr:uid="{00000000-0005-0000-0000-000074030000}"/>
    <cellStyle name="集計 2 2 2 5 2" xfId="890" xr:uid="{00000000-0005-0000-0000-000075030000}"/>
    <cellStyle name="集計 2 2 2 6" xfId="891" xr:uid="{00000000-0005-0000-0000-000076030000}"/>
    <cellStyle name="集計 2 2 2 6 2" xfId="892" xr:uid="{00000000-0005-0000-0000-000077030000}"/>
    <cellStyle name="集計 2 2 2 7" xfId="893" xr:uid="{00000000-0005-0000-0000-000078030000}"/>
    <cellStyle name="集計 2 2 3" xfId="894" xr:uid="{00000000-0005-0000-0000-000079030000}"/>
    <cellStyle name="集計 2 2 3 2" xfId="895" xr:uid="{00000000-0005-0000-0000-00007A030000}"/>
    <cellStyle name="集計 2 3" xfId="896" xr:uid="{00000000-0005-0000-0000-00007B030000}"/>
    <cellStyle name="集計 2 3 2" xfId="897" xr:uid="{00000000-0005-0000-0000-00007C030000}"/>
    <cellStyle name="集計 2 3 2 2" xfId="898" xr:uid="{00000000-0005-0000-0000-00007D030000}"/>
    <cellStyle name="集計 2 3 3" xfId="899" xr:uid="{00000000-0005-0000-0000-00007E030000}"/>
    <cellStyle name="集計 2 3 3 2" xfId="900" xr:uid="{00000000-0005-0000-0000-00007F030000}"/>
    <cellStyle name="集計 2 3 4" xfId="901" xr:uid="{00000000-0005-0000-0000-000080030000}"/>
    <cellStyle name="集計 2 3 4 2" xfId="902" xr:uid="{00000000-0005-0000-0000-000081030000}"/>
    <cellStyle name="集計 2 3 5" xfId="903" xr:uid="{00000000-0005-0000-0000-000082030000}"/>
    <cellStyle name="集計 2 3 5 2" xfId="904" xr:uid="{00000000-0005-0000-0000-000083030000}"/>
    <cellStyle name="集計 2 3 6" xfId="905" xr:uid="{00000000-0005-0000-0000-000084030000}"/>
    <cellStyle name="集計 2 3 6 2" xfId="906" xr:uid="{00000000-0005-0000-0000-000085030000}"/>
    <cellStyle name="集計 2 3 7" xfId="907" xr:uid="{00000000-0005-0000-0000-000086030000}"/>
    <cellStyle name="集計 2 4" xfId="908" xr:uid="{00000000-0005-0000-0000-000087030000}"/>
    <cellStyle name="集計 2 4 2" xfId="909" xr:uid="{00000000-0005-0000-0000-000088030000}"/>
    <cellStyle name="集計 3" xfId="910" xr:uid="{00000000-0005-0000-0000-000089030000}"/>
    <cellStyle name="集計 3 2" xfId="911" xr:uid="{00000000-0005-0000-0000-00008A030000}"/>
    <cellStyle name="集計 3 2 2" xfId="912" xr:uid="{00000000-0005-0000-0000-00008B030000}"/>
    <cellStyle name="集計 3 2 2 2" xfId="913" xr:uid="{00000000-0005-0000-0000-00008C030000}"/>
    <cellStyle name="集計 3 2 3" xfId="914" xr:uid="{00000000-0005-0000-0000-00008D030000}"/>
    <cellStyle name="集計 3 2 3 2" xfId="915" xr:uid="{00000000-0005-0000-0000-00008E030000}"/>
    <cellStyle name="集計 3 2 4" xfId="916" xr:uid="{00000000-0005-0000-0000-00008F030000}"/>
    <cellStyle name="集計 3 2 4 2" xfId="917" xr:uid="{00000000-0005-0000-0000-000090030000}"/>
    <cellStyle name="集計 3 2 5" xfId="918" xr:uid="{00000000-0005-0000-0000-000091030000}"/>
    <cellStyle name="集計 3 2 5 2" xfId="919" xr:uid="{00000000-0005-0000-0000-000092030000}"/>
    <cellStyle name="集計 3 2 6" xfId="920" xr:uid="{00000000-0005-0000-0000-000093030000}"/>
    <cellStyle name="集計 3 2 6 2" xfId="921" xr:uid="{00000000-0005-0000-0000-000094030000}"/>
    <cellStyle name="集計 3 2 7" xfId="922" xr:uid="{00000000-0005-0000-0000-000095030000}"/>
    <cellStyle name="集計 3 3" xfId="923" xr:uid="{00000000-0005-0000-0000-000096030000}"/>
    <cellStyle name="集計 3 3 2" xfId="924" xr:uid="{00000000-0005-0000-0000-000097030000}"/>
    <cellStyle name="集計 3 4" xfId="925" xr:uid="{00000000-0005-0000-0000-000098030000}"/>
    <cellStyle name="集計 4" xfId="926" xr:uid="{00000000-0005-0000-0000-000099030000}"/>
    <cellStyle name="集計 4 2" xfId="927" xr:uid="{00000000-0005-0000-0000-00009A030000}"/>
    <cellStyle name="集計 4 2 2" xfId="928" xr:uid="{00000000-0005-0000-0000-00009B030000}"/>
    <cellStyle name="集計 4 3" xfId="929" xr:uid="{00000000-0005-0000-0000-00009C030000}"/>
    <cellStyle name="集計 4 3 2" xfId="930" xr:uid="{00000000-0005-0000-0000-00009D030000}"/>
    <cellStyle name="集計 4 4" xfId="931" xr:uid="{00000000-0005-0000-0000-00009E030000}"/>
    <cellStyle name="集計 4 4 2" xfId="932" xr:uid="{00000000-0005-0000-0000-00009F030000}"/>
    <cellStyle name="集計 4 5" xfId="933" xr:uid="{00000000-0005-0000-0000-0000A0030000}"/>
    <cellStyle name="集計 4 5 2" xfId="934" xr:uid="{00000000-0005-0000-0000-0000A1030000}"/>
    <cellStyle name="集計 4 6" xfId="935" xr:uid="{00000000-0005-0000-0000-0000A2030000}"/>
    <cellStyle name="集計 4 6 2" xfId="936" xr:uid="{00000000-0005-0000-0000-0000A3030000}"/>
    <cellStyle name="集計 4 7" xfId="937" xr:uid="{00000000-0005-0000-0000-0000A4030000}"/>
    <cellStyle name="集計 5" xfId="938" xr:uid="{00000000-0005-0000-0000-0000A5030000}"/>
    <cellStyle name="集計 6" xfId="939" xr:uid="{00000000-0005-0000-0000-0000A6030000}"/>
    <cellStyle name="集計 7" xfId="940" xr:uid="{00000000-0005-0000-0000-0000A7030000}"/>
    <cellStyle name="集計 8" xfId="941" xr:uid="{00000000-0005-0000-0000-0000A8030000}"/>
    <cellStyle name="集計 9" xfId="942" xr:uid="{00000000-0005-0000-0000-0000A9030000}"/>
    <cellStyle name="出力 2" xfId="943" xr:uid="{00000000-0005-0000-0000-0000AA030000}"/>
    <cellStyle name="出力 2 2" xfId="944" xr:uid="{00000000-0005-0000-0000-0000AB030000}"/>
    <cellStyle name="出力 2 2 2" xfId="945" xr:uid="{00000000-0005-0000-0000-0000AC030000}"/>
    <cellStyle name="出力 2 2 2 2" xfId="946" xr:uid="{00000000-0005-0000-0000-0000AD030000}"/>
    <cellStyle name="出力 2 2 2 2 2" xfId="947" xr:uid="{00000000-0005-0000-0000-0000AE030000}"/>
    <cellStyle name="出力 2 2 2 3" xfId="948" xr:uid="{00000000-0005-0000-0000-0000AF030000}"/>
    <cellStyle name="出力 2 2 2 3 2" xfId="949" xr:uid="{00000000-0005-0000-0000-0000B0030000}"/>
    <cellStyle name="出力 2 2 2 4" xfId="950" xr:uid="{00000000-0005-0000-0000-0000B1030000}"/>
    <cellStyle name="出力 2 2 2 4 2" xfId="951" xr:uid="{00000000-0005-0000-0000-0000B2030000}"/>
    <cellStyle name="出力 2 2 2 5" xfId="952" xr:uid="{00000000-0005-0000-0000-0000B3030000}"/>
    <cellStyle name="出力 2 2 2 5 2" xfId="953" xr:uid="{00000000-0005-0000-0000-0000B4030000}"/>
    <cellStyle name="出力 2 2 2 6" xfId="954" xr:uid="{00000000-0005-0000-0000-0000B5030000}"/>
    <cellStyle name="出力 2 2 2 6 2" xfId="955" xr:uid="{00000000-0005-0000-0000-0000B6030000}"/>
    <cellStyle name="出力 2 2 2 7" xfId="956" xr:uid="{00000000-0005-0000-0000-0000B7030000}"/>
    <cellStyle name="出力 2 2 3" xfId="957" xr:uid="{00000000-0005-0000-0000-0000B8030000}"/>
    <cellStyle name="出力 2 2 3 2" xfId="958" xr:uid="{00000000-0005-0000-0000-0000B9030000}"/>
    <cellStyle name="出力 2 3" xfId="959" xr:uid="{00000000-0005-0000-0000-0000BA030000}"/>
    <cellStyle name="出力 2 3 2" xfId="960" xr:uid="{00000000-0005-0000-0000-0000BB030000}"/>
    <cellStyle name="出力 2 3 2 2" xfId="961" xr:uid="{00000000-0005-0000-0000-0000BC030000}"/>
    <cellStyle name="出力 2 3 3" xfId="962" xr:uid="{00000000-0005-0000-0000-0000BD030000}"/>
    <cellStyle name="出力 2 3 3 2" xfId="963" xr:uid="{00000000-0005-0000-0000-0000BE030000}"/>
    <cellStyle name="出力 2 3 4" xfId="964" xr:uid="{00000000-0005-0000-0000-0000BF030000}"/>
    <cellStyle name="出力 2 3 4 2" xfId="965" xr:uid="{00000000-0005-0000-0000-0000C0030000}"/>
    <cellStyle name="出力 2 3 5" xfId="966" xr:uid="{00000000-0005-0000-0000-0000C1030000}"/>
    <cellStyle name="出力 2 3 5 2" xfId="967" xr:uid="{00000000-0005-0000-0000-0000C2030000}"/>
    <cellStyle name="出力 2 3 6" xfId="968" xr:uid="{00000000-0005-0000-0000-0000C3030000}"/>
    <cellStyle name="出力 2 3 6 2" xfId="969" xr:uid="{00000000-0005-0000-0000-0000C4030000}"/>
    <cellStyle name="出力 2 3 7" xfId="970" xr:uid="{00000000-0005-0000-0000-0000C5030000}"/>
    <cellStyle name="出力 2 4" xfId="971" xr:uid="{00000000-0005-0000-0000-0000C6030000}"/>
    <cellStyle name="出力 2 4 2" xfId="972" xr:uid="{00000000-0005-0000-0000-0000C7030000}"/>
    <cellStyle name="出力 3" xfId="973" xr:uid="{00000000-0005-0000-0000-0000C8030000}"/>
    <cellStyle name="出力 3 2" xfId="974" xr:uid="{00000000-0005-0000-0000-0000C9030000}"/>
    <cellStyle name="出力 3 2 2" xfId="975" xr:uid="{00000000-0005-0000-0000-0000CA030000}"/>
    <cellStyle name="出力 3 2 2 2" xfId="976" xr:uid="{00000000-0005-0000-0000-0000CB030000}"/>
    <cellStyle name="出力 3 2 3" xfId="977" xr:uid="{00000000-0005-0000-0000-0000CC030000}"/>
    <cellStyle name="出力 3 2 3 2" xfId="978" xr:uid="{00000000-0005-0000-0000-0000CD030000}"/>
    <cellStyle name="出力 3 2 4" xfId="979" xr:uid="{00000000-0005-0000-0000-0000CE030000}"/>
    <cellStyle name="出力 3 2 4 2" xfId="980" xr:uid="{00000000-0005-0000-0000-0000CF030000}"/>
    <cellStyle name="出力 3 2 5" xfId="981" xr:uid="{00000000-0005-0000-0000-0000D0030000}"/>
    <cellStyle name="出力 3 2 5 2" xfId="982" xr:uid="{00000000-0005-0000-0000-0000D1030000}"/>
    <cellStyle name="出力 3 2 6" xfId="983" xr:uid="{00000000-0005-0000-0000-0000D2030000}"/>
    <cellStyle name="出力 3 2 6 2" xfId="984" xr:uid="{00000000-0005-0000-0000-0000D3030000}"/>
    <cellStyle name="出力 3 2 7" xfId="985" xr:uid="{00000000-0005-0000-0000-0000D4030000}"/>
    <cellStyle name="出力 3 3" xfId="986" xr:uid="{00000000-0005-0000-0000-0000D5030000}"/>
    <cellStyle name="出力 3 3 2" xfId="987" xr:uid="{00000000-0005-0000-0000-0000D6030000}"/>
    <cellStyle name="出力 3 4" xfId="988" xr:uid="{00000000-0005-0000-0000-0000D7030000}"/>
    <cellStyle name="出力 4" xfId="989" xr:uid="{00000000-0005-0000-0000-0000D8030000}"/>
    <cellStyle name="出力 4 2" xfId="990" xr:uid="{00000000-0005-0000-0000-0000D9030000}"/>
    <cellStyle name="出力 4 2 2" xfId="991" xr:uid="{00000000-0005-0000-0000-0000DA030000}"/>
    <cellStyle name="出力 4 3" xfId="992" xr:uid="{00000000-0005-0000-0000-0000DB030000}"/>
    <cellStyle name="出力 4 3 2" xfId="993" xr:uid="{00000000-0005-0000-0000-0000DC030000}"/>
    <cellStyle name="出力 4 4" xfId="994" xr:uid="{00000000-0005-0000-0000-0000DD030000}"/>
    <cellStyle name="出力 4 4 2" xfId="995" xr:uid="{00000000-0005-0000-0000-0000DE030000}"/>
    <cellStyle name="出力 4 5" xfId="996" xr:uid="{00000000-0005-0000-0000-0000DF030000}"/>
    <cellStyle name="出力 4 5 2" xfId="997" xr:uid="{00000000-0005-0000-0000-0000E0030000}"/>
    <cellStyle name="出力 4 6" xfId="998" xr:uid="{00000000-0005-0000-0000-0000E1030000}"/>
    <cellStyle name="出力 4 6 2" xfId="999" xr:uid="{00000000-0005-0000-0000-0000E2030000}"/>
    <cellStyle name="出力 4 7" xfId="1000" xr:uid="{00000000-0005-0000-0000-0000E3030000}"/>
    <cellStyle name="出力 5" xfId="1001" xr:uid="{00000000-0005-0000-0000-0000E4030000}"/>
    <cellStyle name="出力 6" xfId="1002" xr:uid="{00000000-0005-0000-0000-0000E5030000}"/>
    <cellStyle name="出力 7" xfId="1003" xr:uid="{00000000-0005-0000-0000-0000E6030000}"/>
    <cellStyle name="出力 8" xfId="1004" xr:uid="{00000000-0005-0000-0000-0000E7030000}"/>
    <cellStyle name="出力 9" xfId="1005" xr:uid="{00000000-0005-0000-0000-0000E8030000}"/>
    <cellStyle name="人月" xfId="1006" xr:uid="{00000000-0005-0000-0000-0000E9030000}"/>
    <cellStyle name="人月 2" xfId="1941" xr:uid="{00000000-0005-0000-0000-0000EA030000}"/>
    <cellStyle name="人月 3" xfId="1940" xr:uid="{00000000-0005-0000-0000-0000EB030000}"/>
    <cellStyle name="説明文 2" xfId="1007" xr:uid="{00000000-0005-0000-0000-0000EC030000}"/>
    <cellStyle name="説明文 3" xfId="1008" xr:uid="{00000000-0005-0000-0000-0000ED030000}"/>
    <cellStyle name="説明文 4" xfId="1009" xr:uid="{00000000-0005-0000-0000-0000EE030000}"/>
    <cellStyle name="説明文 5" xfId="1010" xr:uid="{00000000-0005-0000-0000-0000EF030000}"/>
    <cellStyle name="説明文 6" xfId="1011" xr:uid="{00000000-0005-0000-0000-0000F0030000}"/>
    <cellStyle name="説明文 7" xfId="1012" xr:uid="{00000000-0005-0000-0000-0000F1030000}"/>
    <cellStyle name="説明文 8" xfId="1013" xr:uid="{00000000-0005-0000-0000-0000F2030000}"/>
    <cellStyle name="説明文 9" xfId="1014" xr:uid="{00000000-0005-0000-0000-0000F3030000}"/>
    <cellStyle name="脱浦 [0.00]_laroux" xfId="1015" xr:uid="{00000000-0005-0000-0000-0000F4030000}"/>
    <cellStyle name="脱浦_laroux" xfId="1016" xr:uid="{00000000-0005-0000-0000-0000F5030000}"/>
    <cellStyle name="通貨 [0.00" xfId="1017" xr:uid="{00000000-0005-0000-0000-0000F6030000}"/>
    <cellStyle name="通貨 [0.00 2" xfId="1018" xr:uid="{00000000-0005-0000-0000-0000F7030000}"/>
    <cellStyle name="通貨 [0.00 3" xfId="1019" xr:uid="{00000000-0005-0000-0000-0000F8030000}"/>
    <cellStyle name="通貨 [0.00 4" xfId="1020" xr:uid="{00000000-0005-0000-0000-0000F9030000}"/>
    <cellStyle name="通貨 [0.00 5" xfId="1021" xr:uid="{00000000-0005-0000-0000-0000FA030000}"/>
    <cellStyle name="通貨 [0.00 6" xfId="1022" xr:uid="{00000000-0005-0000-0000-0000FB030000}"/>
    <cellStyle name="通貨 2" xfId="1023" xr:uid="{00000000-0005-0000-0000-0000FC030000}"/>
    <cellStyle name="通貨 2 2" xfId="1024" xr:uid="{00000000-0005-0000-0000-0000FD030000}"/>
    <cellStyle name="通貨 2 2 2" xfId="1025" xr:uid="{00000000-0005-0000-0000-0000FE030000}"/>
    <cellStyle name="通貨 2 2 3" xfId="1026" xr:uid="{00000000-0005-0000-0000-0000FF030000}"/>
    <cellStyle name="通貨 2 3" xfId="1027" xr:uid="{00000000-0005-0000-0000-000000040000}"/>
    <cellStyle name="通貨 2 4" xfId="1028" xr:uid="{00000000-0005-0000-0000-000001040000}"/>
    <cellStyle name="通貨 2 5" xfId="1029" xr:uid="{00000000-0005-0000-0000-000002040000}"/>
    <cellStyle name="通貨 3" xfId="1030" xr:uid="{00000000-0005-0000-0000-000003040000}"/>
    <cellStyle name="入力 2" xfId="1031" xr:uid="{00000000-0005-0000-0000-000004040000}"/>
    <cellStyle name="入力 2 2" xfId="1032" xr:uid="{00000000-0005-0000-0000-000005040000}"/>
    <cellStyle name="入力 2 2 2" xfId="1033" xr:uid="{00000000-0005-0000-0000-000006040000}"/>
    <cellStyle name="入力 2 2 2 2" xfId="1034" xr:uid="{00000000-0005-0000-0000-000007040000}"/>
    <cellStyle name="入力 2 2 2 2 2" xfId="1035" xr:uid="{00000000-0005-0000-0000-000008040000}"/>
    <cellStyle name="入力 2 2 2 3" xfId="1036" xr:uid="{00000000-0005-0000-0000-000009040000}"/>
    <cellStyle name="入力 2 2 2 3 2" xfId="1037" xr:uid="{00000000-0005-0000-0000-00000A040000}"/>
    <cellStyle name="入力 2 2 2 4" xfId="1038" xr:uid="{00000000-0005-0000-0000-00000B040000}"/>
    <cellStyle name="入力 2 2 2 4 2" xfId="1039" xr:uid="{00000000-0005-0000-0000-00000C040000}"/>
    <cellStyle name="入力 2 2 2 5" xfId="1040" xr:uid="{00000000-0005-0000-0000-00000D040000}"/>
    <cellStyle name="入力 2 2 2 5 2" xfId="1041" xr:uid="{00000000-0005-0000-0000-00000E040000}"/>
    <cellStyle name="入力 2 2 2 6" xfId="1042" xr:uid="{00000000-0005-0000-0000-00000F040000}"/>
    <cellStyle name="入力 2 2 2 6 2" xfId="1043" xr:uid="{00000000-0005-0000-0000-000010040000}"/>
    <cellStyle name="入力 2 2 2 7" xfId="1044" xr:uid="{00000000-0005-0000-0000-000011040000}"/>
    <cellStyle name="入力 2 2 3" xfId="1045" xr:uid="{00000000-0005-0000-0000-000012040000}"/>
    <cellStyle name="入力 2 2 3 2" xfId="1046" xr:uid="{00000000-0005-0000-0000-000013040000}"/>
    <cellStyle name="入力 2 2 4" xfId="1047" xr:uid="{00000000-0005-0000-0000-000014040000}"/>
    <cellStyle name="入力 2 3" xfId="1048" xr:uid="{00000000-0005-0000-0000-000015040000}"/>
    <cellStyle name="入力 2 3 2" xfId="1049" xr:uid="{00000000-0005-0000-0000-000016040000}"/>
    <cellStyle name="入力 2 3 2 2" xfId="1050" xr:uid="{00000000-0005-0000-0000-000017040000}"/>
    <cellStyle name="入力 2 3 3" xfId="1051" xr:uid="{00000000-0005-0000-0000-000018040000}"/>
    <cellStyle name="入力 2 3 3 2" xfId="1052" xr:uid="{00000000-0005-0000-0000-000019040000}"/>
    <cellStyle name="入力 2 3 4" xfId="1053" xr:uid="{00000000-0005-0000-0000-00001A040000}"/>
    <cellStyle name="入力 2 3 4 2" xfId="1054" xr:uid="{00000000-0005-0000-0000-00001B040000}"/>
    <cellStyle name="入力 2 3 5" xfId="1055" xr:uid="{00000000-0005-0000-0000-00001C040000}"/>
    <cellStyle name="入力 2 3 5 2" xfId="1056" xr:uid="{00000000-0005-0000-0000-00001D040000}"/>
    <cellStyle name="入力 2 3 6" xfId="1057" xr:uid="{00000000-0005-0000-0000-00001E040000}"/>
    <cellStyle name="入力 2 3 6 2" xfId="1058" xr:uid="{00000000-0005-0000-0000-00001F040000}"/>
    <cellStyle name="入力 2 3 7" xfId="1059" xr:uid="{00000000-0005-0000-0000-000020040000}"/>
    <cellStyle name="入力 2 4" xfId="1060" xr:uid="{00000000-0005-0000-0000-000021040000}"/>
    <cellStyle name="入力 2 4 2" xfId="1061" xr:uid="{00000000-0005-0000-0000-000022040000}"/>
    <cellStyle name="入力 2 5" xfId="1062" xr:uid="{00000000-0005-0000-0000-000023040000}"/>
    <cellStyle name="入力 3" xfId="1063" xr:uid="{00000000-0005-0000-0000-000024040000}"/>
    <cellStyle name="入力 3 2" xfId="1064" xr:uid="{00000000-0005-0000-0000-000025040000}"/>
    <cellStyle name="入力 3 2 2" xfId="1065" xr:uid="{00000000-0005-0000-0000-000026040000}"/>
    <cellStyle name="入力 3 2 2 2" xfId="1066" xr:uid="{00000000-0005-0000-0000-000027040000}"/>
    <cellStyle name="入力 3 2 3" xfId="1067" xr:uid="{00000000-0005-0000-0000-000028040000}"/>
    <cellStyle name="入力 3 2 3 2" xfId="1068" xr:uid="{00000000-0005-0000-0000-000029040000}"/>
    <cellStyle name="入力 3 2 4" xfId="1069" xr:uid="{00000000-0005-0000-0000-00002A040000}"/>
    <cellStyle name="入力 3 2 4 2" xfId="1070" xr:uid="{00000000-0005-0000-0000-00002B040000}"/>
    <cellStyle name="入力 3 2 5" xfId="1071" xr:uid="{00000000-0005-0000-0000-00002C040000}"/>
    <cellStyle name="入力 3 2 5 2" xfId="1072" xr:uid="{00000000-0005-0000-0000-00002D040000}"/>
    <cellStyle name="入力 3 2 6" xfId="1073" xr:uid="{00000000-0005-0000-0000-00002E040000}"/>
    <cellStyle name="入力 3 2 6 2" xfId="1074" xr:uid="{00000000-0005-0000-0000-00002F040000}"/>
    <cellStyle name="入力 3 2 7" xfId="1075" xr:uid="{00000000-0005-0000-0000-000030040000}"/>
    <cellStyle name="入力 3 3" xfId="1076" xr:uid="{00000000-0005-0000-0000-000031040000}"/>
    <cellStyle name="入力 3 3 2" xfId="1077" xr:uid="{00000000-0005-0000-0000-000032040000}"/>
    <cellStyle name="入力 3 4" xfId="1078" xr:uid="{00000000-0005-0000-0000-000033040000}"/>
    <cellStyle name="入力 4" xfId="1079" xr:uid="{00000000-0005-0000-0000-000034040000}"/>
    <cellStyle name="入力 4 2" xfId="1080" xr:uid="{00000000-0005-0000-0000-000035040000}"/>
    <cellStyle name="入力 4 2 2" xfId="1081" xr:uid="{00000000-0005-0000-0000-000036040000}"/>
    <cellStyle name="入力 4 3" xfId="1082" xr:uid="{00000000-0005-0000-0000-000037040000}"/>
    <cellStyle name="入力 4 3 2" xfId="1083" xr:uid="{00000000-0005-0000-0000-000038040000}"/>
    <cellStyle name="入力 4 4" xfId="1084" xr:uid="{00000000-0005-0000-0000-000039040000}"/>
    <cellStyle name="入力 4 4 2" xfId="1085" xr:uid="{00000000-0005-0000-0000-00003A040000}"/>
    <cellStyle name="入力 4 5" xfId="1086" xr:uid="{00000000-0005-0000-0000-00003B040000}"/>
    <cellStyle name="入力 4 5 2" xfId="1087" xr:uid="{00000000-0005-0000-0000-00003C040000}"/>
    <cellStyle name="入力 4 6" xfId="1088" xr:uid="{00000000-0005-0000-0000-00003D040000}"/>
    <cellStyle name="入力 4 6 2" xfId="1089" xr:uid="{00000000-0005-0000-0000-00003E040000}"/>
    <cellStyle name="入力 4 7" xfId="1090" xr:uid="{00000000-0005-0000-0000-00003F040000}"/>
    <cellStyle name="入力 5" xfId="1091" xr:uid="{00000000-0005-0000-0000-000040040000}"/>
    <cellStyle name="入力 6" xfId="1092" xr:uid="{00000000-0005-0000-0000-000041040000}"/>
    <cellStyle name="入力 7" xfId="1093" xr:uid="{00000000-0005-0000-0000-000042040000}"/>
    <cellStyle name="入力 8" xfId="1094" xr:uid="{00000000-0005-0000-0000-000043040000}"/>
    <cellStyle name="入力 9" xfId="1095" xr:uid="{00000000-0005-0000-0000-000044040000}"/>
    <cellStyle name="標準" xfId="0" builtinId="0"/>
    <cellStyle name="標準 10" xfId="1096" xr:uid="{00000000-0005-0000-0000-000046040000}"/>
    <cellStyle name="標準 10 2" xfId="1097" xr:uid="{00000000-0005-0000-0000-000047040000}"/>
    <cellStyle name="標準 10 3" xfId="14" xr:uid="{00000000-0005-0000-0000-000048040000}"/>
    <cellStyle name="標準 10 4" xfId="1098" xr:uid="{00000000-0005-0000-0000-000049040000}"/>
    <cellStyle name="標準 10 5" xfId="1099" xr:uid="{00000000-0005-0000-0000-00004A040000}"/>
    <cellStyle name="標準 100" xfId="1100" xr:uid="{00000000-0005-0000-0000-00004B040000}"/>
    <cellStyle name="標準 100 2" xfId="1101" xr:uid="{00000000-0005-0000-0000-00004C040000}"/>
    <cellStyle name="標準 100 2 2" xfId="1102" xr:uid="{00000000-0005-0000-0000-00004D040000}"/>
    <cellStyle name="標準 100 2 2 2" xfId="1103" xr:uid="{00000000-0005-0000-0000-00004E040000}"/>
    <cellStyle name="標準 100 2 2 3" xfId="1104" xr:uid="{00000000-0005-0000-0000-00004F040000}"/>
    <cellStyle name="標準 100 2 2 4" xfId="1105" xr:uid="{00000000-0005-0000-0000-000050040000}"/>
    <cellStyle name="標準 100 2 3" xfId="1106" xr:uid="{00000000-0005-0000-0000-000051040000}"/>
    <cellStyle name="標準 100 2 4" xfId="1107" xr:uid="{00000000-0005-0000-0000-000052040000}"/>
    <cellStyle name="標準 100 2 5" xfId="1108" xr:uid="{00000000-0005-0000-0000-000053040000}"/>
    <cellStyle name="標準 100 3" xfId="1109" xr:uid="{00000000-0005-0000-0000-000054040000}"/>
    <cellStyle name="標準 100 3 2" xfId="1110" xr:uid="{00000000-0005-0000-0000-000055040000}"/>
    <cellStyle name="標準 100 3 3" xfId="1111" xr:uid="{00000000-0005-0000-0000-000056040000}"/>
    <cellStyle name="標準 100 3 4" xfId="1112" xr:uid="{00000000-0005-0000-0000-000057040000}"/>
    <cellStyle name="標準 100 4" xfId="1113" xr:uid="{00000000-0005-0000-0000-000058040000}"/>
    <cellStyle name="標準 100 5" xfId="1114" xr:uid="{00000000-0005-0000-0000-000059040000}"/>
    <cellStyle name="標準 100 6" xfId="1115" xr:uid="{00000000-0005-0000-0000-00005A040000}"/>
    <cellStyle name="標準 101" xfId="1116" xr:uid="{00000000-0005-0000-0000-00005B040000}"/>
    <cellStyle name="標準 102" xfId="1117" xr:uid="{00000000-0005-0000-0000-00005C040000}"/>
    <cellStyle name="標準 102 2" xfId="1118" xr:uid="{00000000-0005-0000-0000-00005D040000}"/>
    <cellStyle name="標準 102 2 2" xfId="1119" xr:uid="{00000000-0005-0000-0000-00005E040000}"/>
    <cellStyle name="標準 102 2 3" xfId="1120" xr:uid="{00000000-0005-0000-0000-00005F040000}"/>
    <cellStyle name="標準 102 2 4" xfId="1121" xr:uid="{00000000-0005-0000-0000-000060040000}"/>
    <cellStyle name="標準 102 3" xfId="1122" xr:uid="{00000000-0005-0000-0000-000061040000}"/>
    <cellStyle name="標準 102 4" xfId="1123" xr:uid="{00000000-0005-0000-0000-000062040000}"/>
    <cellStyle name="標準 102 5" xfId="1124" xr:uid="{00000000-0005-0000-0000-000063040000}"/>
    <cellStyle name="標準 103" xfId="1125" xr:uid="{00000000-0005-0000-0000-000064040000}"/>
    <cellStyle name="標準 104" xfId="1126" xr:uid="{00000000-0005-0000-0000-000065040000}"/>
    <cellStyle name="標準 104 2" xfId="1127" xr:uid="{00000000-0005-0000-0000-000066040000}"/>
    <cellStyle name="標準 104 3" xfId="1128" xr:uid="{00000000-0005-0000-0000-000067040000}"/>
    <cellStyle name="標準 104 4" xfId="1129" xr:uid="{00000000-0005-0000-0000-000068040000}"/>
    <cellStyle name="標準 105" xfId="1130" xr:uid="{00000000-0005-0000-0000-000069040000}"/>
    <cellStyle name="標準 106" xfId="1131" xr:uid="{00000000-0005-0000-0000-00006A040000}"/>
    <cellStyle name="標準 107" xfId="1132" xr:uid="{00000000-0005-0000-0000-00006B040000}"/>
    <cellStyle name="標準 108" xfId="1133" xr:uid="{00000000-0005-0000-0000-00006C040000}"/>
    <cellStyle name="標準 109" xfId="1134" xr:uid="{00000000-0005-0000-0000-00006D040000}"/>
    <cellStyle name="標準 11" xfId="1135" xr:uid="{00000000-0005-0000-0000-00006E040000}"/>
    <cellStyle name="標準 11 2" xfId="1136" xr:uid="{00000000-0005-0000-0000-00006F040000}"/>
    <cellStyle name="標準 11 3" xfId="1137" xr:uid="{00000000-0005-0000-0000-000070040000}"/>
    <cellStyle name="標準 110" xfId="1138" xr:uid="{00000000-0005-0000-0000-000071040000}"/>
    <cellStyle name="標準 111" xfId="1139" xr:uid="{00000000-0005-0000-0000-000072040000}"/>
    <cellStyle name="標準 112" xfId="1140" xr:uid="{00000000-0005-0000-0000-000073040000}"/>
    <cellStyle name="標準 113" xfId="1141" xr:uid="{00000000-0005-0000-0000-000074040000}"/>
    <cellStyle name="標準 114" xfId="1142" xr:uid="{00000000-0005-0000-0000-000075040000}"/>
    <cellStyle name="標準 115" xfId="1143" xr:uid="{00000000-0005-0000-0000-000076040000}"/>
    <cellStyle name="標準 116" xfId="1144" xr:uid="{00000000-0005-0000-0000-000077040000}"/>
    <cellStyle name="標準 117" xfId="1145" xr:uid="{00000000-0005-0000-0000-000078040000}"/>
    <cellStyle name="標準 118" xfId="1146" xr:uid="{00000000-0005-0000-0000-000079040000}"/>
    <cellStyle name="標準 119" xfId="1147" xr:uid="{00000000-0005-0000-0000-00007A040000}"/>
    <cellStyle name="標準 12" xfId="1148" xr:uid="{00000000-0005-0000-0000-00007B040000}"/>
    <cellStyle name="標準 12 2" xfId="1149" xr:uid="{00000000-0005-0000-0000-00007C040000}"/>
    <cellStyle name="標準 12 2 2" xfId="1150" xr:uid="{00000000-0005-0000-0000-00007D040000}"/>
    <cellStyle name="標準 12 2 3" xfId="1151" xr:uid="{00000000-0005-0000-0000-00007E040000}"/>
    <cellStyle name="標準 12 3" xfId="1152" xr:uid="{00000000-0005-0000-0000-00007F040000}"/>
    <cellStyle name="標準 12 3 2" xfId="1153" xr:uid="{00000000-0005-0000-0000-000080040000}"/>
    <cellStyle name="標準 12 3 3" xfId="1154" xr:uid="{00000000-0005-0000-0000-000081040000}"/>
    <cellStyle name="標準 120" xfId="1155" xr:uid="{00000000-0005-0000-0000-000082040000}"/>
    <cellStyle name="標準 121" xfId="1156" xr:uid="{00000000-0005-0000-0000-000083040000}"/>
    <cellStyle name="標準 122" xfId="1157" xr:uid="{00000000-0005-0000-0000-000084040000}"/>
    <cellStyle name="標準 123" xfId="1158" xr:uid="{00000000-0005-0000-0000-000085040000}"/>
    <cellStyle name="標準 124" xfId="1159" xr:uid="{00000000-0005-0000-0000-000086040000}"/>
    <cellStyle name="標準 125" xfId="1160" xr:uid="{00000000-0005-0000-0000-000087040000}"/>
    <cellStyle name="標準 126" xfId="1161" xr:uid="{00000000-0005-0000-0000-000088040000}"/>
    <cellStyle name="標準 127" xfId="1162" xr:uid="{00000000-0005-0000-0000-000089040000}"/>
    <cellStyle name="標準 128" xfId="1163" xr:uid="{00000000-0005-0000-0000-00008A040000}"/>
    <cellStyle name="標準 129" xfId="1164" xr:uid="{00000000-0005-0000-0000-00008B040000}"/>
    <cellStyle name="標準 13" xfId="1165" xr:uid="{00000000-0005-0000-0000-00008C040000}"/>
    <cellStyle name="標準 13 2" xfId="1166" xr:uid="{00000000-0005-0000-0000-00008D040000}"/>
    <cellStyle name="標準 13 3" xfId="1167" xr:uid="{00000000-0005-0000-0000-00008E040000}"/>
    <cellStyle name="標準 13 4" xfId="1168" xr:uid="{00000000-0005-0000-0000-00008F040000}"/>
    <cellStyle name="標準 13 5" xfId="1169" xr:uid="{00000000-0005-0000-0000-000090040000}"/>
    <cellStyle name="標準 130" xfId="1170" xr:uid="{00000000-0005-0000-0000-000091040000}"/>
    <cellStyle name="標準 131" xfId="1171" xr:uid="{00000000-0005-0000-0000-000092040000}"/>
    <cellStyle name="標準 132" xfId="1937" xr:uid="{00000000-0005-0000-0000-000093040000}"/>
    <cellStyle name="標準 132 2" xfId="1943" xr:uid="{00000000-0005-0000-0000-000094040000}"/>
    <cellStyle name="標準 132 2 2" xfId="1950" xr:uid="{00000000-0005-0000-0000-000095040000}"/>
    <cellStyle name="標準 132 3" xfId="1948" xr:uid="{00000000-0005-0000-0000-000096040000}"/>
    <cellStyle name="標準 133" xfId="1944" xr:uid="{00000000-0005-0000-0000-000097040000}"/>
    <cellStyle name="標準 133 2" xfId="1951" xr:uid="{00000000-0005-0000-0000-000098040000}"/>
    <cellStyle name="標準 134" xfId="1946" xr:uid="{00000000-0005-0000-0000-000099040000}"/>
    <cellStyle name="標準 136" xfId="1172" xr:uid="{00000000-0005-0000-0000-00009A040000}"/>
    <cellStyle name="標準 14" xfId="1173" xr:uid="{00000000-0005-0000-0000-00009B040000}"/>
    <cellStyle name="標準 14 2" xfId="1174" xr:uid="{00000000-0005-0000-0000-00009C040000}"/>
    <cellStyle name="標準 14 2 2" xfId="1175" xr:uid="{00000000-0005-0000-0000-00009D040000}"/>
    <cellStyle name="標準 14 2 3" xfId="1176" xr:uid="{00000000-0005-0000-0000-00009E040000}"/>
    <cellStyle name="標準 14 3" xfId="1177" xr:uid="{00000000-0005-0000-0000-00009F040000}"/>
    <cellStyle name="標準 14 4" xfId="1178" xr:uid="{00000000-0005-0000-0000-0000A0040000}"/>
    <cellStyle name="標準 15" xfId="1179" xr:uid="{00000000-0005-0000-0000-0000A1040000}"/>
    <cellStyle name="標準 15 2" xfId="1180" xr:uid="{00000000-0005-0000-0000-0000A2040000}"/>
    <cellStyle name="標準 15 2 2" xfId="1181" xr:uid="{00000000-0005-0000-0000-0000A3040000}"/>
    <cellStyle name="標準 15 2 3" xfId="1182" xr:uid="{00000000-0005-0000-0000-0000A4040000}"/>
    <cellStyle name="標準 15 3" xfId="1183" xr:uid="{00000000-0005-0000-0000-0000A5040000}"/>
    <cellStyle name="標準 15 4" xfId="1184" xr:uid="{00000000-0005-0000-0000-0000A6040000}"/>
    <cellStyle name="標準 15 5" xfId="1185" xr:uid="{00000000-0005-0000-0000-0000A7040000}"/>
    <cellStyle name="標準 15 6" xfId="1186" xr:uid="{00000000-0005-0000-0000-0000A8040000}"/>
    <cellStyle name="標準 16" xfId="1187" xr:uid="{00000000-0005-0000-0000-0000A9040000}"/>
    <cellStyle name="標準 16 2" xfId="1188" xr:uid="{00000000-0005-0000-0000-0000AA040000}"/>
    <cellStyle name="標準 16 2 2" xfId="1189" xr:uid="{00000000-0005-0000-0000-0000AB040000}"/>
    <cellStyle name="標準 16 2 3" xfId="1190" xr:uid="{00000000-0005-0000-0000-0000AC040000}"/>
    <cellStyle name="標準 16 3" xfId="1191" xr:uid="{00000000-0005-0000-0000-0000AD040000}"/>
    <cellStyle name="標準 16 4" xfId="1192" xr:uid="{00000000-0005-0000-0000-0000AE040000}"/>
    <cellStyle name="標準 16 5" xfId="1193" xr:uid="{00000000-0005-0000-0000-0000AF040000}"/>
    <cellStyle name="標準 17" xfId="1194" xr:uid="{00000000-0005-0000-0000-0000B0040000}"/>
    <cellStyle name="標準 17 2" xfId="1195" xr:uid="{00000000-0005-0000-0000-0000B1040000}"/>
    <cellStyle name="標準 17 2 2" xfId="1196" xr:uid="{00000000-0005-0000-0000-0000B2040000}"/>
    <cellStyle name="標準 17 2 3" xfId="1197" xr:uid="{00000000-0005-0000-0000-0000B3040000}"/>
    <cellStyle name="標準 17 3" xfId="1198" xr:uid="{00000000-0005-0000-0000-0000B4040000}"/>
    <cellStyle name="標準 17 4" xfId="1199" xr:uid="{00000000-0005-0000-0000-0000B5040000}"/>
    <cellStyle name="標準 17 5" xfId="1200" xr:uid="{00000000-0005-0000-0000-0000B6040000}"/>
    <cellStyle name="標準 18" xfId="1201" xr:uid="{00000000-0005-0000-0000-0000B7040000}"/>
    <cellStyle name="標準 18 2" xfId="1202" xr:uid="{00000000-0005-0000-0000-0000B8040000}"/>
    <cellStyle name="標準 18 2 2" xfId="1203" xr:uid="{00000000-0005-0000-0000-0000B9040000}"/>
    <cellStyle name="標準 18 2 3" xfId="1204" xr:uid="{00000000-0005-0000-0000-0000BA040000}"/>
    <cellStyle name="標準 18 2 4" xfId="1205" xr:uid="{00000000-0005-0000-0000-0000BB040000}"/>
    <cellStyle name="標準 18 3" xfId="1206" xr:uid="{00000000-0005-0000-0000-0000BC040000}"/>
    <cellStyle name="標準 18 4" xfId="1207" xr:uid="{00000000-0005-0000-0000-0000BD040000}"/>
    <cellStyle name="標準 18 5" xfId="1208" xr:uid="{00000000-0005-0000-0000-0000BE040000}"/>
    <cellStyle name="標準 18 6" xfId="1209" xr:uid="{00000000-0005-0000-0000-0000BF040000}"/>
    <cellStyle name="標準 19" xfId="1210" xr:uid="{00000000-0005-0000-0000-0000C0040000}"/>
    <cellStyle name="標準 19 2" xfId="1211" xr:uid="{00000000-0005-0000-0000-0000C1040000}"/>
    <cellStyle name="標準 19 3" xfId="1212" xr:uid="{00000000-0005-0000-0000-0000C2040000}"/>
    <cellStyle name="標準 2" xfId="9" xr:uid="{00000000-0005-0000-0000-0000C3040000}"/>
    <cellStyle name="標準 2 10" xfId="1213" xr:uid="{00000000-0005-0000-0000-0000C4040000}"/>
    <cellStyle name="標準 2 11" xfId="1214" xr:uid="{00000000-0005-0000-0000-0000C5040000}"/>
    <cellStyle name="標準 2 12" xfId="1215" xr:uid="{00000000-0005-0000-0000-0000C6040000}"/>
    <cellStyle name="標準 2 13" xfId="1216" xr:uid="{00000000-0005-0000-0000-0000C7040000}"/>
    <cellStyle name="標準 2 2" xfId="10" xr:uid="{00000000-0005-0000-0000-0000C8040000}"/>
    <cellStyle name="標準 2 2 2" xfId="1217" xr:uid="{00000000-0005-0000-0000-0000C9040000}"/>
    <cellStyle name="標準 2 2 2 2" xfId="1218" xr:uid="{00000000-0005-0000-0000-0000CA040000}"/>
    <cellStyle name="標準 2 2 2 2 2" xfId="1219" xr:uid="{00000000-0005-0000-0000-0000CB040000}"/>
    <cellStyle name="標準 2 2 2 2 3" xfId="1220" xr:uid="{00000000-0005-0000-0000-0000CC040000}"/>
    <cellStyle name="標準 2 2 2 3" xfId="1221" xr:uid="{00000000-0005-0000-0000-0000CD040000}"/>
    <cellStyle name="標準 2 2 3" xfId="1222" xr:uid="{00000000-0005-0000-0000-0000CE040000}"/>
    <cellStyle name="標準 2 2 3 2" xfId="1223" xr:uid="{00000000-0005-0000-0000-0000CF040000}"/>
    <cellStyle name="標準 2 2 3 3" xfId="1224" xr:uid="{00000000-0005-0000-0000-0000D0040000}"/>
    <cellStyle name="標準 2 2 4" xfId="1225" xr:uid="{00000000-0005-0000-0000-0000D1040000}"/>
    <cellStyle name="標準 2 2 4 2" xfId="1226" xr:uid="{00000000-0005-0000-0000-0000D2040000}"/>
    <cellStyle name="標準 2 2 4 3" xfId="1227" xr:uid="{00000000-0005-0000-0000-0000D3040000}"/>
    <cellStyle name="標準 2 2 5" xfId="1228" xr:uid="{00000000-0005-0000-0000-0000D4040000}"/>
    <cellStyle name="標準 2 2 5 2" xfId="1229" xr:uid="{00000000-0005-0000-0000-0000D5040000}"/>
    <cellStyle name="標準 2 2 5 3" xfId="1230" xr:uid="{00000000-0005-0000-0000-0000D6040000}"/>
    <cellStyle name="標準 2 2 6" xfId="1231" xr:uid="{00000000-0005-0000-0000-0000D7040000}"/>
    <cellStyle name="標準 2 2 6 2" xfId="1232" xr:uid="{00000000-0005-0000-0000-0000D8040000}"/>
    <cellStyle name="標準 2 2 6 3" xfId="1233" xr:uid="{00000000-0005-0000-0000-0000D9040000}"/>
    <cellStyle name="標準 2 2 7" xfId="1234" xr:uid="{00000000-0005-0000-0000-0000DA040000}"/>
    <cellStyle name="標準 2 2 8" xfId="1235" xr:uid="{00000000-0005-0000-0000-0000DB040000}"/>
    <cellStyle name="標準 2 2_(別紙1)参加者テスト仕様書(JPN)_ver1.81" xfId="1236" xr:uid="{00000000-0005-0000-0000-0000DC040000}"/>
    <cellStyle name="標準 2 3" xfId="13" xr:uid="{00000000-0005-0000-0000-0000DD040000}"/>
    <cellStyle name="標準 2 3 2" xfId="1237" xr:uid="{00000000-0005-0000-0000-0000DE040000}"/>
    <cellStyle name="標準 2 3 2 2" xfId="1238" xr:uid="{00000000-0005-0000-0000-0000DF040000}"/>
    <cellStyle name="標準 2 3 3" xfId="1239" xr:uid="{00000000-0005-0000-0000-0000E0040000}"/>
    <cellStyle name="標準 2 3 3 2" xfId="1240" xr:uid="{00000000-0005-0000-0000-0000E1040000}"/>
    <cellStyle name="標準 2 3 3 3" xfId="1241" xr:uid="{00000000-0005-0000-0000-0000E2040000}"/>
    <cellStyle name="標準 2 3 4" xfId="1242" xr:uid="{00000000-0005-0000-0000-0000E3040000}"/>
    <cellStyle name="標準 2 4" xfId="1243" xr:uid="{00000000-0005-0000-0000-0000E4040000}"/>
    <cellStyle name="標準 2 4 2" xfId="1244" xr:uid="{00000000-0005-0000-0000-0000E5040000}"/>
    <cellStyle name="標準 2 4 2 2" xfId="1245" xr:uid="{00000000-0005-0000-0000-0000E6040000}"/>
    <cellStyle name="標準 2 4 3" xfId="1246" xr:uid="{00000000-0005-0000-0000-0000E7040000}"/>
    <cellStyle name="標準 2 5" xfId="1247" xr:uid="{00000000-0005-0000-0000-0000E8040000}"/>
    <cellStyle name="標準 2 5 2" xfId="1248" xr:uid="{00000000-0005-0000-0000-0000E9040000}"/>
    <cellStyle name="標準 2 5 3" xfId="1249" xr:uid="{00000000-0005-0000-0000-0000EA040000}"/>
    <cellStyle name="標準 2 6" xfId="1250" xr:uid="{00000000-0005-0000-0000-0000EB040000}"/>
    <cellStyle name="標準 2 6 2" xfId="1251" xr:uid="{00000000-0005-0000-0000-0000EC040000}"/>
    <cellStyle name="標準 2 6 3" xfId="1252" xr:uid="{00000000-0005-0000-0000-0000ED040000}"/>
    <cellStyle name="標準 2 6 4" xfId="1253" xr:uid="{00000000-0005-0000-0000-0000EE040000}"/>
    <cellStyle name="標準 2 7" xfId="1254" xr:uid="{00000000-0005-0000-0000-0000EF040000}"/>
    <cellStyle name="標準 2 7 2" xfId="1255" xr:uid="{00000000-0005-0000-0000-0000F0040000}"/>
    <cellStyle name="標準 2 8" xfId="1256" xr:uid="{00000000-0005-0000-0000-0000F1040000}"/>
    <cellStyle name="標準 2 8 2" xfId="1257" xr:uid="{00000000-0005-0000-0000-0000F2040000}"/>
    <cellStyle name="標準 2 9" xfId="1258" xr:uid="{00000000-0005-0000-0000-0000F3040000}"/>
    <cellStyle name="標準 2_(別紙1)参加者テスト仕様書(JPN)_ver1.81" xfId="1259" xr:uid="{00000000-0005-0000-0000-0000F4040000}"/>
    <cellStyle name="標準 20" xfId="1260" xr:uid="{00000000-0005-0000-0000-0000F5040000}"/>
    <cellStyle name="標準 20 2" xfId="1261" xr:uid="{00000000-0005-0000-0000-0000F6040000}"/>
    <cellStyle name="標準 20 3" xfId="1262" xr:uid="{00000000-0005-0000-0000-0000F7040000}"/>
    <cellStyle name="標準 20 4" xfId="1263" xr:uid="{00000000-0005-0000-0000-0000F8040000}"/>
    <cellStyle name="標準 20 5" xfId="1264" xr:uid="{00000000-0005-0000-0000-0000F9040000}"/>
    <cellStyle name="標準 21" xfId="1265" xr:uid="{00000000-0005-0000-0000-0000FA040000}"/>
    <cellStyle name="標準 21 2" xfId="1266" xr:uid="{00000000-0005-0000-0000-0000FB040000}"/>
    <cellStyle name="標準 21 2 2" xfId="1267" xr:uid="{00000000-0005-0000-0000-0000FC040000}"/>
    <cellStyle name="標準 21 3" xfId="1268" xr:uid="{00000000-0005-0000-0000-0000FD040000}"/>
    <cellStyle name="標準 21 3 2" xfId="1269" xr:uid="{00000000-0005-0000-0000-0000FE040000}"/>
    <cellStyle name="標準 21 4" xfId="1270" xr:uid="{00000000-0005-0000-0000-0000FF040000}"/>
    <cellStyle name="標準 21 5" xfId="1271" xr:uid="{00000000-0005-0000-0000-000000050000}"/>
    <cellStyle name="標準 22" xfId="1272" xr:uid="{00000000-0005-0000-0000-000001050000}"/>
    <cellStyle name="標準 22 2" xfId="1273" xr:uid="{00000000-0005-0000-0000-000002050000}"/>
    <cellStyle name="標準 22 3" xfId="1274" xr:uid="{00000000-0005-0000-0000-000003050000}"/>
    <cellStyle name="標準 23" xfId="1275" xr:uid="{00000000-0005-0000-0000-000004050000}"/>
    <cellStyle name="標準 23 2" xfId="1276" xr:uid="{00000000-0005-0000-0000-000005050000}"/>
    <cellStyle name="標準 23 3" xfId="1277" xr:uid="{00000000-0005-0000-0000-000006050000}"/>
    <cellStyle name="標準 24" xfId="1278" xr:uid="{00000000-0005-0000-0000-000007050000}"/>
    <cellStyle name="標準 24 2" xfId="1279" xr:uid="{00000000-0005-0000-0000-000008050000}"/>
    <cellStyle name="標準 24 3" xfId="1280" xr:uid="{00000000-0005-0000-0000-000009050000}"/>
    <cellStyle name="標準 25" xfId="1281" xr:uid="{00000000-0005-0000-0000-00000A050000}"/>
    <cellStyle name="標準 26" xfId="1282" xr:uid="{00000000-0005-0000-0000-00000B050000}"/>
    <cellStyle name="標準 27" xfId="1283" xr:uid="{00000000-0005-0000-0000-00000C050000}"/>
    <cellStyle name="標準 28" xfId="1284" xr:uid="{00000000-0005-0000-0000-00000D050000}"/>
    <cellStyle name="標準 29" xfId="1285" xr:uid="{00000000-0005-0000-0000-00000E050000}"/>
    <cellStyle name="標準 3" xfId="11" xr:uid="{00000000-0005-0000-0000-00000F050000}"/>
    <cellStyle name="標準 3 10" xfId="1286" xr:uid="{00000000-0005-0000-0000-000010050000}"/>
    <cellStyle name="標準 3 11" xfId="1287" xr:uid="{00000000-0005-0000-0000-000011050000}"/>
    <cellStyle name="標準 3 2" xfId="1288" xr:uid="{00000000-0005-0000-0000-000012050000}"/>
    <cellStyle name="標準 3 2 2" xfId="1289" xr:uid="{00000000-0005-0000-0000-000013050000}"/>
    <cellStyle name="標準 3 2 2 2" xfId="1290" xr:uid="{00000000-0005-0000-0000-000014050000}"/>
    <cellStyle name="標準 3 2 2 3" xfId="1291" xr:uid="{00000000-0005-0000-0000-000015050000}"/>
    <cellStyle name="標準 3 2 3" xfId="1292" xr:uid="{00000000-0005-0000-0000-000016050000}"/>
    <cellStyle name="標準 3 2 3 2" xfId="1293" xr:uid="{00000000-0005-0000-0000-000017050000}"/>
    <cellStyle name="標準 3 2 3 3" xfId="1294" xr:uid="{00000000-0005-0000-0000-000018050000}"/>
    <cellStyle name="標準 3 2 4" xfId="1295" xr:uid="{00000000-0005-0000-0000-000019050000}"/>
    <cellStyle name="標準 3 2 5" xfId="1296" xr:uid="{00000000-0005-0000-0000-00001A050000}"/>
    <cellStyle name="標準 3 3" xfId="1297" xr:uid="{00000000-0005-0000-0000-00001B050000}"/>
    <cellStyle name="標準 3 4" xfId="1298" xr:uid="{00000000-0005-0000-0000-00001C050000}"/>
    <cellStyle name="標準 3 4 2" xfId="1299" xr:uid="{00000000-0005-0000-0000-00001D050000}"/>
    <cellStyle name="標準 3 4 3" xfId="1300" xr:uid="{00000000-0005-0000-0000-00001E050000}"/>
    <cellStyle name="標準 3 5" xfId="1301" xr:uid="{00000000-0005-0000-0000-00001F050000}"/>
    <cellStyle name="標準 3 5 2" xfId="1302" xr:uid="{00000000-0005-0000-0000-000020050000}"/>
    <cellStyle name="標準 3 5 3" xfId="1303" xr:uid="{00000000-0005-0000-0000-000021050000}"/>
    <cellStyle name="標準 3 6" xfId="1304" xr:uid="{00000000-0005-0000-0000-000022050000}"/>
    <cellStyle name="標準 3 6 2" xfId="1305" xr:uid="{00000000-0005-0000-0000-000023050000}"/>
    <cellStyle name="標準 3 7" xfId="1306" xr:uid="{00000000-0005-0000-0000-000024050000}"/>
    <cellStyle name="標準 3 8" xfId="1307" xr:uid="{00000000-0005-0000-0000-000025050000}"/>
    <cellStyle name="標準 3 9" xfId="1308" xr:uid="{00000000-0005-0000-0000-000026050000}"/>
    <cellStyle name="標準 3_【Quick取得データ配信ツール(仮)】課題管理表（EUC）_20121210" xfId="1309" xr:uid="{00000000-0005-0000-0000-000027050000}"/>
    <cellStyle name="標準 30" xfId="1310" xr:uid="{00000000-0005-0000-0000-000028050000}"/>
    <cellStyle name="標準 31" xfId="1311" xr:uid="{00000000-0005-0000-0000-000029050000}"/>
    <cellStyle name="標準 31 2" xfId="1312" xr:uid="{00000000-0005-0000-0000-00002A050000}"/>
    <cellStyle name="標準 31 3" xfId="1313" xr:uid="{00000000-0005-0000-0000-00002B050000}"/>
    <cellStyle name="標準 32" xfId="1314" xr:uid="{00000000-0005-0000-0000-00002C050000}"/>
    <cellStyle name="標準 32 2" xfId="1315" xr:uid="{00000000-0005-0000-0000-00002D050000}"/>
    <cellStyle name="標準 32 3" xfId="1316" xr:uid="{00000000-0005-0000-0000-00002E050000}"/>
    <cellStyle name="標準 33" xfId="1317" xr:uid="{00000000-0005-0000-0000-00002F050000}"/>
    <cellStyle name="標準 33 2" xfId="1318" xr:uid="{00000000-0005-0000-0000-000030050000}"/>
    <cellStyle name="標準 33 3" xfId="1319" xr:uid="{00000000-0005-0000-0000-000031050000}"/>
    <cellStyle name="標準 34" xfId="1320" xr:uid="{00000000-0005-0000-0000-000032050000}"/>
    <cellStyle name="標準 34 2" xfId="1321" xr:uid="{00000000-0005-0000-0000-000033050000}"/>
    <cellStyle name="標準 34 3" xfId="1322" xr:uid="{00000000-0005-0000-0000-000034050000}"/>
    <cellStyle name="標準 35" xfId="1323" xr:uid="{00000000-0005-0000-0000-000035050000}"/>
    <cellStyle name="標準 35 2" xfId="1324" xr:uid="{00000000-0005-0000-0000-000036050000}"/>
    <cellStyle name="標準 35 3" xfId="1325" xr:uid="{00000000-0005-0000-0000-000037050000}"/>
    <cellStyle name="標準 36" xfId="1326" xr:uid="{00000000-0005-0000-0000-000038050000}"/>
    <cellStyle name="標準 36 2" xfId="1327" xr:uid="{00000000-0005-0000-0000-000039050000}"/>
    <cellStyle name="標準 36 3" xfId="1328" xr:uid="{00000000-0005-0000-0000-00003A050000}"/>
    <cellStyle name="標準 37" xfId="1329" xr:uid="{00000000-0005-0000-0000-00003B050000}"/>
    <cellStyle name="標準 37 2" xfId="1330" xr:uid="{00000000-0005-0000-0000-00003C050000}"/>
    <cellStyle name="標準 37 3" xfId="1331" xr:uid="{00000000-0005-0000-0000-00003D050000}"/>
    <cellStyle name="標準 38" xfId="1332" xr:uid="{00000000-0005-0000-0000-00003E050000}"/>
    <cellStyle name="標準 39" xfId="1333" xr:uid="{00000000-0005-0000-0000-00003F050000}"/>
    <cellStyle name="標準 39 2" xfId="1334" xr:uid="{00000000-0005-0000-0000-000040050000}"/>
    <cellStyle name="標準 39 3" xfId="1335" xr:uid="{00000000-0005-0000-0000-000041050000}"/>
    <cellStyle name="標準 4" xfId="16" xr:uid="{00000000-0005-0000-0000-000042050000}"/>
    <cellStyle name="標準 4 2" xfId="1336" xr:uid="{00000000-0005-0000-0000-000043050000}"/>
    <cellStyle name="標準 4 2 2" xfId="1337" xr:uid="{00000000-0005-0000-0000-000044050000}"/>
    <cellStyle name="標準 4 2 2 2" xfId="1338" xr:uid="{00000000-0005-0000-0000-000045050000}"/>
    <cellStyle name="標準 4 2 2 3" xfId="1339" xr:uid="{00000000-0005-0000-0000-000046050000}"/>
    <cellStyle name="標準 4 2 3" xfId="1340" xr:uid="{00000000-0005-0000-0000-000047050000}"/>
    <cellStyle name="標準 4 3" xfId="1341" xr:uid="{00000000-0005-0000-0000-000048050000}"/>
    <cellStyle name="標準 4 3 2" xfId="1342" xr:uid="{00000000-0005-0000-0000-000049050000}"/>
    <cellStyle name="標準 4 3 3" xfId="1343" xr:uid="{00000000-0005-0000-0000-00004A050000}"/>
    <cellStyle name="標準 4 4" xfId="1344" xr:uid="{00000000-0005-0000-0000-00004B050000}"/>
    <cellStyle name="標準 4 4 2" xfId="1345" xr:uid="{00000000-0005-0000-0000-00004C050000}"/>
    <cellStyle name="標準 4 4 3" xfId="1346" xr:uid="{00000000-0005-0000-0000-00004D050000}"/>
    <cellStyle name="標準 4 5" xfId="1347" xr:uid="{00000000-0005-0000-0000-00004E050000}"/>
    <cellStyle name="標準 4 6" xfId="1348" xr:uid="{00000000-0005-0000-0000-00004F050000}"/>
    <cellStyle name="標準 4 7" xfId="1942" xr:uid="{00000000-0005-0000-0000-000050050000}"/>
    <cellStyle name="標準 4 7 2" xfId="1949" xr:uid="{00000000-0005-0000-0000-000051050000}"/>
    <cellStyle name="標準 4 8" xfId="1947" xr:uid="{00000000-0005-0000-0000-000052050000}"/>
    <cellStyle name="標準 4_20121011__1_F⇒O_【証拠金１本化】課題管理（清算）" xfId="1349" xr:uid="{00000000-0005-0000-0000-000053050000}"/>
    <cellStyle name="標準 40" xfId="1350" xr:uid="{00000000-0005-0000-0000-000054050000}"/>
    <cellStyle name="標準 41" xfId="1351" xr:uid="{00000000-0005-0000-0000-000055050000}"/>
    <cellStyle name="標準 42" xfId="1352" xr:uid="{00000000-0005-0000-0000-000056050000}"/>
    <cellStyle name="標準 43" xfId="1353" xr:uid="{00000000-0005-0000-0000-000057050000}"/>
    <cellStyle name="標準 44" xfId="1354" xr:uid="{00000000-0005-0000-0000-000058050000}"/>
    <cellStyle name="標準 45" xfId="1355" xr:uid="{00000000-0005-0000-0000-000059050000}"/>
    <cellStyle name="標準 46" xfId="1356" xr:uid="{00000000-0005-0000-0000-00005A050000}"/>
    <cellStyle name="標準 47" xfId="1357" xr:uid="{00000000-0005-0000-0000-00005B050000}"/>
    <cellStyle name="標準 48" xfId="1358" xr:uid="{00000000-0005-0000-0000-00005C050000}"/>
    <cellStyle name="標準 49" xfId="1359" xr:uid="{00000000-0005-0000-0000-00005D050000}"/>
    <cellStyle name="標準 5" xfId="1360" xr:uid="{00000000-0005-0000-0000-00005E050000}"/>
    <cellStyle name="標準 5 2" xfId="1361" xr:uid="{00000000-0005-0000-0000-00005F050000}"/>
    <cellStyle name="標準 5 2 2" xfId="1362" xr:uid="{00000000-0005-0000-0000-000060050000}"/>
    <cellStyle name="標準 5 2 2 2" xfId="15" xr:uid="{00000000-0005-0000-0000-000061050000}"/>
    <cellStyle name="標準 5 2 2 3" xfId="1363" xr:uid="{00000000-0005-0000-0000-000062050000}"/>
    <cellStyle name="標準 5 2 3" xfId="1364" xr:uid="{00000000-0005-0000-0000-000063050000}"/>
    <cellStyle name="標準 5 2 3 2" xfId="1365" xr:uid="{00000000-0005-0000-0000-000064050000}"/>
    <cellStyle name="標準 5 2 3 3" xfId="1366" xr:uid="{00000000-0005-0000-0000-000065050000}"/>
    <cellStyle name="標準 5 3" xfId="1367" xr:uid="{00000000-0005-0000-0000-000066050000}"/>
    <cellStyle name="標準 5 4" xfId="1368" xr:uid="{00000000-0005-0000-0000-000067050000}"/>
    <cellStyle name="標準 5 4 2" xfId="1369" xr:uid="{00000000-0005-0000-0000-000068050000}"/>
    <cellStyle name="標準 5_バックアップセンタ_切替テストスケジュール_20120406~10" xfId="1370" xr:uid="{00000000-0005-0000-0000-000069050000}"/>
    <cellStyle name="標準 50" xfId="1371" xr:uid="{00000000-0005-0000-0000-00006A050000}"/>
    <cellStyle name="標準 51" xfId="1372" xr:uid="{00000000-0005-0000-0000-00006B050000}"/>
    <cellStyle name="標準 52" xfId="1373" xr:uid="{00000000-0005-0000-0000-00006C050000}"/>
    <cellStyle name="標準 53" xfId="1374" xr:uid="{00000000-0005-0000-0000-00006D050000}"/>
    <cellStyle name="標準 54" xfId="1375" xr:uid="{00000000-0005-0000-0000-00006E050000}"/>
    <cellStyle name="標準 55" xfId="1376" xr:uid="{00000000-0005-0000-0000-00006F050000}"/>
    <cellStyle name="標準 56" xfId="1377" xr:uid="{00000000-0005-0000-0000-000070050000}"/>
    <cellStyle name="標準 57" xfId="1378" xr:uid="{00000000-0005-0000-0000-000071050000}"/>
    <cellStyle name="標準 58" xfId="1379" xr:uid="{00000000-0005-0000-0000-000072050000}"/>
    <cellStyle name="標準 59" xfId="1380" xr:uid="{00000000-0005-0000-0000-000073050000}"/>
    <cellStyle name="標準 6" xfId="1381" xr:uid="{00000000-0005-0000-0000-000074050000}"/>
    <cellStyle name="標準 6 2" xfId="1382" xr:uid="{00000000-0005-0000-0000-000075050000}"/>
    <cellStyle name="標準 6 2 2" xfId="1383" xr:uid="{00000000-0005-0000-0000-000076050000}"/>
    <cellStyle name="標準 6 2 3" xfId="1384" xr:uid="{00000000-0005-0000-0000-000077050000}"/>
    <cellStyle name="標準 6 2 4" xfId="1385" xr:uid="{00000000-0005-0000-0000-000078050000}"/>
    <cellStyle name="標準 6 3" xfId="1386" xr:uid="{00000000-0005-0000-0000-000079050000}"/>
    <cellStyle name="標準 6_バックアップセンタ_切替テストスケジュール_20120406~10" xfId="1387" xr:uid="{00000000-0005-0000-0000-00007A050000}"/>
    <cellStyle name="標準 60" xfId="1388" xr:uid="{00000000-0005-0000-0000-00007B050000}"/>
    <cellStyle name="標準 61" xfId="1389" xr:uid="{00000000-0005-0000-0000-00007C050000}"/>
    <cellStyle name="標準 62" xfId="1390" xr:uid="{00000000-0005-0000-0000-00007D050000}"/>
    <cellStyle name="標準 63" xfId="1391" xr:uid="{00000000-0005-0000-0000-00007E050000}"/>
    <cellStyle name="標準 64" xfId="1392" xr:uid="{00000000-0005-0000-0000-00007F050000}"/>
    <cellStyle name="標準 65" xfId="1393" xr:uid="{00000000-0005-0000-0000-000080050000}"/>
    <cellStyle name="標準 66" xfId="1394" xr:uid="{00000000-0005-0000-0000-000081050000}"/>
    <cellStyle name="標準 67" xfId="1395" xr:uid="{00000000-0005-0000-0000-000082050000}"/>
    <cellStyle name="標準 68" xfId="1396" xr:uid="{00000000-0005-0000-0000-000083050000}"/>
    <cellStyle name="標準 69" xfId="1397" xr:uid="{00000000-0005-0000-0000-000084050000}"/>
    <cellStyle name="標準 69 2" xfId="1398" xr:uid="{00000000-0005-0000-0000-000085050000}"/>
    <cellStyle name="標準 69 2 2" xfId="1399" xr:uid="{00000000-0005-0000-0000-000086050000}"/>
    <cellStyle name="標準 69 2 2 2" xfId="1400" xr:uid="{00000000-0005-0000-0000-000087050000}"/>
    <cellStyle name="標準 69 2 2 3" xfId="1401" xr:uid="{00000000-0005-0000-0000-000088050000}"/>
    <cellStyle name="標準 69 2 2 4" xfId="1402" xr:uid="{00000000-0005-0000-0000-000089050000}"/>
    <cellStyle name="標準 69 2 3" xfId="1403" xr:uid="{00000000-0005-0000-0000-00008A050000}"/>
    <cellStyle name="標準 69 2 4" xfId="1404" xr:uid="{00000000-0005-0000-0000-00008B050000}"/>
    <cellStyle name="標準 69 2 5" xfId="1405" xr:uid="{00000000-0005-0000-0000-00008C050000}"/>
    <cellStyle name="標準 69 3" xfId="1406" xr:uid="{00000000-0005-0000-0000-00008D050000}"/>
    <cellStyle name="標準 69 3 2" xfId="1407" xr:uid="{00000000-0005-0000-0000-00008E050000}"/>
    <cellStyle name="標準 69 3 3" xfId="1408" xr:uid="{00000000-0005-0000-0000-00008F050000}"/>
    <cellStyle name="標準 69 3 4" xfId="1409" xr:uid="{00000000-0005-0000-0000-000090050000}"/>
    <cellStyle name="標準 69 4" xfId="1410" xr:uid="{00000000-0005-0000-0000-000091050000}"/>
    <cellStyle name="標準 69 5" xfId="1411" xr:uid="{00000000-0005-0000-0000-000092050000}"/>
    <cellStyle name="標準 69 6" xfId="1412" xr:uid="{00000000-0005-0000-0000-000093050000}"/>
    <cellStyle name="標準 69 7" xfId="1413" xr:uid="{00000000-0005-0000-0000-000094050000}"/>
    <cellStyle name="標準 69 8" xfId="1414" xr:uid="{00000000-0005-0000-0000-000095050000}"/>
    <cellStyle name="標準 7" xfId="1415" xr:uid="{00000000-0005-0000-0000-000096050000}"/>
    <cellStyle name="標準 7 2" xfId="1416" xr:uid="{00000000-0005-0000-0000-000097050000}"/>
    <cellStyle name="標準 7 2 2" xfId="1417" xr:uid="{00000000-0005-0000-0000-000098050000}"/>
    <cellStyle name="標準 7 2 3" xfId="1418" xr:uid="{00000000-0005-0000-0000-000099050000}"/>
    <cellStyle name="標準 7 3" xfId="1419" xr:uid="{00000000-0005-0000-0000-00009A050000}"/>
    <cellStyle name="標準 7 3 2" xfId="1420" xr:uid="{00000000-0005-0000-0000-00009B050000}"/>
    <cellStyle name="標準 7 3 3" xfId="1421" xr:uid="{00000000-0005-0000-0000-00009C050000}"/>
    <cellStyle name="標準 7 4" xfId="1422" xr:uid="{00000000-0005-0000-0000-00009D050000}"/>
    <cellStyle name="標準 7 4 2" xfId="1423" xr:uid="{00000000-0005-0000-0000-00009E050000}"/>
    <cellStyle name="標準 7 4 3" xfId="1424" xr:uid="{00000000-0005-0000-0000-00009F050000}"/>
    <cellStyle name="標準 7 5" xfId="1425" xr:uid="{00000000-0005-0000-0000-0000A0050000}"/>
    <cellStyle name="標準 70" xfId="1426" xr:uid="{00000000-0005-0000-0000-0000A1050000}"/>
    <cellStyle name="標準 70 2" xfId="1427" xr:uid="{00000000-0005-0000-0000-0000A2050000}"/>
    <cellStyle name="標準 70 2 2" xfId="1428" xr:uid="{00000000-0005-0000-0000-0000A3050000}"/>
    <cellStyle name="標準 70 2 2 2" xfId="1429" xr:uid="{00000000-0005-0000-0000-0000A4050000}"/>
    <cellStyle name="標準 70 2 2 3" xfId="1430" xr:uid="{00000000-0005-0000-0000-0000A5050000}"/>
    <cellStyle name="標準 70 2 2 4" xfId="1431" xr:uid="{00000000-0005-0000-0000-0000A6050000}"/>
    <cellStyle name="標準 70 2 3" xfId="1432" xr:uid="{00000000-0005-0000-0000-0000A7050000}"/>
    <cellStyle name="標準 70 2 4" xfId="1433" xr:uid="{00000000-0005-0000-0000-0000A8050000}"/>
    <cellStyle name="標準 70 2 5" xfId="1434" xr:uid="{00000000-0005-0000-0000-0000A9050000}"/>
    <cellStyle name="標準 70 3" xfId="1435" xr:uid="{00000000-0005-0000-0000-0000AA050000}"/>
    <cellStyle name="標準 70 3 2" xfId="1436" xr:uid="{00000000-0005-0000-0000-0000AB050000}"/>
    <cellStyle name="標準 70 3 3" xfId="1437" xr:uid="{00000000-0005-0000-0000-0000AC050000}"/>
    <cellStyle name="標準 70 3 4" xfId="1438" xr:uid="{00000000-0005-0000-0000-0000AD050000}"/>
    <cellStyle name="標準 70 4" xfId="1439" xr:uid="{00000000-0005-0000-0000-0000AE050000}"/>
    <cellStyle name="標準 70 5" xfId="1440" xr:uid="{00000000-0005-0000-0000-0000AF050000}"/>
    <cellStyle name="標準 70 6" xfId="1441" xr:uid="{00000000-0005-0000-0000-0000B0050000}"/>
    <cellStyle name="標準 70 7" xfId="1442" xr:uid="{00000000-0005-0000-0000-0000B1050000}"/>
    <cellStyle name="標準 70 8" xfId="1443" xr:uid="{00000000-0005-0000-0000-0000B2050000}"/>
    <cellStyle name="標準 71" xfId="1444" xr:uid="{00000000-0005-0000-0000-0000B3050000}"/>
    <cellStyle name="標準 71 2" xfId="1445" xr:uid="{00000000-0005-0000-0000-0000B4050000}"/>
    <cellStyle name="標準 71 2 2" xfId="1446" xr:uid="{00000000-0005-0000-0000-0000B5050000}"/>
    <cellStyle name="標準 71 2 2 2" xfId="1447" xr:uid="{00000000-0005-0000-0000-0000B6050000}"/>
    <cellStyle name="標準 71 2 2 3" xfId="1448" xr:uid="{00000000-0005-0000-0000-0000B7050000}"/>
    <cellStyle name="標準 71 2 2 4" xfId="1449" xr:uid="{00000000-0005-0000-0000-0000B8050000}"/>
    <cellStyle name="標準 71 2 3" xfId="1450" xr:uid="{00000000-0005-0000-0000-0000B9050000}"/>
    <cellStyle name="標準 71 2 4" xfId="1451" xr:uid="{00000000-0005-0000-0000-0000BA050000}"/>
    <cellStyle name="標準 71 2 5" xfId="1452" xr:uid="{00000000-0005-0000-0000-0000BB050000}"/>
    <cellStyle name="標準 71 3" xfId="1453" xr:uid="{00000000-0005-0000-0000-0000BC050000}"/>
    <cellStyle name="標準 71 3 2" xfId="1454" xr:uid="{00000000-0005-0000-0000-0000BD050000}"/>
    <cellStyle name="標準 71 3 3" xfId="1455" xr:uid="{00000000-0005-0000-0000-0000BE050000}"/>
    <cellStyle name="標準 71 3 4" xfId="1456" xr:uid="{00000000-0005-0000-0000-0000BF050000}"/>
    <cellStyle name="標準 71 4" xfId="1457" xr:uid="{00000000-0005-0000-0000-0000C0050000}"/>
    <cellStyle name="標準 71 5" xfId="1458" xr:uid="{00000000-0005-0000-0000-0000C1050000}"/>
    <cellStyle name="標準 71 6" xfId="1459" xr:uid="{00000000-0005-0000-0000-0000C2050000}"/>
    <cellStyle name="標準 71 7" xfId="1460" xr:uid="{00000000-0005-0000-0000-0000C3050000}"/>
    <cellStyle name="標準 71 8" xfId="1461" xr:uid="{00000000-0005-0000-0000-0000C4050000}"/>
    <cellStyle name="標準 72" xfId="1462" xr:uid="{00000000-0005-0000-0000-0000C5050000}"/>
    <cellStyle name="標準 72 2" xfId="1463" xr:uid="{00000000-0005-0000-0000-0000C6050000}"/>
    <cellStyle name="標準 72 2 2" xfId="1464" xr:uid="{00000000-0005-0000-0000-0000C7050000}"/>
    <cellStyle name="標準 72 2 2 2" xfId="1465" xr:uid="{00000000-0005-0000-0000-0000C8050000}"/>
    <cellStyle name="標準 72 2 2 3" xfId="1466" xr:uid="{00000000-0005-0000-0000-0000C9050000}"/>
    <cellStyle name="標準 72 2 2 4" xfId="1467" xr:uid="{00000000-0005-0000-0000-0000CA050000}"/>
    <cellStyle name="標準 72 2 3" xfId="1468" xr:uid="{00000000-0005-0000-0000-0000CB050000}"/>
    <cellStyle name="標準 72 2 4" xfId="1469" xr:uid="{00000000-0005-0000-0000-0000CC050000}"/>
    <cellStyle name="標準 72 2 5" xfId="1470" xr:uid="{00000000-0005-0000-0000-0000CD050000}"/>
    <cellStyle name="標準 72 3" xfId="1471" xr:uid="{00000000-0005-0000-0000-0000CE050000}"/>
    <cellStyle name="標準 72 3 2" xfId="1472" xr:uid="{00000000-0005-0000-0000-0000CF050000}"/>
    <cellStyle name="標準 72 3 3" xfId="1473" xr:uid="{00000000-0005-0000-0000-0000D0050000}"/>
    <cellStyle name="標準 72 3 4" xfId="1474" xr:uid="{00000000-0005-0000-0000-0000D1050000}"/>
    <cellStyle name="標準 72 4" xfId="1475" xr:uid="{00000000-0005-0000-0000-0000D2050000}"/>
    <cellStyle name="標準 72 5" xfId="1476" xr:uid="{00000000-0005-0000-0000-0000D3050000}"/>
    <cellStyle name="標準 72 6" xfId="1477" xr:uid="{00000000-0005-0000-0000-0000D4050000}"/>
    <cellStyle name="標準 72 7" xfId="1478" xr:uid="{00000000-0005-0000-0000-0000D5050000}"/>
    <cellStyle name="標準 72 8" xfId="1479" xr:uid="{00000000-0005-0000-0000-0000D6050000}"/>
    <cellStyle name="標準 73" xfId="1480" xr:uid="{00000000-0005-0000-0000-0000D7050000}"/>
    <cellStyle name="標準 73 2" xfId="1481" xr:uid="{00000000-0005-0000-0000-0000D8050000}"/>
    <cellStyle name="標準 73 2 2" xfId="1482" xr:uid="{00000000-0005-0000-0000-0000D9050000}"/>
    <cellStyle name="標準 73 2 2 2" xfId="1483" xr:uid="{00000000-0005-0000-0000-0000DA050000}"/>
    <cellStyle name="標準 73 2 2 3" xfId="1484" xr:uid="{00000000-0005-0000-0000-0000DB050000}"/>
    <cellStyle name="標準 73 2 2 4" xfId="1485" xr:uid="{00000000-0005-0000-0000-0000DC050000}"/>
    <cellStyle name="標準 73 2 3" xfId="1486" xr:uid="{00000000-0005-0000-0000-0000DD050000}"/>
    <cellStyle name="標準 73 2 4" xfId="1487" xr:uid="{00000000-0005-0000-0000-0000DE050000}"/>
    <cellStyle name="標準 73 2 5" xfId="1488" xr:uid="{00000000-0005-0000-0000-0000DF050000}"/>
    <cellStyle name="標準 73 3" xfId="1489" xr:uid="{00000000-0005-0000-0000-0000E0050000}"/>
    <cellStyle name="標準 73 3 2" xfId="1490" xr:uid="{00000000-0005-0000-0000-0000E1050000}"/>
    <cellStyle name="標準 73 3 3" xfId="1491" xr:uid="{00000000-0005-0000-0000-0000E2050000}"/>
    <cellStyle name="標準 73 3 4" xfId="1492" xr:uid="{00000000-0005-0000-0000-0000E3050000}"/>
    <cellStyle name="標準 73 4" xfId="1493" xr:uid="{00000000-0005-0000-0000-0000E4050000}"/>
    <cellStyle name="標準 73 5" xfId="1494" xr:uid="{00000000-0005-0000-0000-0000E5050000}"/>
    <cellStyle name="標準 73 6" xfId="1495" xr:uid="{00000000-0005-0000-0000-0000E6050000}"/>
    <cellStyle name="標準 74" xfId="1496" xr:uid="{00000000-0005-0000-0000-0000E7050000}"/>
    <cellStyle name="標準 74 2" xfId="1497" xr:uid="{00000000-0005-0000-0000-0000E8050000}"/>
    <cellStyle name="標準 74 2 2" xfId="1498" xr:uid="{00000000-0005-0000-0000-0000E9050000}"/>
    <cellStyle name="標準 74 2 2 2" xfId="1499" xr:uid="{00000000-0005-0000-0000-0000EA050000}"/>
    <cellStyle name="標準 74 2 2 3" xfId="1500" xr:uid="{00000000-0005-0000-0000-0000EB050000}"/>
    <cellStyle name="標準 74 2 2 4" xfId="1501" xr:uid="{00000000-0005-0000-0000-0000EC050000}"/>
    <cellStyle name="標準 74 2 3" xfId="1502" xr:uid="{00000000-0005-0000-0000-0000ED050000}"/>
    <cellStyle name="標準 74 2 4" xfId="1503" xr:uid="{00000000-0005-0000-0000-0000EE050000}"/>
    <cellStyle name="標準 74 2 5" xfId="1504" xr:uid="{00000000-0005-0000-0000-0000EF050000}"/>
    <cellStyle name="標準 74 3" xfId="1505" xr:uid="{00000000-0005-0000-0000-0000F0050000}"/>
    <cellStyle name="標準 74 3 2" xfId="1506" xr:uid="{00000000-0005-0000-0000-0000F1050000}"/>
    <cellStyle name="標準 74 3 3" xfId="1507" xr:uid="{00000000-0005-0000-0000-0000F2050000}"/>
    <cellStyle name="標準 74 3 4" xfId="1508" xr:uid="{00000000-0005-0000-0000-0000F3050000}"/>
    <cellStyle name="標準 74 4" xfId="1509" xr:uid="{00000000-0005-0000-0000-0000F4050000}"/>
    <cellStyle name="標準 74 5" xfId="1510" xr:uid="{00000000-0005-0000-0000-0000F5050000}"/>
    <cellStyle name="標準 74 6" xfId="1511" xr:uid="{00000000-0005-0000-0000-0000F6050000}"/>
    <cellStyle name="標準 75" xfId="1512" xr:uid="{00000000-0005-0000-0000-0000F7050000}"/>
    <cellStyle name="標準 75 2" xfId="1513" xr:uid="{00000000-0005-0000-0000-0000F8050000}"/>
    <cellStyle name="標準 75 2 2" xfId="1514" xr:uid="{00000000-0005-0000-0000-0000F9050000}"/>
    <cellStyle name="標準 75 2 2 2" xfId="1515" xr:uid="{00000000-0005-0000-0000-0000FA050000}"/>
    <cellStyle name="標準 75 2 2 3" xfId="1516" xr:uid="{00000000-0005-0000-0000-0000FB050000}"/>
    <cellStyle name="標準 75 2 2 4" xfId="1517" xr:uid="{00000000-0005-0000-0000-0000FC050000}"/>
    <cellStyle name="標準 75 2 3" xfId="1518" xr:uid="{00000000-0005-0000-0000-0000FD050000}"/>
    <cellStyle name="標準 75 2 4" xfId="1519" xr:uid="{00000000-0005-0000-0000-0000FE050000}"/>
    <cellStyle name="標準 75 2 5" xfId="1520" xr:uid="{00000000-0005-0000-0000-0000FF050000}"/>
    <cellStyle name="標準 75 3" xfId="1521" xr:uid="{00000000-0005-0000-0000-000000060000}"/>
    <cellStyle name="標準 75 3 2" xfId="1522" xr:uid="{00000000-0005-0000-0000-000001060000}"/>
    <cellStyle name="標準 75 3 3" xfId="1523" xr:uid="{00000000-0005-0000-0000-000002060000}"/>
    <cellStyle name="標準 75 3 4" xfId="1524" xr:uid="{00000000-0005-0000-0000-000003060000}"/>
    <cellStyle name="標準 75 4" xfId="1525" xr:uid="{00000000-0005-0000-0000-000004060000}"/>
    <cellStyle name="標準 75 5" xfId="1526" xr:uid="{00000000-0005-0000-0000-000005060000}"/>
    <cellStyle name="標準 75 6" xfId="1527" xr:uid="{00000000-0005-0000-0000-000006060000}"/>
    <cellStyle name="標準 76" xfId="1528" xr:uid="{00000000-0005-0000-0000-000007060000}"/>
    <cellStyle name="標準 76 2" xfId="1529" xr:uid="{00000000-0005-0000-0000-000008060000}"/>
    <cellStyle name="標準 76 2 2" xfId="1530" xr:uid="{00000000-0005-0000-0000-000009060000}"/>
    <cellStyle name="標準 76 2 2 2" xfId="1531" xr:uid="{00000000-0005-0000-0000-00000A060000}"/>
    <cellStyle name="標準 76 2 2 3" xfId="1532" xr:uid="{00000000-0005-0000-0000-00000B060000}"/>
    <cellStyle name="標準 76 2 2 4" xfId="1533" xr:uid="{00000000-0005-0000-0000-00000C060000}"/>
    <cellStyle name="標準 76 2 3" xfId="1534" xr:uid="{00000000-0005-0000-0000-00000D060000}"/>
    <cellStyle name="標準 76 2 4" xfId="1535" xr:uid="{00000000-0005-0000-0000-00000E060000}"/>
    <cellStyle name="標準 76 2 5" xfId="1536" xr:uid="{00000000-0005-0000-0000-00000F060000}"/>
    <cellStyle name="標準 76 3" xfId="1537" xr:uid="{00000000-0005-0000-0000-000010060000}"/>
    <cellStyle name="標準 76 3 2" xfId="1538" xr:uid="{00000000-0005-0000-0000-000011060000}"/>
    <cellStyle name="標準 76 3 3" xfId="1539" xr:uid="{00000000-0005-0000-0000-000012060000}"/>
    <cellStyle name="標準 76 3 4" xfId="1540" xr:uid="{00000000-0005-0000-0000-000013060000}"/>
    <cellStyle name="標準 76 4" xfId="1541" xr:uid="{00000000-0005-0000-0000-000014060000}"/>
    <cellStyle name="標準 76 5" xfId="1542" xr:uid="{00000000-0005-0000-0000-000015060000}"/>
    <cellStyle name="標準 76 6" xfId="1543" xr:uid="{00000000-0005-0000-0000-000016060000}"/>
    <cellStyle name="標準 77" xfId="1544" xr:uid="{00000000-0005-0000-0000-000017060000}"/>
    <cellStyle name="標準 77 2" xfId="1545" xr:uid="{00000000-0005-0000-0000-000018060000}"/>
    <cellStyle name="標準 77 2 2" xfId="1546" xr:uid="{00000000-0005-0000-0000-000019060000}"/>
    <cellStyle name="標準 77 2 2 2" xfId="1547" xr:uid="{00000000-0005-0000-0000-00001A060000}"/>
    <cellStyle name="標準 77 2 2 3" xfId="1548" xr:uid="{00000000-0005-0000-0000-00001B060000}"/>
    <cellStyle name="標準 77 2 2 4" xfId="1549" xr:uid="{00000000-0005-0000-0000-00001C060000}"/>
    <cellStyle name="標準 77 2 3" xfId="1550" xr:uid="{00000000-0005-0000-0000-00001D060000}"/>
    <cellStyle name="標準 77 2 4" xfId="1551" xr:uid="{00000000-0005-0000-0000-00001E060000}"/>
    <cellStyle name="標準 77 2 5" xfId="1552" xr:uid="{00000000-0005-0000-0000-00001F060000}"/>
    <cellStyle name="標準 77 3" xfId="1553" xr:uid="{00000000-0005-0000-0000-000020060000}"/>
    <cellStyle name="標準 77 3 2" xfId="1554" xr:uid="{00000000-0005-0000-0000-000021060000}"/>
    <cellStyle name="標準 77 3 3" xfId="1555" xr:uid="{00000000-0005-0000-0000-000022060000}"/>
    <cellStyle name="標準 77 3 4" xfId="1556" xr:uid="{00000000-0005-0000-0000-000023060000}"/>
    <cellStyle name="標準 77 4" xfId="1557" xr:uid="{00000000-0005-0000-0000-000024060000}"/>
    <cellStyle name="標準 77 5" xfId="1558" xr:uid="{00000000-0005-0000-0000-000025060000}"/>
    <cellStyle name="標準 77 6" xfId="1559" xr:uid="{00000000-0005-0000-0000-000026060000}"/>
    <cellStyle name="標準 78" xfId="1560" xr:uid="{00000000-0005-0000-0000-000027060000}"/>
    <cellStyle name="標準 78 2" xfId="1561" xr:uid="{00000000-0005-0000-0000-000028060000}"/>
    <cellStyle name="標準 78 2 2" xfId="1562" xr:uid="{00000000-0005-0000-0000-000029060000}"/>
    <cellStyle name="標準 78 2 2 2" xfId="1563" xr:uid="{00000000-0005-0000-0000-00002A060000}"/>
    <cellStyle name="標準 78 2 2 3" xfId="1564" xr:uid="{00000000-0005-0000-0000-00002B060000}"/>
    <cellStyle name="標準 78 2 2 4" xfId="1565" xr:uid="{00000000-0005-0000-0000-00002C060000}"/>
    <cellStyle name="標準 78 2 3" xfId="1566" xr:uid="{00000000-0005-0000-0000-00002D060000}"/>
    <cellStyle name="標準 78 2 4" xfId="1567" xr:uid="{00000000-0005-0000-0000-00002E060000}"/>
    <cellStyle name="標準 78 2 5" xfId="1568" xr:uid="{00000000-0005-0000-0000-00002F060000}"/>
    <cellStyle name="標準 78 3" xfId="1569" xr:uid="{00000000-0005-0000-0000-000030060000}"/>
    <cellStyle name="標準 78 3 2" xfId="1570" xr:uid="{00000000-0005-0000-0000-000031060000}"/>
    <cellStyle name="標準 78 3 3" xfId="1571" xr:uid="{00000000-0005-0000-0000-000032060000}"/>
    <cellStyle name="標準 78 3 4" xfId="1572" xr:uid="{00000000-0005-0000-0000-000033060000}"/>
    <cellStyle name="標準 78 4" xfId="1573" xr:uid="{00000000-0005-0000-0000-000034060000}"/>
    <cellStyle name="標準 78 5" xfId="1574" xr:uid="{00000000-0005-0000-0000-000035060000}"/>
    <cellStyle name="標準 78 6" xfId="1575" xr:uid="{00000000-0005-0000-0000-000036060000}"/>
    <cellStyle name="標準 79" xfId="1576" xr:uid="{00000000-0005-0000-0000-000037060000}"/>
    <cellStyle name="標準 79 2" xfId="1577" xr:uid="{00000000-0005-0000-0000-000038060000}"/>
    <cellStyle name="標準 79 2 2" xfId="1578" xr:uid="{00000000-0005-0000-0000-000039060000}"/>
    <cellStyle name="標準 79 2 2 2" xfId="1579" xr:uid="{00000000-0005-0000-0000-00003A060000}"/>
    <cellStyle name="標準 79 2 2 3" xfId="1580" xr:uid="{00000000-0005-0000-0000-00003B060000}"/>
    <cellStyle name="標準 79 2 2 4" xfId="1581" xr:uid="{00000000-0005-0000-0000-00003C060000}"/>
    <cellStyle name="標準 79 2 3" xfId="1582" xr:uid="{00000000-0005-0000-0000-00003D060000}"/>
    <cellStyle name="標準 79 2 4" xfId="1583" xr:uid="{00000000-0005-0000-0000-00003E060000}"/>
    <cellStyle name="標準 79 2 5" xfId="1584" xr:uid="{00000000-0005-0000-0000-00003F060000}"/>
    <cellStyle name="標準 79 3" xfId="1585" xr:uid="{00000000-0005-0000-0000-000040060000}"/>
    <cellStyle name="標準 79 3 2" xfId="1586" xr:uid="{00000000-0005-0000-0000-000041060000}"/>
    <cellStyle name="標準 79 3 3" xfId="1587" xr:uid="{00000000-0005-0000-0000-000042060000}"/>
    <cellStyle name="標準 79 3 4" xfId="1588" xr:uid="{00000000-0005-0000-0000-000043060000}"/>
    <cellStyle name="標準 79 4" xfId="1589" xr:uid="{00000000-0005-0000-0000-000044060000}"/>
    <cellStyle name="標準 79 5" xfId="1590" xr:uid="{00000000-0005-0000-0000-000045060000}"/>
    <cellStyle name="標準 79 6" xfId="1591" xr:uid="{00000000-0005-0000-0000-000046060000}"/>
    <cellStyle name="標準 8" xfId="1592" xr:uid="{00000000-0005-0000-0000-000047060000}"/>
    <cellStyle name="標準 8 2" xfId="1593" xr:uid="{00000000-0005-0000-0000-000048060000}"/>
    <cellStyle name="標準 8 3" xfId="1594" xr:uid="{00000000-0005-0000-0000-000049060000}"/>
    <cellStyle name="標準 8 4" xfId="1595" xr:uid="{00000000-0005-0000-0000-00004A060000}"/>
    <cellStyle name="標準 8 5" xfId="1596" xr:uid="{00000000-0005-0000-0000-00004B060000}"/>
    <cellStyle name="標準 8 6" xfId="1597" xr:uid="{00000000-0005-0000-0000-00004C060000}"/>
    <cellStyle name="標準 80" xfId="1598" xr:uid="{00000000-0005-0000-0000-00004D060000}"/>
    <cellStyle name="標準 80 2" xfId="1599" xr:uid="{00000000-0005-0000-0000-00004E060000}"/>
    <cellStyle name="標準 80 2 2" xfId="1600" xr:uid="{00000000-0005-0000-0000-00004F060000}"/>
    <cellStyle name="標準 80 2 2 2" xfId="1601" xr:uid="{00000000-0005-0000-0000-000050060000}"/>
    <cellStyle name="標準 80 2 2 3" xfId="1602" xr:uid="{00000000-0005-0000-0000-000051060000}"/>
    <cellStyle name="標準 80 2 2 4" xfId="1603" xr:uid="{00000000-0005-0000-0000-000052060000}"/>
    <cellStyle name="標準 80 2 3" xfId="1604" xr:uid="{00000000-0005-0000-0000-000053060000}"/>
    <cellStyle name="標準 80 2 4" xfId="1605" xr:uid="{00000000-0005-0000-0000-000054060000}"/>
    <cellStyle name="標準 80 2 5" xfId="1606" xr:uid="{00000000-0005-0000-0000-000055060000}"/>
    <cellStyle name="標準 80 3" xfId="1607" xr:uid="{00000000-0005-0000-0000-000056060000}"/>
    <cellStyle name="標準 80 3 2" xfId="1608" xr:uid="{00000000-0005-0000-0000-000057060000}"/>
    <cellStyle name="標準 80 3 3" xfId="1609" xr:uid="{00000000-0005-0000-0000-000058060000}"/>
    <cellStyle name="標準 80 3 4" xfId="1610" xr:uid="{00000000-0005-0000-0000-000059060000}"/>
    <cellStyle name="標準 80 4" xfId="1611" xr:uid="{00000000-0005-0000-0000-00005A060000}"/>
    <cellStyle name="標準 80 5" xfId="1612" xr:uid="{00000000-0005-0000-0000-00005B060000}"/>
    <cellStyle name="標準 80 6" xfId="1613" xr:uid="{00000000-0005-0000-0000-00005C060000}"/>
    <cellStyle name="標準 81" xfId="1614" xr:uid="{00000000-0005-0000-0000-00005D060000}"/>
    <cellStyle name="標準 81 2" xfId="1615" xr:uid="{00000000-0005-0000-0000-00005E060000}"/>
    <cellStyle name="標準 81 2 2" xfId="1616" xr:uid="{00000000-0005-0000-0000-00005F060000}"/>
    <cellStyle name="標準 81 2 2 2" xfId="1617" xr:uid="{00000000-0005-0000-0000-000060060000}"/>
    <cellStyle name="標準 81 2 2 3" xfId="1618" xr:uid="{00000000-0005-0000-0000-000061060000}"/>
    <cellStyle name="標準 81 2 2 4" xfId="1619" xr:uid="{00000000-0005-0000-0000-000062060000}"/>
    <cellStyle name="標準 81 2 3" xfId="1620" xr:uid="{00000000-0005-0000-0000-000063060000}"/>
    <cellStyle name="標準 81 2 4" xfId="1621" xr:uid="{00000000-0005-0000-0000-000064060000}"/>
    <cellStyle name="標準 81 2 5" xfId="1622" xr:uid="{00000000-0005-0000-0000-000065060000}"/>
    <cellStyle name="標準 81 3" xfId="1623" xr:uid="{00000000-0005-0000-0000-000066060000}"/>
    <cellStyle name="標準 81 3 2" xfId="1624" xr:uid="{00000000-0005-0000-0000-000067060000}"/>
    <cellStyle name="標準 81 3 3" xfId="1625" xr:uid="{00000000-0005-0000-0000-000068060000}"/>
    <cellStyle name="標準 81 3 4" xfId="1626" xr:uid="{00000000-0005-0000-0000-000069060000}"/>
    <cellStyle name="標準 81 4" xfId="1627" xr:uid="{00000000-0005-0000-0000-00006A060000}"/>
    <cellStyle name="標準 81 5" xfId="1628" xr:uid="{00000000-0005-0000-0000-00006B060000}"/>
    <cellStyle name="標準 81 6" xfId="1629" xr:uid="{00000000-0005-0000-0000-00006C060000}"/>
    <cellStyle name="標準 82" xfId="1630" xr:uid="{00000000-0005-0000-0000-00006D060000}"/>
    <cellStyle name="標準 82 2" xfId="1631" xr:uid="{00000000-0005-0000-0000-00006E060000}"/>
    <cellStyle name="標準 82 2 2" xfId="1632" xr:uid="{00000000-0005-0000-0000-00006F060000}"/>
    <cellStyle name="標準 82 2 2 2" xfId="1633" xr:uid="{00000000-0005-0000-0000-000070060000}"/>
    <cellStyle name="標準 82 2 2 3" xfId="1634" xr:uid="{00000000-0005-0000-0000-000071060000}"/>
    <cellStyle name="標準 82 2 2 4" xfId="1635" xr:uid="{00000000-0005-0000-0000-000072060000}"/>
    <cellStyle name="標準 82 2 3" xfId="1636" xr:uid="{00000000-0005-0000-0000-000073060000}"/>
    <cellStyle name="標準 82 2 4" xfId="1637" xr:uid="{00000000-0005-0000-0000-000074060000}"/>
    <cellStyle name="標準 82 2 5" xfId="1638" xr:uid="{00000000-0005-0000-0000-000075060000}"/>
    <cellStyle name="標準 82 3" xfId="1639" xr:uid="{00000000-0005-0000-0000-000076060000}"/>
    <cellStyle name="標準 82 3 2" xfId="1640" xr:uid="{00000000-0005-0000-0000-000077060000}"/>
    <cellStyle name="標準 82 3 3" xfId="1641" xr:uid="{00000000-0005-0000-0000-000078060000}"/>
    <cellStyle name="標準 82 3 4" xfId="1642" xr:uid="{00000000-0005-0000-0000-000079060000}"/>
    <cellStyle name="標準 82 4" xfId="1643" xr:uid="{00000000-0005-0000-0000-00007A060000}"/>
    <cellStyle name="標準 82 5" xfId="1644" xr:uid="{00000000-0005-0000-0000-00007B060000}"/>
    <cellStyle name="標準 82 6" xfId="1645" xr:uid="{00000000-0005-0000-0000-00007C060000}"/>
    <cellStyle name="標準 83" xfId="1646" xr:uid="{00000000-0005-0000-0000-00007D060000}"/>
    <cellStyle name="標準 83 2" xfId="1647" xr:uid="{00000000-0005-0000-0000-00007E060000}"/>
    <cellStyle name="標準 83 2 2" xfId="1648" xr:uid="{00000000-0005-0000-0000-00007F060000}"/>
    <cellStyle name="標準 83 2 2 2" xfId="1649" xr:uid="{00000000-0005-0000-0000-000080060000}"/>
    <cellStyle name="標準 83 2 2 3" xfId="1650" xr:uid="{00000000-0005-0000-0000-000081060000}"/>
    <cellStyle name="標準 83 2 2 4" xfId="1651" xr:uid="{00000000-0005-0000-0000-000082060000}"/>
    <cellStyle name="標準 83 2 3" xfId="1652" xr:uid="{00000000-0005-0000-0000-000083060000}"/>
    <cellStyle name="標準 83 2 4" xfId="1653" xr:uid="{00000000-0005-0000-0000-000084060000}"/>
    <cellStyle name="標準 83 2 5" xfId="1654" xr:uid="{00000000-0005-0000-0000-000085060000}"/>
    <cellStyle name="標準 83 3" xfId="1655" xr:uid="{00000000-0005-0000-0000-000086060000}"/>
    <cellStyle name="標準 83 3 2" xfId="1656" xr:uid="{00000000-0005-0000-0000-000087060000}"/>
    <cellStyle name="標準 83 3 3" xfId="1657" xr:uid="{00000000-0005-0000-0000-000088060000}"/>
    <cellStyle name="標準 83 3 4" xfId="1658" xr:uid="{00000000-0005-0000-0000-000089060000}"/>
    <cellStyle name="標準 83 4" xfId="1659" xr:uid="{00000000-0005-0000-0000-00008A060000}"/>
    <cellStyle name="標準 83 5" xfId="1660" xr:uid="{00000000-0005-0000-0000-00008B060000}"/>
    <cellStyle name="標準 83 6" xfId="1661" xr:uid="{00000000-0005-0000-0000-00008C060000}"/>
    <cellStyle name="標準 84" xfId="1662" xr:uid="{00000000-0005-0000-0000-00008D060000}"/>
    <cellStyle name="標準 84 2" xfId="1663" xr:uid="{00000000-0005-0000-0000-00008E060000}"/>
    <cellStyle name="標準 84 2 2" xfId="1664" xr:uid="{00000000-0005-0000-0000-00008F060000}"/>
    <cellStyle name="標準 84 2 2 2" xfId="1665" xr:uid="{00000000-0005-0000-0000-000090060000}"/>
    <cellStyle name="標準 84 2 2 3" xfId="1666" xr:uid="{00000000-0005-0000-0000-000091060000}"/>
    <cellStyle name="標準 84 2 2 4" xfId="1667" xr:uid="{00000000-0005-0000-0000-000092060000}"/>
    <cellStyle name="標準 84 2 3" xfId="1668" xr:uid="{00000000-0005-0000-0000-000093060000}"/>
    <cellStyle name="標準 84 2 4" xfId="1669" xr:uid="{00000000-0005-0000-0000-000094060000}"/>
    <cellStyle name="標準 84 2 5" xfId="1670" xr:uid="{00000000-0005-0000-0000-000095060000}"/>
    <cellStyle name="標準 84 3" xfId="1671" xr:uid="{00000000-0005-0000-0000-000096060000}"/>
    <cellStyle name="標準 84 3 2" xfId="1672" xr:uid="{00000000-0005-0000-0000-000097060000}"/>
    <cellStyle name="標準 84 3 3" xfId="1673" xr:uid="{00000000-0005-0000-0000-000098060000}"/>
    <cellStyle name="標準 84 3 4" xfId="1674" xr:uid="{00000000-0005-0000-0000-000099060000}"/>
    <cellStyle name="標準 84 4" xfId="1675" xr:uid="{00000000-0005-0000-0000-00009A060000}"/>
    <cellStyle name="標準 84 5" xfId="1676" xr:uid="{00000000-0005-0000-0000-00009B060000}"/>
    <cellStyle name="標準 84 6" xfId="1677" xr:uid="{00000000-0005-0000-0000-00009C060000}"/>
    <cellStyle name="標準 85" xfId="1678" xr:uid="{00000000-0005-0000-0000-00009D060000}"/>
    <cellStyle name="標準 85 2" xfId="1679" xr:uid="{00000000-0005-0000-0000-00009E060000}"/>
    <cellStyle name="標準 85 2 2" xfId="1680" xr:uid="{00000000-0005-0000-0000-00009F060000}"/>
    <cellStyle name="標準 85 2 2 2" xfId="1681" xr:uid="{00000000-0005-0000-0000-0000A0060000}"/>
    <cellStyle name="標準 85 2 2 3" xfId="1682" xr:uid="{00000000-0005-0000-0000-0000A1060000}"/>
    <cellStyle name="標準 85 2 2 4" xfId="1683" xr:uid="{00000000-0005-0000-0000-0000A2060000}"/>
    <cellStyle name="標準 85 2 3" xfId="1684" xr:uid="{00000000-0005-0000-0000-0000A3060000}"/>
    <cellStyle name="標準 85 2 4" xfId="1685" xr:uid="{00000000-0005-0000-0000-0000A4060000}"/>
    <cellStyle name="標準 85 2 5" xfId="1686" xr:uid="{00000000-0005-0000-0000-0000A5060000}"/>
    <cellStyle name="標準 85 3" xfId="1687" xr:uid="{00000000-0005-0000-0000-0000A6060000}"/>
    <cellStyle name="標準 85 3 2" xfId="1688" xr:uid="{00000000-0005-0000-0000-0000A7060000}"/>
    <cellStyle name="標準 85 3 3" xfId="1689" xr:uid="{00000000-0005-0000-0000-0000A8060000}"/>
    <cellStyle name="標準 85 3 4" xfId="1690" xr:uid="{00000000-0005-0000-0000-0000A9060000}"/>
    <cellStyle name="標準 85 4" xfId="1691" xr:uid="{00000000-0005-0000-0000-0000AA060000}"/>
    <cellStyle name="標準 85 5" xfId="1692" xr:uid="{00000000-0005-0000-0000-0000AB060000}"/>
    <cellStyle name="標準 85 6" xfId="1693" xr:uid="{00000000-0005-0000-0000-0000AC060000}"/>
    <cellStyle name="標準 86" xfId="1694" xr:uid="{00000000-0005-0000-0000-0000AD060000}"/>
    <cellStyle name="標準 86 2" xfId="1695" xr:uid="{00000000-0005-0000-0000-0000AE060000}"/>
    <cellStyle name="標準 86 2 2" xfId="1696" xr:uid="{00000000-0005-0000-0000-0000AF060000}"/>
    <cellStyle name="標準 86 2 2 2" xfId="1697" xr:uid="{00000000-0005-0000-0000-0000B0060000}"/>
    <cellStyle name="標準 86 2 2 3" xfId="1698" xr:uid="{00000000-0005-0000-0000-0000B1060000}"/>
    <cellStyle name="標準 86 2 2 4" xfId="1699" xr:uid="{00000000-0005-0000-0000-0000B2060000}"/>
    <cellStyle name="標準 86 2 3" xfId="1700" xr:uid="{00000000-0005-0000-0000-0000B3060000}"/>
    <cellStyle name="標準 86 2 4" xfId="1701" xr:uid="{00000000-0005-0000-0000-0000B4060000}"/>
    <cellStyle name="標準 86 2 5" xfId="1702" xr:uid="{00000000-0005-0000-0000-0000B5060000}"/>
    <cellStyle name="標準 86 3" xfId="1703" xr:uid="{00000000-0005-0000-0000-0000B6060000}"/>
    <cellStyle name="標準 86 3 2" xfId="1704" xr:uid="{00000000-0005-0000-0000-0000B7060000}"/>
    <cellStyle name="標準 86 3 3" xfId="1705" xr:uid="{00000000-0005-0000-0000-0000B8060000}"/>
    <cellStyle name="標準 86 3 4" xfId="1706" xr:uid="{00000000-0005-0000-0000-0000B9060000}"/>
    <cellStyle name="標準 86 4" xfId="1707" xr:uid="{00000000-0005-0000-0000-0000BA060000}"/>
    <cellStyle name="標準 86 5" xfId="1708" xr:uid="{00000000-0005-0000-0000-0000BB060000}"/>
    <cellStyle name="標準 86 6" xfId="1709" xr:uid="{00000000-0005-0000-0000-0000BC060000}"/>
    <cellStyle name="標準 87" xfId="1710" xr:uid="{00000000-0005-0000-0000-0000BD060000}"/>
    <cellStyle name="標準 87 2" xfId="1711" xr:uid="{00000000-0005-0000-0000-0000BE060000}"/>
    <cellStyle name="標準 87 2 2" xfId="1712" xr:uid="{00000000-0005-0000-0000-0000BF060000}"/>
    <cellStyle name="標準 87 2 2 2" xfId="1713" xr:uid="{00000000-0005-0000-0000-0000C0060000}"/>
    <cellStyle name="標準 87 2 2 3" xfId="1714" xr:uid="{00000000-0005-0000-0000-0000C1060000}"/>
    <cellStyle name="標準 87 2 2 4" xfId="1715" xr:uid="{00000000-0005-0000-0000-0000C2060000}"/>
    <cellStyle name="標準 87 2 3" xfId="1716" xr:uid="{00000000-0005-0000-0000-0000C3060000}"/>
    <cellStyle name="標準 87 2 4" xfId="1717" xr:uid="{00000000-0005-0000-0000-0000C4060000}"/>
    <cellStyle name="標準 87 2 5" xfId="1718" xr:uid="{00000000-0005-0000-0000-0000C5060000}"/>
    <cellStyle name="標準 87 3" xfId="1719" xr:uid="{00000000-0005-0000-0000-0000C6060000}"/>
    <cellStyle name="標準 87 3 2" xfId="1720" xr:uid="{00000000-0005-0000-0000-0000C7060000}"/>
    <cellStyle name="標準 87 3 3" xfId="1721" xr:uid="{00000000-0005-0000-0000-0000C8060000}"/>
    <cellStyle name="標準 87 3 4" xfId="1722" xr:uid="{00000000-0005-0000-0000-0000C9060000}"/>
    <cellStyle name="標準 87 4" xfId="1723" xr:uid="{00000000-0005-0000-0000-0000CA060000}"/>
    <cellStyle name="標準 87 5" xfId="1724" xr:uid="{00000000-0005-0000-0000-0000CB060000}"/>
    <cellStyle name="標準 87 6" xfId="1725" xr:uid="{00000000-0005-0000-0000-0000CC060000}"/>
    <cellStyle name="標準 88" xfId="1726" xr:uid="{00000000-0005-0000-0000-0000CD060000}"/>
    <cellStyle name="標準 88 2" xfId="1727" xr:uid="{00000000-0005-0000-0000-0000CE060000}"/>
    <cellStyle name="標準 88 2 2" xfId="1728" xr:uid="{00000000-0005-0000-0000-0000CF060000}"/>
    <cellStyle name="標準 88 2 2 2" xfId="1729" xr:uid="{00000000-0005-0000-0000-0000D0060000}"/>
    <cellStyle name="標準 88 2 2 3" xfId="1730" xr:uid="{00000000-0005-0000-0000-0000D1060000}"/>
    <cellStyle name="標準 88 2 2 4" xfId="1731" xr:uid="{00000000-0005-0000-0000-0000D2060000}"/>
    <cellStyle name="標準 88 2 3" xfId="1732" xr:uid="{00000000-0005-0000-0000-0000D3060000}"/>
    <cellStyle name="標準 88 2 4" xfId="1733" xr:uid="{00000000-0005-0000-0000-0000D4060000}"/>
    <cellStyle name="標準 88 2 5" xfId="1734" xr:uid="{00000000-0005-0000-0000-0000D5060000}"/>
    <cellStyle name="標準 88 3" xfId="1735" xr:uid="{00000000-0005-0000-0000-0000D6060000}"/>
    <cellStyle name="標準 88 3 2" xfId="1736" xr:uid="{00000000-0005-0000-0000-0000D7060000}"/>
    <cellStyle name="標準 88 3 3" xfId="1737" xr:uid="{00000000-0005-0000-0000-0000D8060000}"/>
    <cellStyle name="標準 88 3 4" xfId="1738" xr:uid="{00000000-0005-0000-0000-0000D9060000}"/>
    <cellStyle name="標準 88 4" xfId="1739" xr:uid="{00000000-0005-0000-0000-0000DA060000}"/>
    <cellStyle name="標準 88 5" xfId="1740" xr:uid="{00000000-0005-0000-0000-0000DB060000}"/>
    <cellStyle name="標準 88 6" xfId="1741" xr:uid="{00000000-0005-0000-0000-0000DC060000}"/>
    <cellStyle name="標準 89" xfId="1742" xr:uid="{00000000-0005-0000-0000-0000DD060000}"/>
    <cellStyle name="標準 89 2" xfId="1743" xr:uid="{00000000-0005-0000-0000-0000DE060000}"/>
    <cellStyle name="標準 89 2 2" xfId="1744" xr:uid="{00000000-0005-0000-0000-0000DF060000}"/>
    <cellStyle name="標準 89 2 2 2" xfId="1745" xr:uid="{00000000-0005-0000-0000-0000E0060000}"/>
    <cellStyle name="標準 89 2 2 3" xfId="1746" xr:uid="{00000000-0005-0000-0000-0000E1060000}"/>
    <cellStyle name="標準 89 2 2 4" xfId="1747" xr:uid="{00000000-0005-0000-0000-0000E2060000}"/>
    <cellStyle name="標準 89 2 3" xfId="1748" xr:uid="{00000000-0005-0000-0000-0000E3060000}"/>
    <cellStyle name="標準 89 2 4" xfId="1749" xr:uid="{00000000-0005-0000-0000-0000E4060000}"/>
    <cellStyle name="標準 89 2 5" xfId="1750" xr:uid="{00000000-0005-0000-0000-0000E5060000}"/>
    <cellStyle name="標準 89 3" xfId="1751" xr:uid="{00000000-0005-0000-0000-0000E6060000}"/>
    <cellStyle name="標準 89 3 2" xfId="1752" xr:uid="{00000000-0005-0000-0000-0000E7060000}"/>
    <cellStyle name="標準 89 3 3" xfId="1753" xr:uid="{00000000-0005-0000-0000-0000E8060000}"/>
    <cellStyle name="標準 89 3 4" xfId="1754" xr:uid="{00000000-0005-0000-0000-0000E9060000}"/>
    <cellStyle name="標準 89 4" xfId="1755" xr:uid="{00000000-0005-0000-0000-0000EA060000}"/>
    <cellStyle name="標準 89 5" xfId="1756" xr:uid="{00000000-0005-0000-0000-0000EB060000}"/>
    <cellStyle name="標準 89 6" xfId="1757" xr:uid="{00000000-0005-0000-0000-0000EC060000}"/>
    <cellStyle name="標準 9" xfId="1758" xr:uid="{00000000-0005-0000-0000-0000ED060000}"/>
    <cellStyle name="標準 9 2" xfId="1759" xr:uid="{00000000-0005-0000-0000-0000EE060000}"/>
    <cellStyle name="標準 9 3" xfId="1760" xr:uid="{00000000-0005-0000-0000-0000EF060000}"/>
    <cellStyle name="標準 90" xfId="1761" xr:uid="{00000000-0005-0000-0000-0000F0060000}"/>
    <cellStyle name="標準 90 2" xfId="1762" xr:uid="{00000000-0005-0000-0000-0000F1060000}"/>
    <cellStyle name="標準 90 2 2" xfId="1763" xr:uid="{00000000-0005-0000-0000-0000F2060000}"/>
    <cellStyle name="標準 90 2 2 2" xfId="1764" xr:uid="{00000000-0005-0000-0000-0000F3060000}"/>
    <cellStyle name="標準 90 2 2 3" xfId="1765" xr:uid="{00000000-0005-0000-0000-0000F4060000}"/>
    <cellStyle name="標準 90 2 2 4" xfId="1766" xr:uid="{00000000-0005-0000-0000-0000F5060000}"/>
    <cellStyle name="標準 90 2 3" xfId="1767" xr:uid="{00000000-0005-0000-0000-0000F6060000}"/>
    <cellStyle name="標準 90 2 4" xfId="1768" xr:uid="{00000000-0005-0000-0000-0000F7060000}"/>
    <cellStyle name="標準 90 2 5" xfId="1769" xr:uid="{00000000-0005-0000-0000-0000F8060000}"/>
    <cellStyle name="標準 90 3" xfId="1770" xr:uid="{00000000-0005-0000-0000-0000F9060000}"/>
    <cellStyle name="標準 90 3 2" xfId="1771" xr:uid="{00000000-0005-0000-0000-0000FA060000}"/>
    <cellStyle name="標準 90 3 3" xfId="1772" xr:uid="{00000000-0005-0000-0000-0000FB060000}"/>
    <cellStyle name="標準 90 3 4" xfId="1773" xr:uid="{00000000-0005-0000-0000-0000FC060000}"/>
    <cellStyle name="標準 90 4" xfId="1774" xr:uid="{00000000-0005-0000-0000-0000FD060000}"/>
    <cellStyle name="標準 90 5" xfId="1775" xr:uid="{00000000-0005-0000-0000-0000FE060000}"/>
    <cellStyle name="標準 90 6" xfId="1776" xr:uid="{00000000-0005-0000-0000-0000FF060000}"/>
    <cellStyle name="標準 91" xfId="1777" xr:uid="{00000000-0005-0000-0000-000000070000}"/>
    <cellStyle name="標準 91 2" xfId="1778" xr:uid="{00000000-0005-0000-0000-000001070000}"/>
    <cellStyle name="標準 91 2 2" xfId="1779" xr:uid="{00000000-0005-0000-0000-000002070000}"/>
    <cellStyle name="標準 91 2 2 2" xfId="1780" xr:uid="{00000000-0005-0000-0000-000003070000}"/>
    <cellStyle name="標準 91 2 2 3" xfId="1781" xr:uid="{00000000-0005-0000-0000-000004070000}"/>
    <cellStyle name="標準 91 2 2 4" xfId="1782" xr:uid="{00000000-0005-0000-0000-000005070000}"/>
    <cellStyle name="標準 91 2 3" xfId="1783" xr:uid="{00000000-0005-0000-0000-000006070000}"/>
    <cellStyle name="標準 91 2 4" xfId="1784" xr:uid="{00000000-0005-0000-0000-000007070000}"/>
    <cellStyle name="標準 91 2 5" xfId="1785" xr:uid="{00000000-0005-0000-0000-000008070000}"/>
    <cellStyle name="標準 91 3" xfId="1786" xr:uid="{00000000-0005-0000-0000-000009070000}"/>
    <cellStyle name="標準 91 3 2" xfId="1787" xr:uid="{00000000-0005-0000-0000-00000A070000}"/>
    <cellStyle name="標準 91 3 3" xfId="1788" xr:uid="{00000000-0005-0000-0000-00000B070000}"/>
    <cellStyle name="標準 91 3 4" xfId="1789" xr:uid="{00000000-0005-0000-0000-00000C070000}"/>
    <cellStyle name="標準 91 4" xfId="1790" xr:uid="{00000000-0005-0000-0000-00000D070000}"/>
    <cellStyle name="標準 91 5" xfId="1791" xr:uid="{00000000-0005-0000-0000-00000E070000}"/>
    <cellStyle name="標準 91 6" xfId="1792" xr:uid="{00000000-0005-0000-0000-00000F070000}"/>
    <cellStyle name="標準 92" xfId="1793" xr:uid="{00000000-0005-0000-0000-000010070000}"/>
    <cellStyle name="標準 92 2" xfId="1794" xr:uid="{00000000-0005-0000-0000-000011070000}"/>
    <cellStyle name="標準 92 2 2" xfId="1795" xr:uid="{00000000-0005-0000-0000-000012070000}"/>
    <cellStyle name="標準 92 2 2 2" xfId="1796" xr:uid="{00000000-0005-0000-0000-000013070000}"/>
    <cellStyle name="標準 92 2 2 3" xfId="1797" xr:uid="{00000000-0005-0000-0000-000014070000}"/>
    <cellStyle name="標準 92 2 2 4" xfId="1798" xr:uid="{00000000-0005-0000-0000-000015070000}"/>
    <cellStyle name="標準 92 2 3" xfId="1799" xr:uid="{00000000-0005-0000-0000-000016070000}"/>
    <cellStyle name="標準 92 2 4" xfId="1800" xr:uid="{00000000-0005-0000-0000-000017070000}"/>
    <cellStyle name="標準 92 2 5" xfId="1801" xr:uid="{00000000-0005-0000-0000-000018070000}"/>
    <cellStyle name="標準 92 3" xfId="1802" xr:uid="{00000000-0005-0000-0000-000019070000}"/>
    <cellStyle name="標準 92 3 2" xfId="1803" xr:uid="{00000000-0005-0000-0000-00001A070000}"/>
    <cellStyle name="標準 92 3 3" xfId="1804" xr:uid="{00000000-0005-0000-0000-00001B070000}"/>
    <cellStyle name="標準 92 3 4" xfId="1805" xr:uid="{00000000-0005-0000-0000-00001C070000}"/>
    <cellStyle name="標準 92 4" xfId="1806" xr:uid="{00000000-0005-0000-0000-00001D070000}"/>
    <cellStyle name="標準 92 5" xfId="1807" xr:uid="{00000000-0005-0000-0000-00001E070000}"/>
    <cellStyle name="標準 92 6" xfId="1808" xr:uid="{00000000-0005-0000-0000-00001F070000}"/>
    <cellStyle name="標準 93" xfId="1809" xr:uid="{00000000-0005-0000-0000-000020070000}"/>
    <cellStyle name="標準 93 2" xfId="1810" xr:uid="{00000000-0005-0000-0000-000021070000}"/>
    <cellStyle name="標準 93 2 2" xfId="1811" xr:uid="{00000000-0005-0000-0000-000022070000}"/>
    <cellStyle name="標準 93 2 2 2" xfId="1812" xr:uid="{00000000-0005-0000-0000-000023070000}"/>
    <cellStyle name="標準 93 2 2 3" xfId="1813" xr:uid="{00000000-0005-0000-0000-000024070000}"/>
    <cellStyle name="標準 93 2 2 4" xfId="1814" xr:uid="{00000000-0005-0000-0000-000025070000}"/>
    <cellStyle name="標準 93 2 3" xfId="1815" xr:uid="{00000000-0005-0000-0000-000026070000}"/>
    <cellStyle name="標準 93 2 4" xfId="1816" xr:uid="{00000000-0005-0000-0000-000027070000}"/>
    <cellStyle name="標準 93 2 5" xfId="1817" xr:uid="{00000000-0005-0000-0000-000028070000}"/>
    <cellStyle name="標準 93 3" xfId="1818" xr:uid="{00000000-0005-0000-0000-000029070000}"/>
    <cellStyle name="標準 93 3 2" xfId="1819" xr:uid="{00000000-0005-0000-0000-00002A070000}"/>
    <cellStyle name="標準 93 3 3" xfId="1820" xr:uid="{00000000-0005-0000-0000-00002B070000}"/>
    <cellStyle name="標準 93 3 4" xfId="1821" xr:uid="{00000000-0005-0000-0000-00002C070000}"/>
    <cellStyle name="標準 93 4" xfId="1822" xr:uid="{00000000-0005-0000-0000-00002D070000}"/>
    <cellStyle name="標準 93 5" xfId="1823" xr:uid="{00000000-0005-0000-0000-00002E070000}"/>
    <cellStyle name="標準 93 6" xfId="1824" xr:uid="{00000000-0005-0000-0000-00002F070000}"/>
    <cellStyle name="標準 94" xfId="1825" xr:uid="{00000000-0005-0000-0000-000030070000}"/>
    <cellStyle name="標準 94 2" xfId="1826" xr:uid="{00000000-0005-0000-0000-000031070000}"/>
    <cellStyle name="標準 94 2 2" xfId="1827" xr:uid="{00000000-0005-0000-0000-000032070000}"/>
    <cellStyle name="標準 94 2 2 2" xfId="1828" xr:uid="{00000000-0005-0000-0000-000033070000}"/>
    <cellStyle name="標準 94 2 2 3" xfId="1829" xr:uid="{00000000-0005-0000-0000-000034070000}"/>
    <cellStyle name="標準 94 2 2 4" xfId="1830" xr:uid="{00000000-0005-0000-0000-000035070000}"/>
    <cellStyle name="標準 94 2 3" xfId="1831" xr:uid="{00000000-0005-0000-0000-000036070000}"/>
    <cellStyle name="標準 94 2 4" xfId="1832" xr:uid="{00000000-0005-0000-0000-000037070000}"/>
    <cellStyle name="標準 94 2 5" xfId="1833" xr:uid="{00000000-0005-0000-0000-000038070000}"/>
    <cellStyle name="標準 94 3" xfId="1834" xr:uid="{00000000-0005-0000-0000-000039070000}"/>
    <cellStyle name="標準 94 3 2" xfId="1835" xr:uid="{00000000-0005-0000-0000-00003A070000}"/>
    <cellStyle name="標準 94 3 3" xfId="1836" xr:uid="{00000000-0005-0000-0000-00003B070000}"/>
    <cellStyle name="標準 94 3 4" xfId="1837" xr:uid="{00000000-0005-0000-0000-00003C070000}"/>
    <cellStyle name="標準 94 4" xfId="1838" xr:uid="{00000000-0005-0000-0000-00003D070000}"/>
    <cellStyle name="標準 94 5" xfId="1839" xr:uid="{00000000-0005-0000-0000-00003E070000}"/>
    <cellStyle name="標準 94 6" xfId="1840" xr:uid="{00000000-0005-0000-0000-00003F070000}"/>
    <cellStyle name="標準 95" xfId="1841" xr:uid="{00000000-0005-0000-0000-000040070000}"/>
    <cellStyle name="標準 95 2" xfId="1842" xr:uid="{00000000-0005-0000-0000-000041070000}"/>
    <cellStyle name="標準 95 2 2" xfId="1843" xr:uid="{00000000-0005-0000-0000-000042070000}"/>
    <cellStyle name="標準 95 2 2 2" xfId="1844" xr:uid="{00000000-0005-0000-0000-000043070000}"/>
    <cellStyle name="標準 95 2 2 3" xfId="1845" xr:uid="{00000000-0005-0000-0000-000044070000}"/>
    <cellStyle name="標準 95 2 2 4" xfId="1846" xr:uid="{00000000-0005-0000-0000-000045070000}"/>
    <cellStyle name="標準 95 2 3" xfId="1847" xr:uid="{00000000-0005-0000-0000-000046070000}"/>
    <cellStyle name="標準 95 2 4" xfId="1848" xr:uid="{00000000-0005-0000-0000-000047070000}"/>
    <cellStyle name="標準 95 2 5" xfId="1849" xr:uid="{00000000-0005-0000-0000-000048070000}"/>
    <cellStyle name="標準 95 3" xfId="1850" xr:uid="{00000000-0005-0000-0000-000049070000}"/>
    <cellStyle name="標準 95 3 2" xfId="1851" xr:uid="{00000000-0005-0000-0000-00004A070000}"/>
    <cellStyle name="標準 95 3 3" xfId="1852" xr:uid="{00000000-0005-0000-0000-00004B070000}"/>
    <cellStyle name="標準 95 3 4" xfId="1853" xr:uid="{00000000-0005-0000-0000-00004C070000}"/>
    <cellStyle name="標準 95 4" xfId="1854" xr:uid="{00000000-0005-0000-0000-00004D070000}"/>
    <cellStyle name="標準 95 5" xfId="1855" xr:uid="{00000000-0005-0000-0000-00004E070000}"/>
    <cellStyle name="標準 95 6" xfId="1856" xr:uid="{00000000-0005-0000-0000-00004F070000}"/>
    <cellStyle name="標準 96" xfId="1857" xr:uid="{00000000-0005-0000-0000-000050070000}"/>
    <cellStyle name="標準 96 2" xfId="1858" xr:uid="{00000000-0005-0000-0000-000051070000}"/>
    <cellStyle name="標準 96 2 2" xfId="1859" xr:uid="{00000000-0005-0000-0000-000052070000}"/>
    <cellStyle name="標準 96 2 2 2" xfId="1860" xr:uid="{00000000-0005-0000-0000-000053070000}"/>
    <cellStyle name="標準 96 2 2 3" xfId="1861" xr:uid="{00000000-0005-0000-0000-000054070000}"/>
    <cellStyle name="標準 96 2 2 4" xfId="1862" xr:uid="{00000000-0005-0000-0000-000055070000}"/>
    <cellStyle name="標準 96 2 3" xfId="1863" xr:uid="{00000000-0005-0000-0000-000056070000}"/>
    <cellStyle name="標準 96 2 4" xfId="1864" xr:uid="{00000000-0005-0000-0000-000057070000}"/>
    <cellStyle name="標準 96 2 5" xfId="1865" xr:uid="{00000000-0005-0000-0000-000058070000}"/>
    <cellStyle name="標準 96 3" xfId="1866" xr:uid="{00000000-0005-0000-0000-000059070000}"/>
    <cellStyle name="標準 96 3 2" xfId="1867" xr:uid="{00000000-0005-0000-0000-00005A070000}"/>
    <cellStyle name="標準 96 3 3" xfId="1868" xr:uid="{00000000-0005-0000-0000-00005B070000}"/>
    <cellStyle name="標準 96 3 4" xfId="1869" xr:uid="{00000000-0005-0000-0000-00005C070000}"/>
    <cellStyle name="標準 96 4" xfId="1870" xr:uid="{00000000-0005-0000-0000-00005D070000}"/>
    <cellStyle name="標準 96 5" xfId="1871" xr:uid="{00000000-0005-0000-0000-00005E070000}"/>
    <cellStyle name="標準 96 6" xfId="1872" xr:uid="{00000000-0005-0000-0000-00005F070000}"/>
    <cellStyle name="標準 97" xfId="1873" xr:uid="{00000000-0005-0000-0000-000060070000}"/>
    <cellStyle name="標準 97 2" xfId="1874" xr:uid="{00000000-0005-0000-0000-000061070000}"/>
    <cellStyle name="標準 97 2 2" xfId="1875" xr:uid="{00000000-0005-0000-0000-000062070000}"/>
    <cellStyle name="標準 97 2 2 2" xfId="1876" xr:uid="{00000000-0005-0000-0000-000063070000}"/>
    <cellStyle name="標準 97 2 2 3" xfId="1877" xr:uid="{00000000-0005-0000-0000-000064070000}"/>
    <cellStyle name="標準 97 2 2 4" xfId="1878" xr:uid="{00000000-0005-0000-0000-000065070000}"/>
    <cellStyle name="標準 97 2 3" xfId="1879" xr:uid="{00000000-0005-0000-0000-000066070000}"/>
    <cellStyle name="標準 97 2 4" xfId="1880" xr:uid="{00000000-0005-0000-0000-000067070000}"/>
    <cellStyle name="標準 97 2 5" xfId="1881" xr:uid="{00000000-0005-0000-0000-000068070000}"/>
    <cellStyle name="標準 97 3" xfId="1882" xr:uid="{00000000-0005-0000-0000-000069070000}"/>
    <cellStyle name="標準 97 3 2" xfId="1883" xr:uid="{00000000-0005-0000-0000-00006A070000}"/>
    <cellStyle name="標準 97 3 3" xfId="1884" xr:uid="{00000000-0005-0000-0000-00006B070000}"/>
    <cellStyle name="標準 97 3 4" xfId="1885" xr:uid="{00000000-0005-0000-0000-00006C070000}"/>
    <cellStyle name="標準 97 4" xfId="1886" xr:uid="{00000000-0005-0000-0000-00006D070000}"/>
    <cellStyle name="標準 97 5" xfId="1887" xr:uid="{00000000-0005-0000-0000-00006E070000}"/>
    <cellStyle name="標準 97 6" xfId="1888" xr:uid="{00000000-0005-0000-0000-00006F070000}"/>
    <cellStyle name="標準 98" xfId="1889" xr:uid="{00000000-0005-0000-0000-000070070000}"/>
    <cellStyle name="標準 98 2" xfId="1890" xr:uid="{00000000-0005-0000-0000-000071070000}"/>
    <cellStyle name="標準 98 2 2" xfId="1891" xr:uid="{00000000-0005-0000-0000-000072070000}"/>
    <cellStyle name="標準 98 2 2 2" xfId="1892" xr:uid="{00000000-0005-0000-0000-000073070000}"/>
    <cellStyle name="標準 98 2 2 3" xfId="1893" xr:uid="{00000000-0005-0000-0000-000074070000}"/>
    <cellStyle name="標準 98 2 2 4" xfId="1894" xr:uid="{00000000-0005-0000-0000-000075070000}"/>
    <cellStyle name="標準 98 2 3" xfId="1895" xr:uid="{00000000-0005-0000-0000-000076070000}"/>
    <cellStyle name="標準 98 2 4" xfId="1896" xr:uid="{00000000-0005-0000-0000-000077070000}"/>
    <cellStyle name="標準 98 2 5" xfId="1897" xr:uid="{00000000-0005-0000-0000-000078070000}"/>
    <cellStyle name="標準 98 3" xfId="1898" xr:uid="{00000000-0005-0000-0000-000079070000}"/>
    <cellStyle name="標準 98 3 2" xfId="1899" xr:uid="{00000000-0005-0000-0000-00007A070000}"/>
    <cellStyle name="標準 98 3 3" xfId="1900" xr:uid="{00000000-0005-0000-0000-00007B070000}"/>
    <cellStyle name="標準 98 3 4" xfId="1901" xr:uid="{00000000-0005-0000-0000-00007C070000}"/>
    <cellStyle name="標準 98 4" xfId="1902" xr:uid="{00000000-0005-0000-0000-00007D070000}"/>
    <cellStyle name="標準 98 5" xfId="1903" xr:uid="{00000000-0005-0000-0000-00007E070000}"/>
    <cellStyle name="標準 98 6" xfId="1904" xr:uid="{00000000-0005-0000-0000-00007F070000}"/>
    <cellStyle name="標準 99" xfId="1905" xr:uid="{00000000-0005-0000-0000-000080070000}"/>
    <cellStyle name="標準 99 2" xfId="1906" xr:uid="{00000000-0005-0000-0000-000081070000}"/>
    <cellStyle name="標準 99 2 2" xfId="1907" xr:uid="{00000000-0005-0000-0000-000082070000}"/>
    <cellStyle name="標準 99 2 2 2" xfId="1908" xr:uid="{00000000-0005-0000-0000-000083070000}"/>
    <cellStyle name="標準 99 2 2 3" xfId="1909" xr:uid="{00000000-0005-0000-0000-000084070000}"/>
    <cellStyle name="標準 99 2 2 4" xfId="1910" xr:uid="{00000000-0005-0000-0000-000085070000}"/>
    <cellStyle name="標準 99 2 3" xfId="1911" xr:uid="{00000000-0005-0000-0000-000086070000}"/>
    <cellStyle name="標準 99 2 4" xfId="1912" xr:uid="{00000000-0005-0000-0000-000087070000}"/>
    <cellStyle name="標準 99 2 5" xfId="1913" xr:uid="{00000000-0005-0000-0000-000088070000}"/>
    <cellStyle name="標準 99 3" xfId="1914" xr:uid="{00000000-0005-0000-0000-000089070000}"/>
    <cellStyle name="標準 99 3 2" xfId="1915" xr:uid="{00000000-0005-0000-0000-00008A070000}"/>
    <cellStyle name="標準 99 3 3" xfId="1916" xr:uid="{00000000-0005-0000-0000-00008B070000}"/>
    <cellStyle name="標準 99 3 4" xfId="1917" xr:uid="{00000000-0005-0000-0000-00008C070000}"/>
    <cellStyle name="標準 99 4" xfId="1918" xr:uid="{00000000-0005-0000-0000-00008D070000}"/>
    <cellStyle name="標準 99 5" xfId="1919" xr:uid="{00000000-0005-0000-0000-00008E070000}"/>
    <cellStyle name="標準 99 6" xfId="1920" xr:uid="{00000000-0005-0000-0000-00008F070000}"/>
    <cellStyle name="標準１" xfId="1921" xr:uid="{00000000-0005-0000-0000-000090070000}"/>
    <cellStyle name="標準10" xfId="1922" xr:uid="{00000000-0005-0000-0000-000091070000}"/>
    <cellStyle name="標準12" xfId="1923" xr:uid="{00000000-0005-0000-0000-000092070000}"/>
    <cellStyle name="文字列" xfId="1924" xr:uid="{00000000-0005-0000-0000-000093070000}"/>
    <cellStyle name="未定義" xfId="12" xr:uid="{00000000-0005-0000-0000-000094070000}"/>
    <cellStyle name="未定義 2" xfId="1925" xr:uid="{00000000-0005-0000-0000-000095070000}"/>
    <cellStyle name="未定義 3" xfId="1926" xr:uid="{00000000-0005-0000-0000-000096070000}"/>
    <cellStyle name="未定義_030_上場有価証券総括表_詳細設計書_府令改正対応" xfId="1927" xr:uid="{00000000-0005-0000-0000-000097070000}"/>
    <cellStyle name="良い 2" xfId="1928" xr:uid="{00000000-0005-0000-0000-000098070000}"/>
    <cellStyle name="良い 3" xfId="1929" xr:uid="{00000000-0005-0000-0000-000099070000}"/>
    <cellStyle name="良い 4" xfId="1930" xr:uid="{00000000-0005-0000-0000-00009A070000}"/>
    <cellStyle name="良い 5" xfId="1931" xr:uid="{00000000-0005-0000-0000-00009B070000}"/>
    <cellStyle name="良い 6" xfId="1932" xr:uid="{00000000-0005-0000-0000-00009C070000}"/>
    <cellStyle name="良い 7" xfId="1933" xr:uid="{00000000-0005-0000-0000-00009D070000}"/>
    <cellStyle name="良い 8" xfId="1934" xr:uid="{00000000-0005-0000-0000-00009E070000}"/>
    <cellStyle name="良い 9" xfId="1935" xr:uid="{00000000-0005-0000-0000-00009F070000}"/>
    <cellStyle name="표준_4.3.1_取引処理（取引処理制御１－１）" xfId="1936" xr:uid="{00000000-0005-0000-0000-0000A0070000}"/>
  </cellStyles>
  <dxfs count="0"/>
  <tableStyles count="0" defaultTableStyle="TableStyleMedium2" defaultPivotStyle="PivotStyleLight16"/>
  <colors>
    <mruColors>
      <color rgb="FFFF00FF"/>
      <color rgb="FFFFEBFF"/>
      <color rgb="FFCCFFCC"/>
      <color rgb="FF99FF99"/>
      <color rgb="FF66FFFF"/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19</xdr:col>
      <xdr:colOff>733425</xdr:colOff>
      <xdr:row>0</xdr:row>
      <xdr:rowOff>28575</xdr:rowOff>
    </xdr:from>
    <xdr:ext cx="9830920" cy="672353"/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15845CDA-DD77-4264-9402-267472E40A43}"/>
            </a:ext>
          </a:extLst>
        </xdr:cNvPr>
        <xdr:cNvSpPr/>
      </xdr:nvSpPr>
      <xdr:spPr>
        <a:xfrm>
          <a:off x="19011900" y="28575"/>
          <a:ext cx="9830920" cy="672353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lIns="36000" tIns="0" rIns="0" bIns="0" rtlCol="0" anchor="t">
          <a:noAutofit/>
        </a:bodyPr>
        <a:lstStyle/>
        <a:p>
          <a:pPr algn="l"/>
          <a:r>
            <a:rPr kumimoji="1" lang="en-US" altLang="ja-JP" sz="800" kern="0" spc="0" baseline="0">
              <a:solidFill>
                <a:sysClr val="windowText" lastClr="000000"/>
              </a:solidFill>
              <a:latin typeface="ＭＳ ゴシック" panose="020B0609070205080204" pitchFamily="49" charset="-128"/>
              <a:ea typeface="ＭＳ ゴシック" panose="020B0609070205080204" pitchFamily="49" charset="-128"/>
            </a:rPr>
            <a:t>※</a:t>
          </a:r>
          <a:r>
            <a:rPr kumimoji="1" lang="ja-JP" altLang="en-US" sz="800" kern="0" spc="0" baseline="0">
              <a:solidFill>
                <a:sysClr val="windowText" lastClr="000000"/>
              </a:solidFill>
              <a:latin typeface="ＭＳ ゴシック" panose="020B0609070205080204" pitchFamily="49" charset="-128"/>
              <a:ea typeface="ＭＳ ゴシック" panose="020B0609070205080204" pitchFamily="49" charset="-128"/>
            </a:rPr>
            <a:t>建玉現在高は月末現在。ただし、*印は限月到来銘柄の最終建玉高。商品先物（現物先物取引）の最終建玉高は「本受渡高」を意味する。</a:t>
          </a:r>
        </a:p>
        <a:p>
          <a:pPr algn="l"/>
          <a:r>
            <a:rPr kumimoji="1" lang="en-US" altLang="ja-JP" sz="800" kern="0" spc="0" baseline="0">
              <a:solidFill>
                <a:sysClr val="windowText" lastClr="000000"/>
              </a:solidFill>
              <a:latin typeface="ＭＳ ゴシック" panose="020B0609070205080204" pitchFamily="49" charset="-128"/>
              <a:ea typeface="ＭＳ ゴシック" panose="020B0609070205080204" pitchFamily="49" charset="-128"/>
            </a:rPr>
            <a:t>Open interest is as of end of month. * is a final position of the contract month.The final position for Commodity futures (physically-delivered futures) means "Basic Delivery Volume".</a:t>
          </a:r>
          <a:endParaRPr kumimoji="1" lang="en-US" altLang="ja-JP" sz="1100" kern="0" spc="0" baseline="0">
            <a:solidFill>
              <a:sysClr val="windowText" lastClr="000000"/>
            </a:solidFill>
            <a:latin typeface="ＭＳ ゴシック" panose="020B0609070205080204" pitchFamily="49" charset="-128"/>
            <a:ea typeface="ＭＳ ゴシック" panose="020B0609070205080204" pitchFamily="49" charset="-128"/>
          </a:endParaRPr>
        </a:p>
        <a:p>
          <a:pPr algn="l"/>
          <a:r>
            <a:rPr kumimoji="1" lang="en-US" altLang="ja-JP" sz="800" kern="0" spc="0" baseline="0">
              <a:solidFill>
                <a:sysClr val="windowText" lastClr="000000"/>
              </a:solidFill>
              <a:latin typeface="ＭＳ ゴシック" panose="020B0609070205080204" pitchFamily="49" charset="-128"/>
              <a:ea typeface="ＭＳ ゴシック" panose="020B0609070205080204" pitchFamily="49" charset="-128"/>
            </a:rPr>
            <a:t>※</a:t>
          </a:r>
          <a:r>
            <a:rPr kumimoji="1" lang="ja-JP" altLang="en-US" sz="800" kern="0" spc="0" baseline="0">
              <a:solidFill>
                <a:sysClr val="windowText" lastClr="000000"/>
              </a:solidFill>
              <a:latin typeface="ＭＳ ゴシック" panose="020B0609070205080204" pitchFamily="49" charset="-128"/>
              <a:ea typeface="ＭＳ ゴシック" panose="020B0609070205080204" pitchFamily="49" charset="-128"/>
            </a:rPr>
            <a:t>金限日先物、白金限日先物の希望受渡高は、「早受渡・申告受渡高」に出力する。</a:t>
          </a:r>
        </a:p>
        <a:p>
          <a:pPr algn="l"/>
          <a:r>
            <a:rPr kumimoji="1" lang="en-US" altLang="ja-JP" sz="800" kern="0" spc="0" baseline="0">
              <a:solidFill>
                <a:sysClr val="windowText" lastClr="000000"/>
              </a:solidFill>
              <a:latin typeface="ＭＳ ゴシック" panose="020B0609070205080204" pitchFamily="49" charset="-128"/>
              <a:ea typeface="ＭＳ ゴシック" panose="020B0609070205080204" pitchFamily="49" charset="-128"/>
            </a:rPr>
            <a:t>※"Delivery on Request Volume" for Gold Rolling-Spot Futures and Platinum Rolling-Spot Futures is displayed on "Early Delivery, Declared Delivery Volume".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chemeClr val="accent5">
            <a:lumMod val="20000"/>
            <a:lumOff val="80000"/>
          </a:schemeClr>
        </a:solidFill>
        <a:ln>
          <a:solidFill>
            <a:schemeClr val="accent5">
              <a:lumMod val="50000"/>
            </a:schemeClr>
          </a:solidFill>
        </a:ln>
      </a:spPr>
      <a:bodyPr vertOverflow="clip" horzOverflow="clip" rtlCol="0" anchor="t"/>
      <a:lstStyle>
        <a:defPPr algn="l">
          <a:defRPr kumimoji="1" sz="1000">
            <a:solidFill>
              <a:sysClr val="windowText" lastClr="000000"/>
            </a:solidFill>
            <a:latin typeface="ＭＳ ゴシック" panose="020B0609070205080204" pitchFamily="49" charset="-128"/>
            <a:ea typeface="ＭＳ ゴシック" panose="020B0609070205080204" pitchFamily="49" charset="-128"/>
          </a:defRPr>
        </a:defPPr>
      </a:lstStyle>
      <a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AC103"/>
  <sheetViews>
    <sheetView showGridLines="0" tabSelected="1" view="pageBreakPreview" zoomScaleNormal="100" zoomScaleSheetLayoutView="100" workbookViewId="0">
      <pane ySplit="6" topLeftCell="A7" activePane="bottomLeft" state="frozen"/>
      <selection pane="bottomLeft" activeCell="A7" sqref="A7"/>
    </sheetView>
  </sheetViews>
  <sheetFormatPr defaultRowHeight="13.5"/>
  <cols>
    <col min="1" max="1" width="10.625" style="16" customWidth="1"/>
    <col min="2" max="2" width="25.75" style="16" bestFit="1" customWidth="1"/>
    <col min="3" max="3" width="34.5" style="16" bestFit="1" customWidth="1"/>
    <col min="4" max="6" width="10.25" style="16" bestFit="1" customWidth="1"/>
    <col min="7" max="7" width="5.25" style="16" customWidth="1"/>
    <col min="8" max="8" width="15.25" style="16" customWidth="1"/>
    <col min="9" max="9" width="5.25" style="16" customWidth="1"/>
    <col min="10" max="10" width="15.25" style="16" customWidth="1"/>
    <col min="11" max="11" width="5.25" style="16" customWidth="1"/>
    <col min="12" max="12" width="15.25" style="16" customWidth="1"/>
    <col min="13" max="13" width="5.25" style="16" customWidth="1"/>
    <col min="14" max="14" width="15.25" style="16" customWidth="1"/>
    <col min="15" max="15" width="5.25" style="16" customWidth="1"/>
    <col min="16" max="16" width="15.25" style="16" customWidth="1"/>
    <col min="17" max="17" width="5.25" style="16" customWidth="1"/>
    <col min="18" max="19" width="15.25" style="16" customWidth="1"/>
    <col min="20" max="22" width="15" style="16" customWidth="1"/>
    <col min="23" max="25" width="21.25" style="16" customWidth="1"/>
    <col min="26" max="26" width="2.375" style="16" bestFit="1" customWidth="1"/>
    <col min="27" max="27" width="15.25" style="16" customWidth="1"/>
    <col min="28" max="28" width="17.625" style="16" customWidth="1"/>
    <col min="29" max="29" width="7" style="16" bestFit="1" customWidth="1"/>
    <col min="30" max="16384" width="9" style="10"/>
  </cols>
  <sheetData>
    <row r="1" spans="1:29" ht="30" customHeight="1">
      <c r="A1" s="41" t="s">
        <v>26</v>
      </c>
      <c r="B1" s="42"/>
      <c r="C1" s="42"/>
      <c r="D1" s="42"/>
      <c r="E1" s="42"/>
      <c r="F1" s="42"/>
      <c r="G1" s="42"/>
      <c r="H1" s="42"/>
      <c r="I1" s="42"/>
      <c r="J1" s="42"/>
      <c r="K1" s="11"/>
      <c r="L1" s="11"/>
      <c r="M1" s="11"/>
      <c r="N1" s="11"/>
      <c r="O1" s="11"/>
      <c r="P1" s="11"/>
      <c r="Q1" s="11"/>
      <c r="R1" s="11"/>
      <c r="S1" s="11"/>
      <c r="T1" s="11"/>
      <c r="U1" s="17"/>
      <c r="V1" s="17"/>
      <c r="W1" s="17"/>
      <c r="X1" s="18"/>
      <c r="Y1" s="18"/>
      <c r="Z1" s="18"/>
      <c r="AA1" s="18"/>
      <c r="AB1" s="18"/>
      <c r="AC1" s="19"/>
    </row>
    <row r="2" spans="1:29" ht="30" customHeight="1">
      <c r="A2" s="43" t="s">
        <v>27</v>
      </c>
      <c r="B2" s="44"/>
      <c r="C2" s="44"/>
      <c r="D2" s="23"/>
      <c r="E2" s="23"/>
      <c r="F2" s="23"/>
      <c r="G2" s="23"/>
      <c r="H2" s="23"/>
      <c r="I2" s="23"/>
      <c r="J2" s="23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  <c r="Z2" s="12"/>
      <c r="AA2" s="12"/>
      <c r="AB2" s="12"/>
      <c r="AC2" s="13"/>
    </row>
    <row r="3" spans="1:29" ht="14.1" customHeight="1">
      <c r="A3" s="45" t="s">
        <v>0</v>
      </c>
      <c r="B3" s="36" t="s">
        <v>7</v>
      </c>
      <c r="C3" s="36" t="s">
        <v>25</v>
      </c>
      <c r="D3" s="32" t="s">
        <v>1</v>
      </c>
      <c r="E3" s="47" t="s">
        <v>5</v>
      </c>
      <c r="F3" s="48"/>
      <c r="G3" s="54" t="s">
        <v>24</v>
      </c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32" t="s">
        <v>39</v>
      </c>
      <c r="T3" s="38" t="s">
        <v>23</v>
      </c>
      <c r="U3" s="39"/>
      <c r="V3" s="40"/>
      <c r="W3" s="38" t="s">
        <v>22</v>
      </c>
      <c r="X3" s="39"/>
      <c r="Y3" s="40"/>
      <c r="Z3" s="49" t="s">
        <v>21</v>
      </c>
      <c r="AA3" s="50"/>
      <c r="AB3" s="36" t="s">
        <v>28</v>
      </c>
      <c r="AC3" s="25" t="s">
        <v>20</v>
      </c>
    </row>
    <row r="4" spans="1:29" ht="9" customHeight="1">
      <c r="A4" s="46"/>
      <c r="B4" s="37"/>
      <c r="C4" s="37"/>
      <c r="D4" s="35"/>
      <c r="E4" s="49"/>
      <c r="F4" s="50"/>
      <c r="G4" s="27" t="s">
        <v>6</v>
      </c>
      <c r="H4" s="29" t="s">
        <v>34</v>
      </c>
      <c r="I4" s="27" t="s">
        <v>6</v>
      </c>
      <c r="J4" s="33" t="s">
        <v>35</v>
      </c>
      <c r="K4" s="31" t="s">
        <v>2</v>
      </c>
      <c r="L4" s="31"/>
      <c r="M4" s="27" t="s">
        <v>6</v>
      </c>
      <c r="N4" s="33" t="s">
        <v>37</v>
      </c>
      <c r="O4" s="31" t="s">
        <v>2</v>
      </c>
      <c r="P4" s="31"/>
      <c r="Q4" s="27" t="s">
        <v>6</v>
      </c>
      <c r="R4" s="29" t="s">
        <v>38</v>
      </c>
      <c r="S4" s="35"/>
      <c r="T4" s="32" t="s">
        <v>3</v>
      </c>
      <c r="U4" s="35" t="s">
        <v>19</v>
      </c>
      <c r="V4" s="35" t="s">
        <v>30</v>
      </c>
      <c r="W4" s="32" t="s">
        <v>3</v>
      </c>
      <c r="X4" s="35" t="s">
        <v>18</v>
      </c>
      <c r="Y4" s="35" t="s">
        <v>32</v>
      </c>
      <c r="Z4" s="49"/>
      <c r="AA4" s="50"/>
      <c r="AB4" s="37"/>
      <c r="AC4" s="26"/>
    </row>
    <row r="5" spans="1:29" ht="27" customHeight="1">
      <c r="A5" s="46"/>
      <c r="B5" s="37"/>
      <c r="C5" s="37"/>
      <c r="D5" s="35"/>
      <c r="E5" s="51"/>
      <c r="F5" s="30"/>
      <c r="G5" s="28"/>
      <c r="H5" s="30"/>
      <c r="I5" s="28"/>
      <c r="J5" s="34"/>
      <c r="K5" s="14" t="s">
        <v>17</v>
      </c>
      <c r="L5" s="15" t="s">
        <v>36</v>
      </c>
      <c r="M5" s="28"/>
      <c r="N5" s="34"/>
      <c r="O5" s="14" t="s">
        <v>17</v>
      </c>
      <c r="P5" s="15" t="s">
        <v>36</v>
      </c>
      <c r="Q5" s="28"/>
      <c r="R5" s="30"/>
      <c r="S5" s="35"/>
      <c r="T5" s="32"/>
      <c r="U5" s="35"/>
      <c r="V5" s="35"/>
      <c r="W5" s="32"/>
      <c r="X5" s="35"/>
      <c r="Y5" s="35"/>
      <c r="Z5" s="49"/>
      <c r="AA5" s="30"/>
      <c r="AB5" s="32"/>
      <c r="AC5" s="26"/>
    </row>
    <row r="6" spans="1:29" ht="36" customHeight="1">
      <c r="A6" s="24" t="s">
        <v>16</v>
      </c>
      <c r="B6" s="32"/>
      <c r="C6" s="32"/>
      <c r="D6" s="22" t="s">
        <v>4</v>
      </c>
      <c r="E6" s="52" t="s">
        <v>15</v>
      </c>
      <c r="F6" s="53"/>
      <c r="G6" s="14" t="s">
        <v>14</v>
      </c>
      <c r="H6" s="20" t="s">
        <v>40</v>
      </c>
      <c r="I6" s="14" t="s">
        <v>14</v>
      </c>
      <c r="J6" s="15" t="s">
        <v>41</v>
      </c>
      <c r="K6" s="14" t="s">
        <v>14</v>
      </c>
      <c r="L6" s="15" t="s">
        <v>42</v>
      </c>
      <c r="M6" s="14" t="s">
        <v>14</v>
      </c>
      <c r="N6" s="15" t="s">
        <v>43</v>
      </c>
      <c r="O6" s="14" t="s">
        <v>14</v>
      </c>
      <c r="P6" s="15" t="s">
        <v>42</v>
      </c>
      <c r="Q6" s="14" t="s">
        <v>14</v>
      </c>
      <c r="R6" s="15" t="s">
        <v>44</v>
      </c>
      <c r="S6" s="22" t="s">
        <v>45</v>
      </c>
      <c r="T6" s="22" t="s">
        <v>13</v>
      </c>
      <c r="U6" s="22" t="s">
        <v>12</v>
      </c>
      <c r="V6" s="22" t="s">
        <v>31</v>
      </c>
      <c r="W6" s="22" t="s">
        <v>11</v>
      </c>
      <c r="X6" s="22" t="s">
        <v>10</v>
      </c>
      <c r="Y6" s="22" t="s">
        <v>33</v>
      </c>
      <c r="Z6" s="52" t="s">
        <v>9</v>
      </c>
      <c r="AA6" s="53"/>
      <c r="AB6" s="15" t="s">
        <v>29</v>
      </c>
      <c r="AC6" s="21" t="s">
        <v>8</v>
      </c>
    </row>
    <row r="7" spans="1:29">
      <c r="A7" s="9" t="s">
        <v>46</v>
      </c>
      <c r="B7" s="8" t="s">
        <v>47</v>
      </c>
      <c r="C7" s="8" t="s">
        <v>48</v>
      </c>
      <c r="D7" s="8" t="s">
        <v>46</v>
      </c>
      <c r="E7" s="7" t="s">
        <v>49</v>
      </c>
      <c r="F7" s="7" t="s">
        <v>50</v>
      </c>
      <c r="G7" s="3" t="s">
        <v>51</v>
      </c>
      <c r="H7" s="6" t="s">
        <v>52</v>
      </c>
      <c r="I7" s="3" t="s">
        <v>53</v>
      </c>
      <c r="J7" s="6" t="s">
        <v>54</v>
      </c>
      <c r="K7" s="3" t="s">
        <v>55</v>
      </c>
      <c r="L7" s="6" t="s">
        <v>56</v>
      </c>
      <c r="M7" s="3" t="s">
        <v>57</v>
      </c>
      <c r="N7" s="6" t="s">
        <v>58</v>
      </c>
      <c r="O7" s="3" t="s">
        <v>59</v>
      </c>
      <c r="P7" s="6" t="s">
        <v>60</v>
      </c>
      <c r="Q7" s="3" t="s">
        <v>53</v>
      </c>
      <c r="R7" s="6" t="s">
        <v>54</v>
      </c>
      <c r="S7" s="5">
        <f>9714.5</f>
        <v>9714.5</v>
      </c>
      <c r="T7" s="4">
        <f>2055</f>
        <v>2055</v>
      </c>
      <c r="U7" s="4">
        <v>11</v>
      </c>
      <c r="V7" s="4">
        <v>56</v>
      </c>
      <c r="W7" s="4">
        <f>19898513000</f>
        <v>19898513000</v>
      </c>
      <c r="X7" s="4">
        <v>106405000</v>
      </c>
      <c r="Y7" s="4">
        <v>542366000</v>
      </c>
      <c r="Z7" s="3" t="s">
        <v>61</v>
      </c>
      <c r="AA7" s="2">
        <f>104</f>
        <v>104</v>
      </c>
      <c r="AB7" s="2" t="str">
        <f t="shared" ref="AB7:AB38" si="0">"－"</f>
        <v>－</v>
      </c>
      <c r="AC7" s="1">
        <f>16</f>
        <v>16</v>
      </c>
    </row>
    <row r="8" spans="1:29">
      <c r="A8" s="9" t="s">
        <v>46</v>
      </c>
      <c r="B8" s="8" t="s">
        <v>47</v>
      </c>
      <c r="C8" s="8" t="s">
        <v>48</v>
      </c>
      <c r="D8" s="8" t="s">
        <v>62</v>
      </c>
      <c r="E8" s="7" t="s">
        <v>63</v>
      </c>
      <c r="F8" s="7" t="s">
        <v>64</v>
      </c>
      <c r="G8" s="3" t="s">
        <v>51</v>
      </c>
      <c r="H8" s="6" t="s">
        <v>65</v>
      </c>
      <c r="I8" s="3" t="s">
        <v>66</v>
      </c>
      <c r="J8" s="6" t="s">
        <v>67</v>
      </c>
      <c r="K8" s="3" t="s">
        <v>68</v>
      </c>
      <c r="L8" s="6" t="s">
        <v>69</v>
      </c>
      <c r="M8" s="3" t="s">
        <v>57</v>
      </c>
      <c r="N8" s="6" t="s">
        <v>70</v>
      </c>
      <c r="O8" s="3" t="s">
        <v>68</v>
      </c>
      <c r="P8" s="6" t="s">
        <v>69</v>
      </c>
      <c r="Q8" s="3" t="s">
        <v>66</v>
      </c>
      <c r="R8" s="6" t="s">
        <v>71</v>
      </c>
      <c r="S8" s="5">
        <f>9732.63</f>
        <v>9732.6299999999992</v>
      </c>
      <c r="T8" s="4">
        <f>1043</f>
        <v>1043</v>
      </c>
      <c r="U8" s="4">
        <v>11</v>
      </c>
      <c r="V8" s="4">
        <v>65</v>
      </c>
      <c r="W8" s="4">
        <f>10133891000</f>
        <v>10133891000</v>
      </c>
      <c r="X8" s="4">
        <v>107712000</v>
      </c>
      <c r="Y8" s="4">
        <v>630654000</v>
      </c>
      <c r="Z8" s="3"/>
      <c r="AA8" s="2">
        <f>975</f>
        <v>975</v>
      </c>
      <c r="AB8" s="2" t="str">
        <f t="shared" si="0"/>
        <v>－</v>
      </c>
      <c r="AC8" s="1">
        <f>19</f>
        <v>19</v>
      </c>
    </row>
    <row r="9" spans="1:29">
      <c r="A9" s="9" t="s">
        <v>46</v>
      </c>
      <c r="B9" s="8" t="s">
        <v>47</v>
      </c>
      <c r="C9" s="8" t="s">
        <v>48</v>
      </c>
      <c r="D9" s="8" t="s">
        <v>72</v>
      </c>
      <c r="E9" s="7" t="s">
        <v>73</v>
      </c>
      <c r="F9" s="7" t="s">
        <v>74</v>
      </c>
      <c r="G9" s="3" t="s">
        <v>51</v>
      </c>
      <c r="H9" s="6" t="s">
        <v>52</v>
      </c>
      <c r="I9" s="3" t="s">
        <v>66</v>
      </c>
      <c r="J9" s="6" t="s">
        <v>75</v>
      </c>
      <c r="K9" s="3"/>
      <c r="L9" s="6"/>
      <c r="M9" s="3" t="s">
        <v>57</v>
      </c>
      <c r="N9" s="6" t="s">
        <v>76</v>
      </c>
      <c r="O9" s="3"/>
      <c r="P9" s="6"/>
      <c r="Q9" s="3" t="s">
        <v>66</v>
      </c>
      <c r="R9" s="6" t="s">
        <v>77</v>
      </c>
      <c r="S9" s="5">
        <f>9730</f>
        <v>9730</v>
      </c>
      <c r="T9" s="4">
        <f>1172</f>
        <v>1172</v>
      </c>
      <c r="U9" s="4"/>
      <c r="V9" s="4">
        <v>32</v>
      </c>
      <c r="W9" s="4">
        <f>11395249000</f>
        <v>11395249000</v>
      </c>
      <c r="X9" s="4"/>
      <c r="Y9" s="4">
        <v>311481000</v>
      </c>
      <c r="Z9" s="3"/>
      <c r="AA9" s="2">
        <f>1137</f>
        <v>1137</v>
      </c>
      <c r="AB9" s="2" t="str">
        <f t="shared" si="0"/>
        <v>－</v>
      </c>
      <c r="AC9" s="1">
        <f>19</f>
        <v>19</v>
      </c>
    </row>
    <row r="10" spans="1:29">
      <c r="A10" s="9" t="s">
        <v>46</v>
      </c>
      <c r="B10" s="8" t="s">
        <v>47</v>
      </c>
      <c r="C10" s="8" t="s">
        <v>48</v>
      </c>
      <c r="D10" s="8" t="s">
        <v>78</v>
      </c>
      <c r="E10" s="7" t="s">
        <v>79</v>
      </c>
      <c r="F10" s="7" t="s">
        <v>80</v>
      </c>
      <c r="G10" s="3" t="s">
        <v>51</v>
      </c>
      <c r="H10" s="6" t="s">
        <v>81</v>
      </c>
      <c r="I10" s="3" t="s">
        <v>66</v>
      </c>
      <c r="J10" s="6" t="s">
        <v>82</v>
      </c>
      <c r="K10" s="3" t="s">
        <v>83</v>
      </c>
      <c r="L10" s="6" t="s">
        <v>84</v>
      </c>
      <c r="M10" s="3" t="s">
        <v>57</v>
      </c>
      <c r="N10" s="6" t="s">
        <v>85</v>
      </c>
      <c r="O10" s="3" t="s">
        <v>68</v>
      </c>
      <c r="P10" s="6" t="s">
        <v>86</v>
      </c>
      <c r="Q10" s="3" t="s">
        <v>66</v>
      </c>
      <c r="R10" s="6" t="s">
        <v>87</v>
      </c>
      <c r="S10" s="5">
        <f>9729.37</f>
        <v>9729.3700000000008</v>
      </c>
      <c r="T10" s="4">
        <f>3700</f>
        <v>3700</v>
      </c>
      <c r="U10" s="4">
        <v>12</v>
      </c>
      <c r="V10" s="4">
        <v>482</v>
      </c>
      <c r="W10" s="4">
        <f>35964116000</f>
        <v>35964116000</v>
      </c>
      <c r="X10" s="4">
        <v>117996000</v>
      </c>
      <c r="Y10" s="4">
        <v>4681382000</v>
      </c>
      <c r="Z10" s="3"/>
      <c r="AA10" s="2">
        <f>3590</f>
        <v>3590</v>
      </c>
      <c r="AB10" s="2" t="str">
        <f t="shared" si="0"/>
        <v>－</v>
      </c>
      <c r="AC10" s="1">
        <f>19</f>
        <v>19</v>
      </c>
    </row>
    <row r="11" spans="1:29">
      <c r="A11" s="9" t="s">
        <v>46</v>
      </c>
      <c r="B11" s="8" t="s">
        <v>47</v>
      </c>
      <c r="C11" s="8" t="s">
        <v>48</v>
      </c>
      <c r="D11" s="8" t="s">
        <v>88</v>
      </c>
      <c r="E11" s="7" t="s">
        <v>89</v>
      </c>
      <c r="F11" s="7" t="s">
        <v>90</v>
      </c>
      <c r="G11" s="3" t="s">
        <v>51</v>
      </c>
      <c r="H11" s="6" t="s">
        <v>91</v>
      </c>
      <c r="I11" s="3" t="s">
        <v>66</v>
      </c>
      <c r="J11" s="6" t="s">
        <v>92</v>
      </c>
      <c r="K11" s="3" t="s">
        <v>83</v>
      </c>
      <c r="L11" s="6" t="s">
        <v>93</v>
      </c>
      <c r="M11" s="3" t="s">
        <v>57</v>
      </c>
      <c r="N11" s="6" t="s">
        <v>94</v>
      </c>
      <c r="O11" s="3" t="s">
        <v>83</v>
      </c>
      <c r="P11" s="6" t="s">
        <v>93</v>
      </c>
      <c r="Q11" s="3" t="s">
        <v>66</v>
      </c>
      <c r="R11" s="6" t="s">
        <v>95</v>
      </c>
      <c r="S11" s="5">
        <f>9730.68</f>
        <v>9730.68</v>
      </c>
      <c r="T11" s="4">
        <f>52019</f>
        <v>52019</v>
      </c>
      <c r="U11" s="4">
        <v>14</v>
      </c>
      <c r="V11" s="4">
        <v>3966</v>
      </c>
      <c r="W11" s="4">
        <f>505375663000</f>
        <v>505375663000</v>
      </c>
      <c r="X11" s="4">
        <v>137760000</v>
      </c>
      <c r="Y11" s="4">
        <v>38499750000</v>
      </c>
      <c r="Z11" s="3"/>
      <c r="AA11" s="2">
        <f>8425</f>
        <v>8425</v>
      </c>
      <c r="AB11" s="2" t="str">
        <f t="shared" si="0"/>
        <v>－</v>
      </c>
      <c r="AC11" s="1">
        <f>19</f>
        <v>19</v>
      </c>
    </row>
    <row r="12" spans="1:29">
      <c r="A12" s="9" t="s">
        <v>46</v>
      </c>
      <c r="B12" s="8" t="s">
        <v>47</v>
      </c>
      <c r="C12" s="8" t="s">
        <v>48</v>
      </c>
      <c r="D12" s="8" t="s">
        <v>96</v>
      </c>
      <c r="E12" s="7" t="s">
        <v>97</v>
      </c>
      <c r="F12" s="7" t="s">
        <v>98</v>
      </c>
      <c r="G12" s="3" t="s">
        <v>51</v>
      </c>
      <c r="H12" s="6" t="s">
        <v>99</v>
      </c>
      <c r="I12" s="3" t="s">
        <v>66</v>
      </c>
      <c r="J12" s="6" t="s">
        <v>100</v>
      </c>
      <c r="K12" s="3" t="s">
        <v>66</v>
      </c>
      <c r="L12" s="6" t="s">
        <v>101</v>
      </c>
      <c r="M12" s="3" t="s">
        <v>57</v>
      </c>
      <c r="N12" s="6" t="s">
        <v>102</v>
      </c>
      <c r="O12" s="3" t="s">
        <v>103</v>
      </c>
      <c r="P12" s="6" t="s">
        <v>104</v>
      </c>
      <c r="Q12" s="3" t="s">
        <v>66</v>
      </c>
      <c r="R12" s="6" t="s">
        <v>71</v>
      </c>
      <c r="S12" s="5">
        <f>9732.58</f>
        <v>9732.58</v>
      </c>
      <c r="T12" s="4">
        <f>508655</f>
        <v>508655</v>
      </c>
      <c r="U12" s="4">
        <v>627</v>
      </c>
      <c r="V12" s="4">
        <v>5682</v>
      </c>
      <c r="W12" s="4">
        <f>4940638984000</f>
        <v>4940638984000</v>
      </c>
      <c r="X12" s="4">
        <v>6035630000</v>
      </c>
      <c r="Y12" s="4">
        <v>55413708000</v>
      </c>
      <c r="Z12" s="3"/>
      <c r="AA12" s="2">
        <f>22725</f>
        <v>22725</v>
      </c>
      <c r="AB12" s="2" t="str">
        <f t="shared" si="0"/>
        <v>－</v>
      </c>
      <c r="AC12" s="1">
        <f>19</f>
        <v>19</v>
      </c>
    </row>
    <row r="13" spans="1:29">
      <c r="A13" s="9" t="s">
        <v>46</v>
      </c>
      <c r="B13" s="8" t="s">
        <v>47</v>
      </c>
      <c r="C13" s="8" t="s">
        <v>48</v>
      </c>
      <c r="D13" s="8" t="s">
        <v>105</v>
      </c>
      <c r="E13" s="7" t="s">
        <v>106</v>
      </c>
      <c r="F13" s="7" t="s">
        <v>107</v>
      </c>
      <c r="G13" s="3" t="s">
        <v>108</v>
      </c>
      <c r="H13" s="6" t="s">
        <v>54</v>
      </c>
      <c r="I13" s="3" t="s">
        <v>66</v>
      </c>
      <c r="J13" s="6" t="s">
        <v>109</v>
      </c>
      <c r="K13" s="3"/>
      <c r="L13" s="6"/>
      <c r="M13" s="3" t="s">
        <v>66</v>
      </c>
      <c r="N13" s="6" t="s">
        <v>110</v>
      </c>
      <c r="O13" s="3"/>
      <c r="P13" s="6"/>
      <c r="Q13" s="3" t="s">
        <v>66</v>
      </c>
      <c r="R13" s="6" t="s">
        <v>111</v>
      </c>
      <c r="S13" s="5">
        <f>9832</f>
        <v>9832</v>
      </c>
      <c r="T13" s="4">
        <f>31864</f>
        <v>31864</v>
      </c>
      <c r="U13" s="4"/>
      <c r="V13" s="4">
        <v>2095</v>
      </c>
      <c r="W13" s="4">
        <f>313331500000</f>
        <v>313331500000</v>
      </c>
      <c r="X13" s="4"/>
      <c r="Y13" s="4">
        <v>20601661000</v>
      </c>
      <c r="Z13" s="3"/>
      <c r="AA13" s="2">
        <f>7960</f>
        <v>7960</v>
      </c>
      <c r="AB13" s="2" t="str">
        <f t="shared" si="0"/>
        <v>－</v>
      </c>
      <c r="AC13" s="1">
        <f>3</f>
        <v>3</v>
      </c>
    </row>
    <row r="14" spans="1:29">
      <c r="A14" s="9" t="s">
        <v>46</v>
      </c>
      <c r="B14" s="8" t="s">
        <v>112</v>
      </c>
      <c r="C14" s="8" t="s">
        <v>113</v>
      </c>
      <c r="D14" s="8" t="s">
        <v>46</v>
      </c>
      <c r="E14" s="7" t="s">
        <v>49</v>
      </c>
      <c r="F14" s="7" t="s">
        <v>114</v>
      </c>
      <c r="G14" s="3" t="s">
        <v>51</v>
      </c>
      <c r="H14" s="6" t="s">
        <v>115</v>
      </c>
      <c r="I14" s="3" t="s">
        <v>68</v>
      </c>
      <c r="J14" s="6" t="s">
        <v>116</v>
      </c>
      <c r="K14" s="3"/>
      <c r="L14" s="6"/>
      <c r="M14" s="3" t="s">
        <v>57</v>
      </c>
      <c r="N14" s="6" t="s">
        <v>117</v>
      </c>
      <c r="O14" s="3"/>
      <c r="P14" s="6"/>
      <c r="Q14" s="3" t="s">
        <v>68</v>
      </c>
      <c r="R14" s="6" t="s">
        <v>118</v>
      </c>
      <c r="S14" s="5">
        <f>9706.33</f>
        <v>9706.33</v>
      </c>
      <c r="T14" s="4">
        <f>846</f>
        <v>846</v>
      </c>
      <c r="U14" s="4"/>
      <c r="V14" s="4"/>
      <c r="W14" s="4">
        <f>818479650</f>
        <v>818479650</v>
      </c>
      <c r="X14" s="4"/>
      <c r="Y14" s="4"/>
      <c r="Z14" s="3" t="s">
        <v>61</v>
      </c>
      <c r="AA14" s="2">
        <f>160</f>
        <v>160</v>
      </c>
      <c r="AB14" s="2" t="str">
        <f t="shared" si="0"/>
        <v>－</v>
      </c>
      <c r="AC14" s="1">
        <f>15</f>
        <v>15</v>
      </c>
    </row>
    <row r="15" spans="1:29">
      <c r="A15" s="9" t="s">
        <v>46</v>
      </c>
      <c r="B15" s="8" t="s">
        <v>112</v>
      </c>
      <c r="C15" s="8" t="s">
        <v>113</v>
      </c>
      <c r="D15" s="8" t="s">
        <v>62</v>
      </c>
      <c r="E15" s="7" t="s">
        <v>63</v>
      </c>
      <c r="F15" s="7" t="s">
        <v>119</v>
      </c>
      <c r="G15" s="3" t="s">
        <v>51</v>
      </c>
      <c r="H15" s="6" t="s">
        <v>120</v>
      </c>
      <c r="I15" s="3" t="s">
        <v>66</v>
      </c>
      <c r="J15" s="6" t="s">
        <v>121</v>
      </c>
      <c r="K15" s="3"/>
      <c r="L15" s="6"/>
      <c r="M15" s="3" t="s">
        <v>57</v>
      </c>
      <c r="N15" s="6" t="s">
        <v>122</v>
      </c>
      <c r="O15" s="3"/>
      <c r="P15" s="6"/>
      <c r="Q15" s="3" t="s">
        <v>66</v>
      </c>
      <c r="R15" s="6" t="s">
        <v>123</v>
      </c>
      <c r="S15" s="5">
        <f>9732.63</f>
        <v>9732.6299999999992</v>
      </c>
      <c r="T15" s="4">
        <f>169</f>
        <v>169</v>
      </c>
      <c r="U15" s="4"/>
      <c r="V15" s="4">
        <v>14</v>
      </c>
      <c r="W15" s="4">
        <f>164577450</f>
        <v>164577450</v>
      </c>
      <c r="X15" s="4"/>
      <c r="Y15" s="4">
        <v>13650000</v>
      </c>
      <c r="Z15" s="3"/>
      <c r="AA15" s="2">
        <f>339</f>
        <v>339</v>
      </c>
      <c r="AB15" s="2" t="str">
        <f t="shared" si="0"/>
        <v>－</v>
      </c>
      <c r="AC15" s="1">
        <f>17</f>
        <v>17</v>
      </c>
    </row>
    <row r="16" spans="1:29">
      <c r="A16" s="9" t="s">
        <v>46</v>
      </c>
      <c r="B16" s="8" t="s">
        <v>112</v>
      </c>
      <c r="C16" s="8" t="s">
        <v>113</v>
      </c>
      <c r="D16" s="8" t="s">
        <v>72</v>
      </c>
      <c r="E16" s="7" t="s">
        <v>73</v>
      </c>
      <c r="F16" s="7" t="s">
        <v>124</v>
      </c>
      <c r="G16" s="3" t="s">
        <v>51</v>
      </c>
      <c r="H16" s="6" t="s">
        <v>125</v>
      </c>
      <c r="I16" s="3" t="s">
        <v>53</v>
      </c>
      <c r="J16" s="6" t="s">
        <v>126</v>
      </c>
      <c r="K16" s="3"/>
      <c r="L16" s="6"/>
      <c r="M16" s="3" t="s">
        <v>57</v>
      </c>
      <c r="N16" s="6" t="s">
        <v>122</v>
      </c>
      <c r="O16" s="3"/>
      <c r="P16" s="6"/>
      <c r="Q16" s="3" t="s">
        <v>66</v>
      </c>
      <c r="R16" s="6" t="s">
        <v>127</v>
      </c>
      <c r="S16" s="5">
        <f>9730</f>
        <v>9730</v>
      </c>
      <c r="T16" s="4">
        <f>1065</f>
        <v>1065</v>
      </c>
      <c r="U16" s="4"/>
      <c r="V16" s="4">
        <v>14</v>
      </c>
      <c r="W16" s="4">
        <f>1031977700</f>
        <v>1031977700</v>
      </c>
      <c r="X16" s="4"/>
      <c r="Y16" s="4">
        <v>13647900</v>
      </c>
      <c r="Z16" s="3"/>
      <c r="AA16" s="2">
        <f>411</f>
        <v>411</v>
      </c>
      <c r="AB16" s="2" t="str">
        <f t="shared" si="0"/>
        <v>－</v>
      </c>
      <c r="AC16" s="1">
        <f>19</f>
        <v>19</v>
      </c>
    </row>
    <row r="17" spans="1:29">
      <c r="A17" s="9" t="s">
        <v>46</v>
      </c>
      <c r="B17" s="8" t="s">
        <v>112</v>
      </c>
      <c r="C17" s="8" t="s">
        <v>113</v>
      </c>
      <c r="D17" s="8" t="s">
        <v>78</v>
      </c>
      <c r="E17" s="7" t="s">
        <v>79</v>
      </c>
      <c r="F17" s="7" t="s">
        <v>128</v>
      </c>
      <c r="G17" s="3" t="s">
        <v>51</v>
      </c>
      <c r="H17" s="6" t="s">
        <v>129</v>
      </c>
      <c r="I17" s="3" t="s">
        <v>66</v>
      </c>
      <c r="J17" s="6" t="s">
        <v>130</v>
      </c>
      <c r="K17" s="3"/>
      <c r="L17" s="6"/>
      <c r="M17" s="3" t="s">
        <v>57</v>
      </c>
      <c r="N17" s="6" t="s">
        <v>131</v>
      </c>
      <c r="O17" s="3"/>
      <c r="P17" s="6"/>
      <c r="Q17" s="3" t="s">
        <v>66</v>
      </c>
      <c r="R17" s="6" t="s">
        <v>132</v>
      </c>
      <c r="S17" s="5">
        <f>9729.37</f>
        <v>9729.3700000000008</v>
      </c>
      <c r="T17" s="4">
        <f>1078</f>
        <v>1078</v>
      </c>
      <c r="U17" s="4"/>
      <c r="V17" s="4"/>
      <c r="W17" s="4">
        <f>1046851600</f>
        <v>1046851600</v>
      </c>
      <c r="X17" s="4"/>
      <c r="Y17" s="4"/>
      <c r="Z17" s="3"/>
      <c r="AA17" s="2">
        <f>1646</f>
        <v>1646</v>
      </c>
      <c r="AB17" s="2" t="str">
        <f t="shared" si="0"/>
        <v>－</v>
      </c>
      <c r="AC17" s="1">
        <f>19</f>
        <v>19</v>
      </c>
    </row>
    <row r="18" spans="1:29">
      <c r="A18" s="9" t="s">
        <v>46</v>
      </c>
      <c r="B18" s="8" t="s">
        <v>112</v>
      </c>
      <c r="C18" s="8" t="s">
        <v>113</v>
      </c>
      <c r="D18" s="8" t="s">
        <v>88</v>
      </c>
      <c r="E18" s="7" t="s">
        <v>89</v>
      </c>
      <c r="F18" s="7" t="s">
        <v>133</v>
      </c>
      <c r="G18" s="3" t="s">
        <v>51</v>
      </c>
      <c r="H18" s="6" t="s">
        <v>134</v>
      </c>
      <c r="I18" s="3" t="s">
        <v>66</v>
      </c>
      <c r="J18" s="6" t="s">
        <v>135</v>
      </c>
      <c r="K18" s="3"/>
      <c r="L18" s="6"/>
      <c r="M18" s="3" t="s">
        <v>57</v>
      </c>
      <c r="N18" s="6" t="s">
        <v>136</v>
      </c>
      <c r="O18" s="3"/>
      <c r="P18" s="6"/>
      <c r="Q18" s="3" t="s">
        <v>66</v>
      </c>
      <c r="R18" s="6" t="s">
        <v>137</v>
      </c>
      <c r="S18" s="5">
        <f>9730.68</f>
        <v>9730.68</v>
      </c>
      <c r="T18" s="4">
        <f>3433</f>
        <v>3433</v>
      </c>
      <c r="U18" s="4"/>
      <c r="V18" s="4"/>
      <c r="W18" s="4">
        <f>3334927550</f>
        <v>3334927550</v>
      </c>
      <c r="X18" s="4"/>
      <c r="Y18" s="4"/>
      <c r="Z18" s="3"/>
      <c r="AA18" s="2">
        <f>3153</f>
        <v>3153</v>
      </c>
      <c r="AB18" s="2" t="str">
        <f t="shared" si="0"/>
        <v>－</v>
      </c>
      <c r="AC18" s="1">
        <f>19</f>
        <v>19</v>
      </c>
    </row>
    <row r="19" spans="1:29">
      <c r="A19" s="9" t="s">
        <v>46</v>
      </c>
      <c r="B19" s="8" t="s">
        <v>112</v>
      </c>
      <c r="C19" s="8" t="s">
        <v>113</v>
      </c>
      <c r="D19" s="8" t="s">
        <v>96</v>
      </c>
      <c r="E19" s="7" t="s">
        <v>97</v>
      </c>
      <c r="F19" s="7" t="s">
        <v>138</v>
      </c>
      <c r="G19" s="3" t="s">
        <v>51</v>
      </c>
      <c r="H19" s="6" t="s">
        <v>134</v>
      </c>
      <c r="I19" s="3" t="s">
        <v>66</v>
      </c>
      <c r="J19" s="6" t="s">
        <v>139</v>
      </c>
      <c r="K19" s="3"/>
      <c r="L19" s="6"/>
      <c r="M19" s="3" t="s">
        <v>57</v>
      </c>
      <c r="N19" s="6" t="s">
        <v>140</v>
      </c>
      <c r="O19" s="3"/>
      <c r="P19" s="6"/>
      <c r="Q19" s="3" t="s">
        <v>66</v>
      </c>
      <c r="R19" s="6" t="s">
        <v>141</v>
      </c>
      <c r="S19" s="5">
        <f>9732.58</f>
        <v>9732.58</v>
      </c>
      <c r="T19" s="4">
        <f>74363</f>
        <v>74363</v>
      </c>
      <c r="U19" s="4"/>
      <c r="V19" s="4"/>
      <c r="W19" s="4">
        <f>72216169600</f>
        <v>72216169600</v>
      </c>
      <c r="X19" s="4"/>
      <c r="Y19" s="4"/>
      <c r="Z19" s="3"/>
      <c r="AA19" s="2">
        <f>3955</f>
        <v>3955</v>
      </c>
      <c r="AB19" s="2" t="str">
        <f t="shared" si="0"/>
        <v>－</v>
      </c>
      <c r="AC19" s="1">
        <f>19</f>
        <v>19</v>
      </c>
    </row>
    <row r="20" spans="1:29">
      <c r="A20" s="9" t="s">
        <v>46</v>
      </c>
      <c r="B20" s="8" t="s">
        <v>112</v>
      </c>
      <c r="C20" s="8" t="s">
        <v>113</v>
      </c>
      <c r="D20" s="8" t="s">
        <v>105</v>
      </c>
      <c r="E20" s="7" t="s">
        <v>106</v>
      </c>
      <c r="F20" s="7" t="s">
        <v>142</v>
      </c>
      <c r="G20" s="3" t="s">
        <v>108</v>
      </c>
      <c r="H20" s="6" t="s">
        <v>143</v>
      </c>
      <c r="I20" s="3" t="s">
        <v>66</v>
      </c>
      <c r="J20" s="6" t="s">
        <v>144</v>
      </c>
      <c r="K20" s="3"/>
      <c r="L20" s="6"/>
      <c r="M20" s="3" t="s">
        <v>66</v>
      </c>
      <c r="N20" s="6" t="s">
        <v>145</v>
      </c>
      <c r="O20" s="3"/>
      <c r="P20" s="6"/>
      <c r="Q20" s="3" t="s">
        <v>66</v>
      </c>
      <c r="R20" s="6" t="s">
        <v>116</v>
      </c>
      <c r="S20" s="5">
        <f>9832</f>
        <v>9832</v>
      </c>
      <c r="T20" s="4">
        <f>4756</f>
        <v>4756</v>
      </c>
      <c r="U20" s="4"/>
      <c r="V20" s="4"/>
      <c r="W20" s="4">
        <f>4676474800</f>
        <v>4676474800</v>
      </c>
      <c r="X20" s="4"/>
      <c r="Y20" s="4"/>
      <c r="Z20" s="3"/>
      <c r="AA20" s="2">
        <f>886</f>
        <v>886</v>
      </c>
      <c r="AB20" s="2" t="str">
        <f t="shared" si="0"/>
        <v>－</v>
      </c>
      <c r="AC20" s="1">
        <f>3</f>
        <v>3</v>
      </c>
    </row>
    <row r="21" spans="1:29">
      <c r="A21" s="9" t="s">
        <v>46</v>
      </c>
      <c r="B21" s="8" t="s">
        <v>146</v>
      </c>
      <c r="C21" s="8" t="s">
        <v>147</v>
      </c>
      <c r="D21" s="8" t="s">
        <v>148</v>
      </c>
      <c r="E21" s="7" t="s">
        <v>148</v>
      </c>
      <c r="F21" s="7" t="s">
        <v>148</v>
      </c>
      <c r="G21" s="3" t="s">
        <v>51</v>
      </c>
      <c r="H21" s="6" t="s">
        <v>149</v>
      </c>
      <c r="I21" s="3" t="s">
        <v>66</v>
      </c>
      <c r="J21" s="6" t="s">
        <v>150</v>
      </c>
      <c r="K21" s="3"/>
      <c r="L21" s="6"/>
      <c r="M21" s="3" t="s">
        <v>57</v>
      </c>
      <c r="N21" s="6" t="s">
        <v>151</v>
      </c>
      <c r="O21" s="3"/>
      <c r="P21" s="6"/>
      <c r="Q21" s="3" t="s">
        <v>66</v>
      </c>
      <c r="R21" s="6" t="s">
        <v>152</v>
      </c>
      <c r="S21" s="5">
        <f>9732.63</f>
        <v>9732.6299999999992</v>
      </c>
      <c r="T21" s="4">
        <f>166837</f>
        <v>166837</v>
      </c>
      <c r="U21" s="4"/>
      <c r="V21" s="4"/>
      <c r="W21" s="4">
        <f>162557498800</f>
        <v>162557498800</v>
      </c>
      <c r="X21" s="4"/>
      <c r="Y21" s="4"/>
      <c r="Z21" s="3"/>
      <c r="AA21" s="2">
        <f>88353</f>
        <v>88353</v>
      </c>
      <c r="AB21" s="2" t="str">
        <f t="shared" si="0"/>
        <v>－</v>
      </c>
      <c r="AC21" s="1">
        <f>19</f>
        <v>19</v>
      </c>
    </row>
    <row r="22" spans="1:29">
      <c r="A22" s="9" t="s">
        <v>46</v>
      </c>
      <c r="B22" s="8" t="s">
        <v>153</v>
      </c>
      <c r="C22" s="8" t="s">
        <v>154</v>
      </c>
      <c r="D22" s="8" t="s">
        <v>46</v>
      </c>
      <c r="E22" s="7" t="s">
        <v>49</v>
      </c>
      <c r="F22" s="7" t="s">
        <v>50</v>
      </c>
      <c r="G22" s="3" t="s">
        <v>51</v>
      </c>
      <c r="H22" s="6" t="s">
        <v>155</v>
      </c>
      <c r="I22" s="3" t="s">
        <v>103</v>
      </c>
      <c r="J22" s="6" t="s">
        <v>156</v>
      </c>
      <c r="K22" s="3" t="s">
        <v>53</v>
      </c>
      <c r="L22" s="6" t="s">
        <v>157</v>
      </c>
      <c r="M22" s="3" t="s">
        <v>103</v>
      </c>
      <c r="N22" s="6" t="s">
        <v>158</v>
      </c>
      <c r="O22" s="3" t="s">
        <v>53</v>
      </c>
      <c r="P22" s="6" t="s">
        <v>157</v>
      </c>
      <c r="Q22" s="3" t="s">
        <v>103</v>
      </c>
      <c r="R22" s="6" t="s">
        <v>156</v>
      </c>
      <c r="S22" s="5">
        <f>107.88</f>
        <v>107.88</v>
      </c>
      <c r="T22" s="4">
        <f>43</f>
        <v>43</v>
      </c>
      <c r="U22" s="4">
        <v>3</v>
      </c>
      <c r="V22" s="4"/>
      <c r="W22" s="4">
        <f>45939000</f>
        <v>45939000</v>
      </c>
      <c r="X22" s="4">
        <v>3450000</v>
      </c>
      <c r="Y22" s="4"/>
      <c r="Z22" s="3" t="s">
        <v>61</v>
      </c>
      <c r="AA22" s="2">
        <f>66</f>
        <v>66</v>
      </c>
      <c r="AB22" s="2" t="str">
        <f t="shared" si="0"/>
        <v>－</v>
      </c>
      <c r="AC22" s="1">
        <f>4</f>
        <v>4</v>
      </c>
    </row>
    <row r="23" spans="1:29">
      <c r="A23" s="9" t="s">
        <v>46</v>
      </c>
      <c r="B23" s="8" t="s">
        <v>153</v>
      </c>
      <c r="C23" s="8" t="s">
        <v>154</v>
      </c>
      <c r="D23" s="8" t="s">
        <v>62</v>
      </c>
      <c r="E23" s="7" t="s">
        <v>63</v>
      </c>
      <c r="F23" s="7" t="s">
        <v>64</v>
      </c>
      <c r="G23" s="3" t="s">
        <v>51</v>
      </c>
      <c r="H23" s="6" t="s">
        <v>159</v>
      </c>
      <c r="I23" s="3" t="s">
        <v>103</v>
      </c>
      <c r="J23" s="6" t="s">
        <v>160</v>
      </c>
      <c r="K23" s="3"/>
      <c r="L23" s="6"/>
      <c r="M23" s="3" t="s">
        <v>51</v>
      </c>
      <c r="N23" s="6" t="s">
        <v>159</v>
      </c>
      <c r="O23" s="3"/>
      <c r="P23" s="6"/>
      <c r="Q23" s="3" t="s">
        <v>103</v>
      </c>
      <c r="R23" s="6" t="s">
        <v>160</v>
      </c>
      <c r="S23" s="5">
        <f>110.84</f>
        <v>110.84</v>
      </c>
      <c r="T23" s="4">
        <f>4</f>
        <v>4</v>
      </c>
      <c r="U23" s="4"/>
      <c r="V23" s="4"/>
      <c r="W23" s="4">
        <f>4487000</f>
        <v>4487000</v>
      </c>
      <c r="X23" s="4"/>
      <c r="Y23" s="4"/>
      <c r="Z23" s="3"/>
      <c r="AA23" s="2">
        <f>119</f>
        <v>119</v>
      </c>
      <c r="AB23" s="2" t="str">
        <f t="shared" si="0"/>
        <v>－</v>
      </c>
      <c r="AC23" s="1">
        <f>2</f>
        <v>2</v>
      </c>
    </row>
    <row r="24" spans="1:29">
      <c r="A24" s="9" t="s">
        <v>46</v>
      </c>
      <c r="B24" s="8" t="s">
        <v>153</v>
      </c>
      <c r="C24" s="8" t="s">
        <v>154</v>
      </c>
      <c r="D24" s="8" t="s">
        <v>72</v>
      </c>
      <c r="E24" s="7" t="s">
        <v>73</v>
      </c>
      <c r="F24" s="7" t="s">
        <v>74</v>
      </c>
      <c r="G24" s="3"/>
      <c r="H24" s="6" t="s">
        <v>148</v>
      </c>
      <c r="I24" s="3"/>
      <c r="J24" s="6" t="s">
        <v>148</v>
      </c>
      <c r="K24" s="3"/>
      <c r="L24" s="6"/>
      <c r="M24" s="3"/>
      <c r="N24" s="6" t="s">
        <v>148</v>
      </c>
      <c r="O24" s="3"/>
      <c r="P24" s="6"/>
      <c r="Q24" s="3"/>
      <c r="R24" s="6" t="s">
        <v>148</v>
      </c>
      <c r="S24" s="5">
        <f>108.37</f>
        <v>108.37</v>
      </c>
      <c r="T24" s="4" t="str">
        <f>"－"</f>
        <v>－</v>
      </c>
      <c r="U24" s="4"/>
      <c r="V24" s="4"/>
      <c r="W24" s="4" t="str">
        <f>"－"</f>
        <v>－</v>
      </c>
      <c r="X24" s="4"/>
      <c r="Y24" s="4"/>
      <c r="Z24" s="3"/>
      <c r="AA24" s="2">
        <f>21</f>
        <v>21</v>
      </c>
      <c r="AB24" s="2" t="str">
        <f t="shared" si="0"/>
        <v>－</v>
      </c>
      <c r="AC24" s="1" t="str">
        <f>"－"</f>
        <v>－</v>
      </c>
    </row>
    <row r="25" spans="1:29">
      <c r="A25" s="9" t="s">
        <v>46</v>
      </c>
      <c r="B25" s="8" t="s">
        <v>153</v>
      </c>
      <c r="C25" s="8" t="s">
        <v>154</v>
      </c>
      <c r="D25" s="8" t="s">
        <v>78</v>
      </c>
      <c r="E25" s="7" t="s">
        <v>79</v>
      </c>
      <c r="F25" s="7" t="s">
        <v>80</v>
      </c>
      <c r="G25" s="3" t="s">
        <v>103</v>
      </c>
      <c r="H25" s="6" t="s">
        <v>161</v>
      </c>
      <c r="I25" s="3" t="s">
        <v>162</v>
      </c>
      <c r="J25" s="6" t="s">
        <v>163</v>
      </c>
      <c r="K25" s="3"/>
      <c r="L25" s="6"/>
      <c r="M25" s="3" t="s">
        <v>103</v>
      </c>
      <c r="N25" s="6" t="s">
        <v>161</v>
      </c>
      <c r="O25" s="3"/>
      <c r="P25" s="6"/>
      <c r="Q25" s="3" t="s">
        <v>68</v>
      </c>
      <c r="R25" s="6" t="s">
        <v>161</v>
      </c>
      <c r="S25" s="5">
        <f>108.53</f>
        <v>108.53</v>
      </c>
      <c r="T25" s="4">
        <f>4</f>
        <v>4</v>
      </c>
      <c r="U25" s="4"/>
      <c r="V25" s="4"/>
      <c r="W25" s="4">
        <f>13140000</f>
        <v>13140000</v>
      </c>
      <c r="X25" s="4"/>
      <c r="Y25" s="4"/>
      <c r="Z25" s="3"/>
      <c r="AA25" s="2">
        <f>77</f>
        <v>77</v>
      </c>
      <c r="AB25" s="2" t="str">
        <f t="shared" si="0"/>
        <v>－</v>
      </c>
      <c r="AC25" s="1">
        <f>4</f>
        <v>4</v>
      </c>
    </row>
    <row r="26" spans="1:29">
      <c r="A26" s="9" t="s">
        <v>46</v>
      </c>
      <c r="B26" s="8" t="s">
        <v>153</v>
      </c>
      <c r="C26" s="8" t="s">
        <v>154</v>
      </c>
      <c r="D26" s="8" t="s">
        <v>88</v>
      </c>
      <c r="E26" s="7" t="s">
        <v>89</v>
      </c>
      <c r="F26" s="7" t="s">
        <v>90</v>
      </c>
      <c r="G26" s="3"/>
      <c r="H26" s="6" t="s">
        <v>148</v>
      </c>
      <c r="I26" s="3"/>
      <c r="J26" s="6" t="s">
        <v>148</v>
      </c>
      <c r="K26" s="3"/>
      <c r="L26" s="6"/>
      <c r="M26" s="3"/>
      <c r="N26" s="6" t="s">
        <v>148</v>
      </c>
      <c r="O26" s="3"/>
      <c r="P26" s="6"/>
      <c r="Q26" s="3"/>
      <c r="R26" s="6" t="s">
        <v>148</v>
      </c>
      <c r="S26" s="5">
        <f>108.37</f>
        <v>108.37</v>
      </c>
      <c r="T26" s="4" t="str">
        <f>"－"</f>
        <v>－</v>
      </c>
      <c r="U26" s="4"/>
      <c r="V26" s="4"/>
      <c r="W26" s="4" t="str">
        <f>"－"</f>
        <v>－</v>
      </c>
      <c r="X26" s="4"/>
      <c r="Y26" s="4"/>
      <c r="Z26" s="3"/>
      <c r="AA26" s="2">
        <f>49</f>
        <v>49</v>
      </c>
      <c r="AB26" s="2" t="str">
        <f t="shared" si="0"/>
        <v>－</v>
      </c>
      <c r="AC26" s="1" t="str">
        <f>"－"</f>
        <v>－</v>
      </c>
    </row>
    <row r="27" spans="1:29">
      <c r="A27" s="9" t="s">
        <v>46</v>
      </c>
      <c r="B27" s="8" t="s">
        <v>153</v>
      </c>
      <c r="C27" s="8" t="s">
        <v>154</v>
      </c>
      <c r="D27" s="8" t="s">
        <v>96</v>
      </c>
      <c r="E27" s="7" t="s">
        <v>97</v>
      </c>
      <c r="F27" s="7" t="s">
        <v>98</v>
      </c>
      <c r="G27" s="3" t="s">
        <v>164</v>
      </c>
      <c r="H27" s="6" t="s">
        <v>165</v>
      </c>
      <c r="I27" s="3" t="s">
        <v>166</v>
      </c>
      <c r="J27" s="6" t="s">
        <v>167</v>
      </c>
      <c r="K27" s="3"/>
      <c r="L27" s="6"/>
      <c r="M27" s="3" t="s">
        <v>164</v>
      </c>
      <c r="N27" s="6" t="s">
        <v>168</v>
      </c>
      <c r="O27" s="3"/>
      <c r="P27" s="6"/>
      <c r="Q27" s="3" t="s">
        <v>66</v>
      </c>
      <c r="R27" s="6" t="s">
        <v>169</v>
      </c>
      <c r="S27" s="5">
        <f>109.07</f>
        <v>109.07</v>
      </c>
      <c r="T27" s="4">
        <f>21</f>
        <v>21</v>
      </c>
      <c r="U27" s="4"/>
      <c r="V27" s="4"/>
      <c r="W27" s="4">
        <f>69102000</f>
        <v>69102000</v>
      </c>
      <c r="X27" s="4"/>
      <c r="Y27" s="4"/>
      <c r="Z27" s="3"/>
      <c r="AA27" s="2">
        <f>31</f>
        <v>31</v>
      </c>
      <c r="AB27" s="2" t="str">
        <f t="shared" si="0"/>
        <v>－</v>
      </c>
      <c r="AC27" s="1">
        <f>6</f>
        <v>6</v>
      </c>
    </row>
    <row r="28" spans="1:29">
      <c r="A28" s="9" t="s">
        <v>46</v>
      </c>
      <c r="B28" s="8" t="s">
        <v>153</v>
      </c>
      <c r="C28" s="8" t="s">
        <v>154</v>
      </c>
      <c r="D28" s="8" t="s">
        <v>105</v>
      </c>
      <c r="E28" s="7" t="s">
        <v>106</v>
      </c>
      <c r="F28" s="7" t="s">
        <v>107</v>
      </c>
      <c r="G28" s="3"/>
      <c r="H28" s="6" t="s">
        <v>148</v>
      </c>
      <c r="I28" s="3"/>
      <c r="J28" s="6" t="s">
        <v>148</v>
      </c>
      <c r="K28" s="3"/>
      <c r="L28" s="6"/>
      <c r="M28" s="3"/>
      <c r="N28" s="6" t="s">
        <v>148</v>
      </c>
      <c r="O28" s="3"/>
      <c r="P28" s="6"/>
      <c r="Q28" s="3"/>
      <c r="R28" s="6" t="s">
        <v>148</v>
      </c>
      <c r="S28" s="5">
        <f>110.7</f>
        <v>110.7</v>
      </c>
      <c r="T28" s="4" t="str">
        <f>"－"</f>
        <v>－</v>
      </c>
      <c r="U28" s="4"/>
      <c r="V28" s="4"/>
      <c r="W28" s="4" t="str">
        <f>"－"</f>
        <v>－</v>
      </c>
      <c r="X28" s="4"/>
      <c r="Y28" s="4"/>
      <c r="Z28" s="3"/>
      <c r="AA28" s="2" t="str">
        <f>"－"</f>
        <v>－</v>
      </c>
      <c r="AB28" s="2" t="str">
        <f t="shared" si="0"/>
        <v>－</v>
      </c>
      <c r="AC28" s="1" t="str">
        <f>"－"</f>
        <v>－</v>
      </c>
    </row>
    <row r="29" spans="1:29">
      <c r="A29" s="9" t="s">
        <v>46</v>
      </c>
      <c r="B29" s="8" t="s">
        <v>170</v>
      </c>
      <c r="C29" s="8" t="s">
        <v>171</v>
      </c>
      <c r="D29" s="8" t="s">
        <v>46</v>
      </c>
      <c r="E29" s="7" t="s">
        <v>49</v>
      </c>
      <c r="F29" s="7" t="s">
        <v>50</v>
      </c>
      <c r="G29" s="3" t="s">
        <v>51</v>
      </c>
      <c r="H29" s="6" t="s">
        <v>172</v>
      </c>
      <c r="I29" s="3" t="s">
        <v>51</v>
      </c>
      <c r="J29" s="6" t="s">
        <v>173</v>
      </c>
      <c r="K29" s="3" t="s">
        <v>103</v>
      </c>
      <c r="L29" s="6" t="s">
        <v>174</v>
      </c>
      <c r="M29" s="3" t="s">
        <v>175</v>
      </c>
      <c r="N29" s="6" t="s">
        <v>176</v>
      </c>
      <c r="O29" s="3" t="s">
        <v>103</v>
      </c>
      <c r="P29" s="6" t="s">
        <v>174</v>
      </c>
      <c r="Q29" s="3" t="s">
        <v>53</v>
      </c>
      <c r="R29" s="6" t="s">
        <v>177</v>
      </c>
      <c r="S29" s="5">
        <f>4312.19</f>
        <v>4312.1899999999996</v>
      </c>
      <c r="T29" s="4">
        <f>1470</f>
        <v>1470</v>
      </c>
      <c r="U29" s="4">
        <v>389</v>
      </c>
      <c r="V29" s="4">
        <v>13</v>
      </c>
      <c r="W29" s="4">
        <f>3153889500</f>
        <v>3153889500</v>
      </c>
      <c r="X29" s="4">
        <v>835377500</v>
      </c>
      <c r="Y29" s="4">
        <v>27993000</v>
      </c>
      <c r="Z29" s="3" t="s">
        <v>61</v>
      </c>
      <c r="AA29" s="2">
        <f>622</f>
        <v>622</v>
      </c>
      <c r="AB29" s="2" t="str">
        <f t="shared" si="0"/>
        <v>－</v>
      </c>
      <c r="AC29" s="1">
        <f>16</f>
        <v>16</v>
      </c>
    </row>
    <row r="30" spans="1:29">
      <c r="A30" s="9" t="s">
        <v>46</v>
      </c>
      <c r="B30" s="8" t="s">
        <v>170</v>
      </c>
      <c r="C30" s="8" t="s">
        <v>171</v>
      </c>
      <c r="D30" s="8" t="s">
        <v>62</v>
      </c>
      <c r="E30" s="7" t="s">
        <v>63</v>
      </c>
      <c r="F30" s="7" t="s">
        <v>64</v>
      </c>
      <c r="G30" s="3" t="s">
        <v>51</v>
      </c>
      <c r="H30" s="6" t="s">
        <v>178</v>
      </c>
      <c r="I30" s="3" t="s">
        <v>179</v>
      </c>
      <c r="J30" s="6" t="s">
        <v>180</v>
      </c>
      <c r="K30" s="3" t="s">
        <v>103</v>
      </c>
      <c r="L30" s="6" t="s">
        <v>181</v>
      </c>
      <c r="M30" s="3" t="s">
        <v>182</v>
      </c>
      <c r="N30" s="6" t="s">
        <v>183</v>
      </c>
      <c r="O30" s="3" t="s">
        <v>103</v>
      </c>
      <c r="P30" s="6" t="s">
        <v>181</v>
      </c>
      <c r="Q30" s="3" t="s">
        <v>66</v>
      </c>
      <c r="R30" s="6" t="s">
        <v>184</v>
      </c>
      <c r="S30" s="5">
        <f>4324.47</f>
        <v>4324.47</v>
      </c>
      <c r="T30" s="4">
        <f>2749</f>
        <v>2749</v>
      </c>
      <c r="U30" s="4">
        <v>1411</v>
      </c>
      <c r="V30" s="4">
        <v>58</v>
      </c>
      <c r="W30" s="4">
        <f>5943040500</f>
        <v>5943040500</v>
      </c>
      <c r="X30" s="4">
        <v>3051287500</v>
      </c>
      <c r="Y30" s="4">
        <v>125060000</v>
      </c>
      <c r="Z30" s="3"/>
      <c r="AA30" s="2">
        <f>2867</f>
        <v>2867</v>
      </c>
      <c r="AB30" s="2" t="str">
        <f t="shared" si="0"/>
        <v>－</v>
      </c>
      <c r="AC30" s="1">
        <f>19</f>
        <v>19</v>
      </c>
    </row>
    <row r="31" spans="1:29">
      <c r="A31" s="9" t="s">
        <v>46</v>
      </c>
      <c r="B31" s="8" t="s">
        <v>170</v>
      </c>
      <c r="C31" s="8" t="s">
        <v>171</v>
      </c>
      <c r="D31" s="8" t="s">
        <v>72</v>
      </c>
      <c r="E31" s="7" t="s">
        <v>73</v>
      </c>
      <c r="F31" s="7" t="s">
        <v>74</v>
      </c>
      <c r="G31" s="3" t="s">
        <v>51</v>
      </c>
      <c r="H31" s="6" t="s">
        <v>185</v>
      </c>
      <c r="I31" s="3" t="s">
        <v>179</v>
      </c>
      <c r="J31" s="6" t="s">
        <v>186</v>
      </c>
      <c r="K31" s="3" t="s">
        <v>103</v>
      </c>
      <c r="L31" s="6" t="s">
        <v>187</v>
      </c>
      <c r="M31" s="3" t="s">
        <v>55</v>
      </c>
      <c r="N31" s="6" t="s">
        <v>188</v>
      </c>
      <c r="O31" s="3" t="s">
        <v>103</v>
      </c>
      <c r="P31" s="6" t="s">
        <v>187</v>
      </c>
      <c r="Q31" s="3" t="s">
        <v>66</v>
      </c>
      <c r="R31" s="6" t="s">
        <v>189</v>
      </c>
      <c r="S31" s="5">
        <f>4314.79</f>
        <v>4314.79</v>
      </c>
      <c r="T31" s="4">
        <f>1685</f>
        <v>1685</v>
      </c>
      <c r="U31" s="4">
        <v>881</v>
      </c>
      <c r="V31" s="4">
        <v>86</v>
      </c>
      <c r="W31" s="4">
        <f>3630931500</f>
        <v>3630931500</v>
      </c>
      <c r="X31" s="4">
        <v>1898995500</v>
      </c>
      <c r="Y31" s="4">
        <v>184976000</v>
      </c>
      <c r="Z31" s="3"/>
      <c r="AA31" s="2">
        <f>1355</f>
        <v>1355</v>
      </c>
      <c r="AB31" s="2" t="str">
        <f t="shared" si="0"/>
        <v>－</v>
      </c>
      <c r="AC31" s="1">
        <f>19</f>
        <v>19</v>
      </c>
    </row>
    <row r="32" spans="1:29">
      <c r="A32" s="9" t="s">
        <v>46</v>
      </c>
      <c r="B32" s="8" t="s">
        <v>170</v>
      </c>
      <c r="C32" s="8" t="s">
        <v>171</v>
      </c>
      <c r="D32" s="8" t="s">
        <v>78</v>
      </c>
      <c r="E32" s="7" t="s">
        <v>79</v>
      </c>
      <c r="F32" s="7" t="s">
        <v>80</v>
      </c>
      <c r="G32" s="3" t="s">
        <v>51</v>
      </c>
      <c r="H32" s="6" t="s">
        <v>190</v>
      </c>
      <c r="I32" s="3" t="s">
        <v>179</v>
      </c>
      <c r="J32" s="6" t="s">
        <v>191</v>
      </c>
      <c r="K32" s="3" t="s">
        <v>103</v>
      </c>
      <c r="L32" s="6" t="s">
        <v>192</v>
      </c>
      <c r="M32" s="3" t="s">
        <v>193</v>
      </c>
      <c r="N32" s="6" t="s">
        <v>194</v>
      </c>
      <c r="O32" s="3" t="s">
        <v>103</v>
      </c>
      <c r="P32" s="6" t="s">
        <v>192</v>
      </c>
      <c r="Q32" s="3" t="s">
        <v>66</v>
      </c>
      <c r="R32" s="6" t="s">
        <v>195</v>
      </c>
      <c r="S32" s="5">
        <f>4326.47</f>
        <v>4326.47</v>
      </c>
      <c r="T32" s="4">
        <f>1833</f>
        <v>1833</v>
      </c>
      <c r="U32" s="4">
        <v>196</v>
      </c>
      <c r="V32" s="4">
        <v>288</v>
      </c>
      <c r="W32" s="4">
        <f>3957025000</f>
        <v>3957025000</v>
      </c>
      <c r="X32" s="4">
        <v>424046000</v>
      </c>
      <c r="Y32" s="4">
        <v>620712000</v>
      </c>
      <c r="Z32" s="3"/>
      <c r="AA32" s="2">
        <f>2477</f>
        <v>2477</v>
      </c>
      <c r="AB32" s="2" t="str">
        <f t="shared" si="0"/>
        <v>－</v>
      </c>
      <c r="AC32" s="1">
        <f>19</f>
        <v>19</v>
      </c>
    </row>
    <row r="33" spans="1:29">
      <c r="A33" s="9" t="s">
        <v>46</v>
      </c>
      <c r="B33" s="8" t="s">
        <v>170</v>
      </c>
      <c r="C33" s="8" t="s">
        <v>171</v>
      </c>
      <c r="D33" s="8" t="s">
        <v>88</v>
      </c>
      <c r="E33" s="7" t="s">
        <v>89</v>
      </c>
      <c r="F33" s="7" t="s">
        <v>90</v>
      </c>
      <c r="G33" s="3" t="s">
        <v>51</v>
      </c>
      <c r="H33" s="6" t="s">
        <v>196</v>
      </c>
      <c r="I33" s="3" t="s">
        <v>179</v>
      </c>
      <c r="J33" s="6" t="s">
        <v>197</v>
      </c>
      <c r="K33" s="3" t="s">
        <v>103</v>
      </c>
      <c r="L33" s="6" t="s">
        <v>198</v>
      </c>
      <c r="M33" s="3" t="s">
        <v>175</v>
      </c>
      <c r="N33" s="6" t="s">
        <v>199</v>
      </c>
      <c r="O33" s="3" t="s">
        <v>83</v>
      </c>
      <c r="P33" s="6" t="s">
        <v>200</v>
      </c>
      <c r="Q33" s="3" t="s">
        <v>66</v>
      </c>
      <c r="R33" s="6" t="s">
        <v>201</v>
      </c>
      <c r="S33" s="5">
        <f>4308.79</f>
        <v>4308.79</v>
      </c>
      <c r="T33" s="4">
        <f>35677</f>
        <v>35677</v>
      </c>
      <c r="U33" s="4">
        <v>675</v>
      </c>
      <c r="V33" s="4">
        <v>10658</v>
      </c>
      <c r="W33" s="4">
        <f>76869181500</f>
        <v>76869181500</v>
      </c>
      <c r="X33" s="4">
        <v>1456687500</v>
      </c>
      <c r="Y33" s="4">
        <v>22951114500</v>
      </c>
      <c r="Z33" s="3"/>
      <c r="AA33" s="2">
        <f>5613</f>
        <v>5613</v>
      </c>
      <c r="AB33" s="2" t="str">
        <f t="shared" si="0"/>
        <v>－</v>
      </c>
      <c r="AC33" s="1">
        <f>19</f>
        <v>19</v>
      </c>
    </row>
    <row r="34" spans="1:29">
      <c r="A34" s="9" t="s">
        <v>46</v>
      </c>
      <c r="B34" s="8" t="s">
        <v>170</v>
      </c>
      <c r="C34" s="8" t="s">
        <v>171</v>
      </c>
      <c r="D34" s="8" t="s">
        <v>96</v>
      </c>
      <c r="E34" s="7" t="s">
        <v>97</v>
      </c>
      <c r="F34" s="7" t="s">
        <v>98</v>
      </c>
      <c r="G34" s="3" t="s">
        <v>51</v>
      </c>
      <c r="H34" s="6" t="s">
        <v>196</v>
      </c>
      <c r="I34" s="3" t="s">
        <v>179</v>
      </c>
      <c r="J34" s="6" t="s">
        <v>202</v>
      </c>
      <c r="K34" s="3" t="s">
        <v>103</v>
      </c>
      <c r="L34" s="6" t="s">
        <v>203</v>
      </c>
      <c r="M34" s="3" t="s">
        <v>175</v>
      </c>
      <c r="N34" s="6" t="s">
        <v>183</v>
      </c>
      <c r="O34" s="3" t="s">
        <v>204</v>
      </c>
      <c r="P34" s="6" t="s">
        <v>205</v>
      </c>
      <c r="Q34" s="3" t="s">
        <v>66</v>
      </c>
      <c r="R34" s="6" t="s">
        <v>206</v>
      </c>
      <c r="S34" s="5">
        <f>4317</f>
        <v>4317</v>
      </c>
      <c r="T34" s="4">
        <f>215466</f>
        <v>215466</v>
      </c>
      <c r="U34" s="4">
        <v>1773</v>
      </c>
      <c r="V34" s="4">
        <v>12520</v>
      </c>
      <c r="W34" s="4">
        <f>465482908000</f>
        <v>465482908000</v>
      </c>
      <c r="X34" s="4">
        <v>3832320500</v>
      </c>
      <c r="Y34" s="4">
        <v>27014164000</v>
      </c>
      <c r="Z34" s="3"/>
      <c r="AA34" s="2">
        <f>24710</f>
        <v>24710</v>
      </c>
      <c r="AB34" s="2" t="str">
        <f t="shared" si="0"/>
        <v>－</v>
      </c>
      <c r="AC34" s="1">
        <f>19</f>
        <v>19</v>
      </c>
    </row>
    <row r="35" spans="1:29">
      <c r="A35" s="9" t="s">
        <v>46</v>
      </c>
      <c r="B35" s="8" t="s">
        <v>170</v>
      </c>
      <c r="C35" s="8" t="s">
        <v>171</v>
      </c>
      <c r="D35" s="8" t="s">
        <v>105</v>
      </c>
      <c r="E35" s="7" t="s">
        <v>106</v>
      </c>
      <c r="F35" s="7" t="s">
        <v>107</v>
      </c>
      <c r="G35" s="3" t="s">
        <v>108</v>
      </c>
      <c r="H35" s="6" t="s">
        <v>207</v>
      </c>
      <c r="I35" s="3" t="s">
        <v>83</v>
      </c>
      <c r="J35" s="6" t="s">
        <v>208</v>
      </c>
      <c r="K35" s="3"/>
      <c r="L35" s="6"/>
      <c r="M35" s="3" t="s">
        <v>66</v>
      </c>
      <c r="N35" s="6" t="s">
        <v>209</v>
      </c>
      <c r="O35" s="3"/>
      <c r="P35" s="6"/>
      <c r="Q35" s="3" t="s">
        <v>66</v>
      </c>
      <c r="R35" s="6" t="s">
        <v>210</v>
      </c>
      <c r="S35" s="5">
        <f>4298</f>
        <v>4298</v>
      </c>
      <c r="T35" s="4">
        <f>15796</f>
        <v>15796</v>
      </c>
      <c r="U35" s="4"/>
      <c r="V35" s="4">
        <v>2109</v>
      </c>
      <c r="W35" s="4">
        <f>33929518500</f>
        <v>33929518500</v>
      </c>
      <c r="X35" s="4"/>
      <c r="Y35" s="4">
        <v>4534796000</v>
      </c>
      <c r="Z35" s="3"/>
      <c r="AA35" s="2">
        <f>7183</f>
        <v>7183</v>
      </c>
      <c r="AB35" s="2" t="str">
        <f t="shared" si="0"/>
        <v>－</v>
      </c>
      <c r="AC35" s="1">
        <f>3</f>
        <v>3</v>
      </c>
    </row>
    <row r="36" spans="1:29">
      <c r="A36" s="9" t="s">
        <v>46</v>
      </c>
      <c r="B36" s="8" t="s">
        <v>211</v>
      </c>
      <c r="C36" s="8" t="s">
        <v>212</v>
      </c>
      <c r="D36" s="8" t="s">
        <v>46</v>
      </c>
      <c r="E36" s="7" t="s">
        <v>49</v>
      </c>
      <c r="F36" s="7" t="s">
        <v>114</v>
      </c>
      <c r="G36" s="3" t="s">
        <v>57</v>
      </c>
      <c r="H36" s="6" t="s">
        <v>213</v>
      </c>
      <c r="I36" s="3" t="s">
        <v>179</v>
      </c>
      <c r="J36" s="6" t="s">
        <v>214</v>
      </c>
      <c r="K36" s="3"/>
      <c r="L36" s="6"/>
      <c r="M36" s="3" t="s">
        <v>193</v>
      </c>
      <c r="N36" s="6" t="s">
        <v>215</v>
      </c>
      <c r="O36" s="3"/>
      <c r="P36" s="6"/>
      <c r="Q36" s="3" t="s">
        <v>68</v>
      </c>
      <c r="R36" s="6" t="s">
        <v>216</v>
      </c>
      <c r="S36" s="5">
        <f>4313.27</f>
        <v>4313.2700000000004</v>
      </c>
      <c r="T36" s="4">
        <f>88</f>
        <v>88</v>
      </c>
      <c r="U36" s="4"/>
      <c r="V36" s="4"/>
      <c r="W36" s="4">
        <f>37965050</f>
        <v>37965050</v>
      </c>
      <c r="X36" s="4"/>
      <c r="Y36" s="4"/>
      <c r="Z36" s="3" t="s">
        <v>61</v>
      </c>
      <c r="AA36" s="2">
        <f>78</f>
        <v>78</v>
      </c>
      <c r="AB36" s="2" t="str">
        <f t="shared" si="0"/>
        <v>－</v>
      </c>
      <c r="AC36" s="1">
        <f>14</f>
        <v>14</v>
      </c>
    </row>
    <row r="37" spans="1:29">
      <c r="A37" s="9" t="s">
        <v>46</v>
      </c>
      <c r="B37" s="8" t="s">
        <v>211</v>
      </c>
      <c r="C37" s="8" t="s">
        <v>212</v>
      </c>
      <c r="D37" s="8" t="s">
        <v>62</v>
      </c>
      <c r="E37" s="7" t="s">
        <v>63</v>
      </c>
      <c r="F37" s="7" t="s">
        <v>119</v>
      </c>
      <c r="G37" s="3" t="s">
        <v>51</v>
      </c>
      <c r="H37" s="6" t="s">
        <v>217</v>
      </c>
      <c r="I37" s="3" t="s">
        <v>179</v>
      </c>
      <c r="J37" s="6" t="s">
        <v>218</v>
      </c>
      <c r="K37" s="3"/>
      <c r="L37" s="6"/>
      <c r="M37" s="3" t="s">
        <v>193</v>
      </c>
      <c r="N37" s="6" t="s">
        <v>219</v>
      </c>
      <c r="O37" s="3"/>
      <c r="P37" s="6"/>
      <c r="Q37" s="3" t="s">
        <v>66</v>
      </c>
      <c r="R37" s="6" t="s">
        <v>220</v>
      </c>
      <c r="S37" s="5">
        <f>4324.47</f>
        <v>4324.47</v>
      </c>
      <c r="T37" s="4">
        <f>107</f>
        <v>107</v>
      </c>
      <c r="U37" s="4"/>
      <c r="V37" s="4"/>
      <c r="W37" s="4">
        <f>46319600</f>
        <v>46319600</v>
      </c>
      <c r="X37" s="4"/>
      <c r="Y37" s="4"/>
      <c r="Z37" s="3"/>
      <c r="AA37" s="2">
        <f>342</f>
        <v>342</v>
      </c>
      <c r="AB37" s="2" t="str">
        <f t="shared" si="0"/>
        <v>－</v>
      </c>
      <c r="AC37" s="1">
        <f>18</f>
        <v>18</v>
      </c>
    </row>
    <row r="38" spans="1:29">
      <c r="A38" s="9" t="s">
        <v>46</v>
      </c>
      <c r="B38" s="8" t="s">
        <v>211</v>
      </c>
      <c r="C38" s="8" t="s">
        <v>212</v>
      </c>
      <c r="D38" s="8" t="s">
        <v>72</v>
      </c>
      <c r="E38" s="7" t="s">
        <v>73</v>
      </c>
      <c r="F38" s="7" t="s">
        <v>124</v>
      </c>
      <c r="G38" s="3" t="s">
        <v>51</v>
      </c>
      <c r="H38" s="6" t="s">
        <v>221</v>
      </c>
      <c r="I38" s="3" t="s">
        <v>179</v>
      </c>
      <c r="J38" s="6" t="s">
        <v>222</v>
      </c>
      <c r="K38" s="3"/>
      <c r="L38" s="6"/>
      <c r="M38" s="3" t="s">
        <v>55</v>
      </c>
      <c r="N38" s="6" t="s">
        <v>223</v>
      </c>
      <c r="O38" s="3"/>
      <c r="P38" s="6"/>
      <c r="Q38" s="3" t="s">
        <v>83</v>
      </c>
      <c r="R38" s="6" t="s">
        <v>224</v>
      </c>
      <c r="S38" s="5">
        <f>4314.79</f>
        <v>4314.79</v>
      </c>
      <c r="T38" s="4">
        <f>103</f>
        <v>103</v>
      </c>
      <c r="U38" s="4"/>
      <c r="V38" s="4"/>
      <c r="W38" s="4">
        <f>44673100</f>
        <v>44673100</v>
      </c>
      <c r="X38" s="4"/>
      <c r="Y38" s="4"/>
      <c r="Z38" s="3"/>
      <c r="AA38" s="2">
        <f>195</f>
        <v>195</v>
      </c>
      <c r="AB38" s="2" t="str">
        <f t="shared" si="0"/>
        <v>－</v>
      </c>
      <c r="AC38" s="1">
        <f>15</f>
        <v>15</v>
      </c>
    </row>
    <row r="39" spans="1:29">
      <c r="A39" s="9" t="s">
        <v>46</v>
      </c>
      <c r="B39" s="8" t="s">
        <v>211</v>
      </c>
      <c r="C39" s="8" t="s">
        <v>212</v>
      </c>
      <c r="D39" s="8" t="s">
        <v>78</v>
      </c>
      <c r="E39" s="7" t="s">
        <v>79</v>
      </c>
      <c r="F39" s="7" t="s">
        <v>128</v>
      </c>
      <c r="G39" s="3" t="s">
        <v>51</v>
      </c>
      <c r="H39" s="6" t="s">
        <v>225</v>
      </c>
      <c r="I39" s="3" t="s">
        <v>179</v>
      </c>
      <c r="J39" s="6" t="s">
        <v>226</v>
      </c>
      <c r="K39" s="3"/>
      <c r="L39" s="6"/>
      <c r="M39" s="3" t="s">
        <v>193</v>
      </c>
      <c r="N39" s="6" t="s">
        <v>227</v>
      </c>
      <c r="O39" s="3"/>
      <c r="P39" s="6"/>
      <c r="Q39" s="3" t="s">
        <v>66</v>
      </c>
      <c r="R39" s="6" t="s">
        <v>216</v>
      </c>
      <c r="S39" s="5">
        <f>4326.47</f>
        <v>4326.47</v>
      </c>
      <c r="T39" s="4">
        <f>134</f>
        <v>134</v>
      </c>
      <c r="U39" s="4"/>
      <c r="V39" s="4"/>
      <c r="W39" s="4">
        <f>58113050</f>
        <v>58113050</v>
      </c>
      <c r="X39" s="4"/>
      <c r="Y39" s="4"/>
      <c r="Z39" s="3"/>
      <c r="AA39" s="2">
        <f>268</f>
        <v>268</v>
      </c>
      <c r="AB39" s="2" t="str">
        <f t="shared" ref="AB39:AB70" si="1">"－"</f>
        <v>－</v>
      </c>
      <c r="AC39" s="1">
        <f>17</f>
        <v>17</v>
      </c>
    </row>
    <row r="40" spans="1:29">
      <c r="A40" s="9" t="s">
        <v>46</v>
      </c>
      <c r="B40" s="8" t="s">
        <v>211</v>
      </c>
      <c r="C40" s="8" t="s">
        <v>212</v>
      </c>
      <c r="D40" s="8" t="s">
        <v>88</v>
      </c>
      <c r="E40" s="7" t="s">
        <v>89</v>
      </c>
      <c r="F40" s="7" t="s">
        <v>133</v>
      </c>
      <c r="G40" s="3" t="s">
        <v>51</v>
      </c>
      <c r="H40" s="6" t="s">
        <v>228</v>
      </c>
      <c r="I40" s="3" t="s">
        <v>179</v>
      </c>
      <c r="J40" s="6" t="s">
        <v>229</v>
      </c>
      <c r="K40" s="3"/>
      <c r="L40" s="6"/>
      <c r="M40" s="3" t="s">
        <v>193</v>
      </c>
      <c r="N40" s="6" t="s">
        <v>230</v>
      </c>
      <c r="O40" s="3"/>
      <c r="P40" s="6"/>
      <c r="Q40" s="3" t="s">
        <v>66</v>
      </c>
      <c r="R40" s="6" t="s">
        <v>223</v>
      </c>
      <c r="S40" s="5">
        <f>4308.79</f>
        <v>4308.79</v>
      </c>
      <c r="T40" s="4">
        <f>835</f>
        <v>835</v>
      </c>
      <c r="U40" s="4"/>
      <c r="V40" s="4"/>
      <c r="W40" s="4">
        <f>359062900</f>
        <v>359062900</v>
      </c>
      <c r="X40" s="4"/>
      <c r="Y40" s="4"/>
      <c r="Z40" s="3"/>
      <c r="AA40" s="2">
        <f>614</f>
        <v>614</v>
      </c>
      <c r="AB40" s="2" t="str">
        <f t="shared" si="1"/>
        <v>－</v>
      </c>
      <c r="AC40" s="1">
        <f>19</f>
        <v>19</v>
      </c>
    </row>
    <row r="41" spans="1:29">
      <c r="A41" s="9" t="s">
        <v>46</v>
      </c>
      <c r="B41" s="8" t="s">
        <v>211</v>
      </c>
      <c r="C41" s="8" t="s">
        <v>212</v>
      </c>
      <c r="D41" s="8" t="s">
        <v>96</v>
      </c>
      <c r="E41" s="7" t="s">
        <v>97</v>
      </c>
      <c r="F41" s="7" t="s">
        <v>138</v>
      </c>
      <c r="G41" s="3" t="s">
        <v>51</v>
      </c>
      <c r="H41" s="6" t="s">
        <v>231</v>
      </c>
      <c r="I41" s="3" t="s">
        <v>179</v>
      </c>
      <c r="J41" s="6" t="s">
        <v>232</v>
      </c>
      <c r="K41" s="3"/>
      <c r="L41" s="6"/>
      <c r="M41" s="3" t="s">
        <v>175</v>
      </c>
      <c r="N41" s="6" t="s">
        <v>219</v>
      </c>
      <c r="O41" s="3"/>
      <c r="P41" s="6"/>
      <c r="Q41" s="3" t="s">
        <v>66</v>
      </c>
      <c r="R41" s="6" t="s">
        <v>233</v>
      </c>
      <c r="S41" s="5">
        <f>4317</f>
        <v>4317</v>
      </c>
      <c r="T41" s="4">
        <f>16345</f>
        <v>16345</v>
      </c>
      <c r="U41" s="4"/>
      <c r="V41" s="4"/>
      <c r="W41" s="4">
        <f>7057229700</f>
        <v>7057229700</v>
      </c>
      <c r="X41" s="4"/>
      <c r="Y41" s="4"/>
      <c r="Z41" s="3"/>
      <c r="AA41" s="2">
        <f>1456</f>
        <v>1456</v>
      </c>
      <c r="AB41" s="2" t="str">
        <f t="shared" si="1"/>
        <v>－</v>
      </c>
      <c r="AC41" s="1">
        <f>19</f>
        <v>19</v>
      </c>
    </row>
    <row r="42" spans="1:29">
      <c r="A42" s="9" t="s">
        <v>46</v>
      </c>
      <c r="B42" s="8" t="s">
        <v>211</v>
      </c>
      <c r="C42" s="8" t="s">
        <v>212</v>
      </c>
      <c r="D42" s="8" t="s">
        <v>105</v>
      </c>
      <c r="E42" s="7" t="s">
        <v>106</v>
      </c>
      <c r="F42" s="7" t="s">
        <v>142</v>
      </c>
      <c r="G42" s="3" t="s">
        <v>108</v>
      </c>
      <c r="H42" s="6" t="s">
        <v>234</v>
      </c>
      <c r="I42" s="3" t="s">
        <v>83</v>
      </c>
      <c r="J42" s="6" t="s">
        <v>235</v>
      </c>
      <c r="K42" s="3"/>
      <c r="L42" s="6"/>
      <c r="M42" s="3" t="s">
        <v>66</v>
      </c>
      <c r="N42" s="6" t="s">
        <v>236</v>
      </c>
      <c r="O42" s="3"/>
      <c r="P42" s="6"/>
      <c r="Q42" s="3" t="s">
        <v>66</v>
      </c>
      <c r="R42" s="6" t="s">
        <v>237</v>
      </c>
      <c r="S42" s="5">
        <f>4298</f>
        <v>4298</v>
      </c>
      <c r="T42" s="4">
        <f>875</f>
        <v>875</v>
      </c>
      <c r="U42" s="4"/>
      <c r="V42" s="4"/>
      <c r="W42" s="4">
        <f>375677550</f>
        <v>375677550</v>
      </c>
      <c r="X42" s="4"/>
      <c r="Y42" s="4"/>
      <c r="Z42" s="3"/>
      <c r="AA42" s="2">
        <f>307</f>
        <v>307</v>
      </c>
      <c r="AB42" s="2" t="str">
        <f t="shared" si="1"/>
        <v>－</v>
      </c>
      <c r="AC42" s="1">
        <f>3</f>
        <v>3</v>
      </c>
    </row>
    <row r="43" spans="1:29">
      <c r="A43" s="9" t="s">
        <v>46</v>
      </c>
      <c r="B43" s="8" t="s">
        <v>238</v>
      </c>
      <c r="C43" s="8" t="s">
        <v>239</v>
      </c>
      <c r="D43" s="8" t="s">
        <v>148</v>
      </c>
      <c r="E43" s="7" t="s">
        <v>148</v>
      </c>
      <c r="F43" s="7" t="s">
        <v>148</v>
      </c>
      <c r="G43" s="3" t="s">
        <v>51</v>
      </c>
      <c r="H43" s="6" t="s">
        <v>240</v>
      </c>
      <c r="I43" s="3" t="s">
        <v>179</v>
      </c>
      <c r="J43" s="6" t="s">
        <v>241</v>
      </c>
      <c r="K43" s="3" t="s">
        <v>83</v>
      </c>
      <c r="L43" s="6" t="s">
        <v>242</v>
      </c>
      <c r="M43" s="3" t="s">
        <v>175</v>
      </c>
      <c r="N43" s="6" t="s">
        <v>243</v>
      </c>
      <c r="O43" s="3" t="s">
        <v>83</v>
      </c>
      <c r="P43" s="6" t="s">
        <v>242</v>
      </c>
      <c r="Q43" s="3" t="s">
        <v>66</v>
      </c>
      <c r="R43" s="6" t="s">
        <v>244</v>
      </c>
      <c r="S43" s="5">
        <f>4325.21</f>
        <v>4325.21</v>
      </c>
      <c r="T43" s="4">
        <f>107784</f>
        <v>107784</v>
      </c>
      <c r="U43" s="4">
        <v>60</v>
      </c>
      <c r="V43" s="4"/>
      <c r="W43" s="4">
        <f>46349690800</f>
        <v>46349690800</v>
      </c>
      <c r="X43" s="4">
        <v>25668000</v>
      </c>
      <c r="Y43" s="4"/>
      <c r="Z43" s="3"/>
      <c r="AA43" s="2">
        <f>62960</f>
        <v>62960</v>
      </c>
      <c r="AB43" s="2" t="str">
        <f t="shared" si="1"/>
        <v>－</v>
      </c>
      <c r="AC43" s="1">
        <f>19</f>
        <v>19</v>
      </c>
    </row>
    <row r="44" spans="1:29">
      <c r="A44" s="9" t="s">
        <v>46</v>
      </c>
      <c r="B44" s="8" t="s">
        <v>245</v>
      </c>
      <c r="C44" s="8" t="s">
        <v>246</v>
      </c>
      <c r="D44" s="8" t="s">
        <v>46</v>
      </c>
      <c r="E44" s="7" t="s">
        <v>49</v>
      </c>
      <c r="F44" s="7" t="s">
        <v>50</v>
      </c>
      <c r="G44" s="3"/>
      <c r="H44" s="6" t="s">
        <v>148</v>
      </c>
      <c r="I44" s="3"/>
      <c r="J44" s="6" t="s">
        <v>148</v>
      </c>
      <c r="K44" s="3"/>
      <c r="L44" s="6"/>
      <c r="M44" s="3"/>
      <c r="N44" s="6" t="s">
        <v>148</v>
      </c>
      <c r="O44" s="3"/>
      <c r="P44" s="6"/>
      <c r="Q44" s="3"/>
      <c r="R44" s="6" t="s">
        <v>148</v>
      </c>
      <c r="S44" s="5">
        <f>4531.25</f>
        <v>4531.25</v>
      </c>
      <c r="T44" s="4" t="str">
        <f t="shared" ref="T44:T52" si="2">"－"</f>
        <v>－</v>
      </c>
      <c r="U44" s="4"/>
      <c r="V44" s="4"/>
      <c r="W44" s="4" t="str">
        <f t="shared" ref="W44:W52" si="3">"－"</f>
        <v>－</v>
      </c>
      <c r="X44" s="4"/>
      <c r="Y44" s="4"/>
      <c r="Z44" s="3" t="s">
        <v>61</v>
      </c>
      <c r="AA44" s="2" t="str">
        <f t="shared" ref="AA44:AA50" si="4">"－"</f>
        <v>－</v>
      </c>
      <c r="AB44" s="2" t="str">
        <f t="shared" si="1"/>
        <v>－</v>
      </c>
      <c r="AC44" s="1" t="str">
        <f t="shared" ref="AC44:AC52" si="5">"－"</f>
        <v>－</v>
      </c>
    </row>
    <row r="45" spans="1:29">
      <c r="A45" s="9" t="s">
        <v>46</v>
      </c>
      <c r="B45" s="8" t="s">
        <v>245</v>
      </c>
      <c r="C45" s="8" t="s">
        <v>246</v>
      </c>
      <c r="D45" s="8" t="s">
        <v>62</v>
      </c>
      <c r="E45" s="7" t="s">
        <v>63</v>
      </c>
      <c r="F45" s="7" t="s">
        <v>64</v>
      </c>
      <c r="G45" s="3"/>
      <c r="H45" s="6" t="s">
        <v>148</v>
      </c>
      <c r="I45" s="3"/>
      <c r="J45" s="6" t="s">
        <v>148</v>
      </c>
      <c r="K45" s="3"/>
      <c r="L45" s="6"/>
      <c r="M45" s="3"/>
      <c r="N45" s="6" t="s">
        <v>148</v>
      </c>
      <c r="O45" s="3"/>
      <c r="P45" s="6"/>
      <c r="Q45" s="3"/>
      <c r="R45" s="6" t="s">
        <v>148</v>
      </c>
      <c r="S45" s="5">
        <f>4536.84</f>
        <v>4536.84</v>
      </c>
      <c r="T45" s="4" t="str">
        <f t="shared" si="2"/>
        <v>－</v>
      </c>
      <c r="U45" s="4"/>
      <c r="V45" s="4"/>
      <c r="W45" s="4" t="str">
        <f t="shared" si="3"/>
        <v>－</v>
      </c>
      <c r="X45" s="4"/>
      <c r="Y45" s="4"/>
      <c r="Z45" s="3"/>
      <c r="AA45" s="2" t="str">
        <f t="shared" si="4"/>
        <v>－</v>
      </c>
      <c r="AB45" s="2" t="str">
        <f t="shared" si="1"/>
        <v>－</v>
      </c>
      <c r="AC45" s="1" t="str">
        <f t="shared" si="5"/>
        <v>－</v>
      </c>
    </row>
    <row r="46" spans="1:29">
      <c r="A46" s="9" t="s">
        <v>46</v>
      </c>
      <c r="B46" s="8" t="s">
        <v>245</v>
      </c>
      <c r="C46" s="8" t="s">
        <v>246</v>
      </c>
      <c r="D46" s="8" t="s">
        <v>72</v>
      </c>
      <c r="E46" s="7" t="s">
        <v>73</v>
      </c>
      <c r="F46" s="7" t="s">
        <v>74</v>
      </c>
      <c r="G46" s="3"/>
      <c r="H46" s="6" t="s">
        <v>148</v>
      </c>
      <c r="I46" s="3"/>
      <c r="J46" s="6" t="s">
        <v>148</v>
      </c>
      <c r="K46" s="3"/>
      <c r="L46" s="6"/>
      <c r="M46" s="3"/>
      <c r="N46" s="6" t="s">
        <v>148</v>
      </c>
      <c r="O46" s="3"/>
      <c r="P46" s="6"/>
      <c r="Q46" s="3"/>
      <c r="R46" s="6" t="s">
        <v>148</v>
      </c>
      <c r="S46" s="5">
        <f>4536.84</f>
        <v>4536.84</v>
      </c>
      <c r="T46" s="4" t="str">
        <f t="shared" si="2"/>
        <v>－</v>
      </c>
      <c r="U46" s="4"/>
      <c r="V46" s="4"/>
      <c r="W46" s="4" t="str">
        <f t="shared" si="3"/>
        <v>－</v>
      </c>
      <c r="X46" s="4"/>
      <c r="Y46" s="4"/>
      <c r="Z46" s="3"/>
      <c r="AA46" s="2" t="str">
        <f t="shared" si="4"/>
        <v>－</v>
      </c>
      <c r="AB46" s="2" t="str">
        <f t="shared" si="1"/>
        <v>－</v>
      </c>
      <c r="AC46" s="1" t="str">
        <f t="shared" si="5"/>
        <v>－</v>
      </c>
    </row>
    <row r="47" spans="1:29">
      <c r="A47" s="9" t="s">
        <v>46</v>
      </c>
      <c r="B47" s="8" t="s">
        <v>245</v>
      </c>
      <c r="C47" s="8" t="s">
        <v>246</v>
      </c>
      <c r="D47" s="8" t="s">
        <v>78</v>
      </c>
      <c r="E47" s="7" t="s">
        <v>79</v>
      </c>
      <c r="F47" s="7" t="s">
        <v>80</v>
      </c>
      <c r="G47" s="3"/>
      <c r="H47" s="6" t="s">
        <v>148</v>
      </c>
      <c r="I47" s="3"/>
      <c r="J47" s="6" t="s">
        <v>148</v>
      </c>
      <c r="K47" s="3"/>
      <c r="L47" s="6"/>
      <c r="M47" s="3"/>
      <c r="N47" s="6" t="s">
        <v>148</v>
      </c>
      <c r="O47" s="3"/>
      <c r="P47" s="6"/>
      <c r="Q47" s="3"/>
      <c r="R47" s="6" t="s">
        <v>148</v>
      </c>
      <c r="S47" s="5">
        <f>4536.84</f>
        <v>4536.84</v>
      </c>
      <c r="T47" s="4" t="str">
        <f t="shared" si="2"/>
        <v>－</v>
      </c>
      <c r="U47" s="4"/>
      <c r="V47" s="4"/>
      <c r="W47" s="4" t="str">
        <f t="shared" si="3"/>
        <v>－</v>
      </c>
      <c r="X47" s="4"/>
      <c r="Y47" s="4"/>
      <c r="Z47" s="3"/>
      <c r="AA47" s="2" t="str">
        <f t="shared" si="4"/>
        <v>－</v>
      </c>
      <c r="AB47" s="2" t="str">
        <f t="shared" si="1"/>
        <v>－</v>
      </c>
      <c r="AC47" s="1" t="str">
        <f t="shared" si="5"/>
        <v>－</v>
      </c>
    </row>
    <row r="48" spans="1:29">
      <c r="A48" s="9" t="s">
        <v>46</v>
      </c>
      <c r="B48" s="8" t="s">
        <v>245</v>
      </c>
      <c r="C48" s="8" t="s">
        <v>246</v>
      </c>
      <c r="D48" s="8" t="s">
        <v>88</v>
      </c>
      <c r="E48" s="7" t="s">
        <v>89</v>
      </c>
      <c r="F48" s="7" t="s">
        <v>90</v>
      </c>
      <c r="G48" s="3"/>
      <c r="H48" s="6" t="s">
        <v>148</v>
      </c>
      <c r="I48" s="3"/>
      <c r="J48" s="6" t="s">
        <v>148</v>
      </c>
      <c r="K48" s="3"/>
      <c r="L48" s="6"/>
      <c r="M48" s="3"/>
      <c r="N48" s="6" t="s">
        <v>148</v>
      </c>
      <c r="O48" s="3"/>
      <c r="P48" s="6"/>
      <c r="Q48" s="3"/>
      <c r="R48" s="6" t="s">
        <v>148</v>
      </c>
      <c r="S48" s="5">
        <f>4536.84</f>
        <v>4536.84</v>
      </c>
      <c r="T48" s="4" t="str">
        <f t="shared" si="2"/>
        <v>－</v>
      </c>
      <c r="U48" s="4"/>
      <c r="V48" s="4"/>
      <c r="W48" s="4" t="str">
        <f t="shared" si="3"/>
        <v>－</v>
      </c>
      <c r="X48" s="4"/>
      <c r="Y48" s="4"/>
      <c r="Z48" s="3"/>
      <c r="AA48" s="2" t="str">
        <f t="shared" si="4"/>
        <v>－</v>
      </c>
      <c r="AB48" s="2" t="str">
        <f t="shared" si="1"/>
        <v>－</v>
      </c>
      <c r="AC48" s="1" t="str">
        <f t="shared" si="5"/>
        <v>－</v>
      </c>
    </row>
    <row r="49" spans="1:29">
      <c r="A49" s="9" t="s">
        <v>46</v>
      </c>
      <c r="B49" s="8" t="s">
        <v>245</v>
      </c>
      <c r="C49" s="8" t="s">
        <v>246</v>
      </c>
      <c r="D49" s="8" t="s">
        <v>96</v>
      </c>
      <c r="E49" s="7" t="s">
        <v>97</v>
      </c>
      <c r="F49" s="7" t="s">
        <v>98</v>
      </c>
      <c r="G49" s="3"/>
      <c r="H49" s="6" t="s">
        <v>148</v>
      </c>
      <c r="I49" s="3"/>
      <c r="J49" s="6" t="s">
        <v>148</v>
      </c>
      <c r="K49" s="3"/>
      <c r="L49" s="6"/>
      <c r="M49" s="3"/>
      <c r="N49" s="6" t="s">
        <v>148</v>
      </c>
      <c r="O49" s="3"/>
      <c r="P49" s="6"/>
      <c r="Q49" s="3"/>
      <c r="R49" s="6" t="s">
        <v>148</v>
      </c>
      <c r="S49" s="5">
        <f>4536.84</f>
        <v>4536.84</v>
      </c>
      <c r="T49" s="4" t="str">
        <f t="shared" si="2"/>
        <v>－</v>
      </c>
      <c r="U49" s="4"/>
      <c r="V49" s="4"/>
      <c r="W49" s="4" t="str">
        <f t="shared" si="3"/>
        <v>－</v>
      </c>
      <c r="X49" s="4"/>
      <c r="Y49" s="4"/>
      <c r="Z49" s="3"/>
      <c r="AA49" s="2" t="str">
        <f t="shared" si="4"/>
        <v>－</v>
      </c>
      <c r="AB49" s="2" t="str">
        <f t="shared" si="1"/>
        <v>－</v>
      </c>
      <c r="AC49" s="1" t="str">
        <f t="shared" si="5"/>
        <v>－</v>
      </c>
    </row>
    <row r="50" spans="1:29">
      <c r="A50" s="9" t="s">
        <v>46</v>
      </c>
      <c r="B50" s="8" t="s">
        <v>245</v>
      </c>
      <c r="C50" s="8" t="s">
        <v>246</v>
      </c>
      <c r="D50" s="8" t="s">
        <v>105</v>
      </c>
      <c r="E50" s="7" t="s">
        <v>106</v>
      </c>
      <c r="F50" s="7" t="s">
        <v>107</v>
      </c>
      <c r="G50" s="3"/>
      <c r="H50" s="6" t="s">
        <v>148</v>
      </c>
      <c r="I50" s="3"/>
      <c r="J50" s="6" t="s">
        <v>148</v>
      </c>
      <c r="K50" s="3"/>
      <c r="L50" s="6"/>
      <c r="M50" s="3"/>
      <c r="N50" s="6" t="s">
        <v>148</v>
      </c>
      <c r="O50" s="3"/>
      <c r="P50" s="6"/>
      <c r="Q50" s="3"/>
      <c r="R50" s="6" t="s">
        <v>148</v>
      </c>
      <c r="S50" s="5">
        <f>4566.67</f>
        <v>4566.67</v>
      </c>
      <c r="T50" s="4" t="str">
        <f t="shared" si="2"/>
        <v>－</v>
      </c>
      <c r="U50" s="4"/>
      <c r="V50" s="4"/>
      <c r="W50" s="4" t="str">
        <f t="shared" si="3"/>
        <v>－</v>
      </c>
      <c r="X50" s="4"/>
      <c r="Y50" s="4"/>
      <c r="Z50" s="3"/>
      <c r="AA50" s="2" t="str">
        <f t="shared" si="4"/>
        <v>－</v>
      </c>
      <c r="AB50" s="2" t="str">
        <f t="shared" si="1"/>
        <v>－</v>
      </c>
      <c r="AC50" s="1" t="str">
        <f t="shared" si="5"/>
        <v>－</v>
      </c>
    </row>
    <row r="51" spans="1:29">
      <c r="A51" s="9" t="s">
        <v>46</v>
      </c>
      <c r="B51" s="8" t="s">
        <v>247</v>
      </c>
      <c r="C51" s="8" t="s">
        <v>248</v>
      </c>
      <c r="D51" s="8" t="s">
        <v>46</v>
      </c>
      <c r="E51" s="7" t="s">
        <v>249</v>
      </c>
      <c r="F51" s="7" t="s">
        <v>250</v>
      </c>
      <c r="G51" s="3"/>
      <c r="H51" s="6" t="s">
        <v>148</v>
      </c>
      <c r="I51" s="3"/>
      <c r="J51" s="6" t="s">
        <v>148</v>
      </c>
      <c r="K51" s="3"/>
      <c r="L51" s="6"/>
      <c r="M51" s="3"/>
      <c r="N51" s="6" t="s">
        <v>148</v>
      </c>
      <c r="O51" s="3"/>
      <c r="P51" s="6"/>
      <c r="Q51" s="3"/>
      <c r="R51" s="6" t="s">
        <v>148</v>
      </c>
      <c r="S51" s="5">
        <f>190.55</f>
        <v>190.55</v>
      </c>
      <c r="T51" s="4" t="str">
        <f t="shared" si="2"/>
        <v>－</v>
      </c>
      <c r="U51" s="4"/>
      <c r="V51" s="4"/>
      <c r="W51" s="4" t="str">
        <f t="shared" si="3"/>
        <v>－</v>
      </c>
      <c r="X51" s="4"/>
      <c r="Y51" s="4"/>
      <c r="Z51" s="3" t="s">
        <v>61</v>
      </c>
      <c r="AA51" s="2">
        <f>1</f>
        <v>1</v>
      </c>
      <c r="AB51" s="2" t="str">
        <f t="shared" si="1"/>
        <v>－</v>
      </c>
      <c r="AC51" s="1" t="str">
        <f t="shared" si="5"/>
        <v>－</v>
      </c>
    </row>
    <row r="52" spans="1:29">
      <c r="A52" s="9" t="s">
        <v>46</v>
      </c>
      <c r="B52" s="8" t="s">
        <v>247</v>
      </c>
      <c r="C52" s="8" t="s">
        <v>248</v>
      </c>
      <c r="D52" s="8" t="s">
        <v>251</v>
      </c>
      <c r="E52" s="7" t="s">
        <v>252</v>
      </c>
      <c r="F52" s="7" t="s">
        <v>253</v>
      </c>
      <c r="G52" s="3"/>
      <c r="H52" s="6" t="s">
        <v>148</v>
      </c>
      <c r="I52" s="3"/>
      <c r="J52" s="6" t="s">
        <v>148</v>
      </c>
      <c r="K52" s="3"/>
      <c r="L52" s="6"/>
      <c r="M52" s="3"/>
      <c r="N52" s="6" t="s">
        <v>148</v>
      </c>
      <c r="O52" s="3"/>
      <c r="P52" s="6"/>
      <c r="Q52" s="3"/>
      <c r="R52" s="6" t="s">
        <v>148</v>
      </c>
      <c r="S52" s="5">
        <f>193.05</f>
        <v>193.05</v>
      </c>
      <c r="T52" s="4" t="str">
        <f t="shared" si="2"/>
        <v>－</v>
      </c>
      <c r="U52" s="4"/>
      <c r="V52" s="4"/>
      <c r="W52" s="4" t="str">
        <f t="shared" si="3"/>
        <v>－</v>
      </c>
      <c r="X52" s="4"/>
      <c r="Y52" s="4"/>
      <c r="Z52" s="3"/>
      <c r="AA52" s="2" t="str">
        <f>"－"</f>
        <v>－</v>
      </c>
      <c r="AB52" s="2" t="str">
        <f t="shared" si="1"/>
        <v>－</v>
      </c>
      <c r="AC52" s="1" t="str">
        <f t="shared" si="5"/>
        <v>－</v>
      </c>
    </row>
    <row r="53" spans="1:29">
      <c r="A53" s="9" t="s">
        <v>46</v>
      </c>
      <c r="B53" s="8" t="s">
        <v>247</v>
      </c>
      <c r="C53" s="8" t="s">
        <v>248</v>
      </c>
      <c r="D53" s="8" t="s">
        <v>62</v>
      </c>
      <c r="E53" s="7" t="s">
        <v>254</v>
      </c>
      <c r="F53" s="7" t="s">
        <v>255</v>
      </c>
      <c r="G53" s="3" t="s">
        <v>53</v>
      </c>
      <c r="H53" s="6" t="s">
        <v>256</v>
      </c>
      <c r="I53" s="3" t="s">
        <v>66</v>
      </c>
      <c r="J53" s="6" t="s">
        <v>257</v>
      </c>
      <c r="K53" s="3"/>
      <c r="L53" s="6"/>
      <c r="M53" s="3" t="s">
        <v>53</v>
      </c>
      <c r="N53" s="6" t="s">
        <v>256</v>
      </c>
      <c r="O53" s="3"/>
      <c r="P53" s="6"/>
      <c r="Q53" s="3" t="s">
        <v>66</v>
      </c>
      <c r="R53" s="6" t="s">
        <v>257</v>
      </c>
      <c r="S53" s="5">
        <f>191.5</f>
        <v>191.5</v>
      </c>
      <c r="T53" s="4">
        <f>16</f>
        <v>16</v>
      </c>
      <c r="U53" s="4"/>
      <c r="V53" s="4"/>
      <c r="W53" s="4">
        <f>30797000</f>
        <v>30797000</v>
      </c>
      <c r="X53" s="4"/>
      <c r="Y53" s="4"/>
      <c r="Z53" s="3"/>
      <c r="AA53" s="2">
        <f>15</f>
        <v>15</v>
      </c>
      <c r="AB53" s="2" t="str">
        <f t="shared" si="1"/>
        <v>－</v>
      </c>
      <c r="AC53" s="1">
        <f>2</f>
        <v>2</v>
      </c>
    </row>
    <row r="54" spans="1:29">
      <c r="A54" s="9" t="s">
        <v>46</v>
      </c>
      <c r="B54" s="8" t="s">
        <v>247</v>
      </c>
      <c r="C54" s="8" t="s">
        <v>248</v>
      </c>
      <c r="D54" s="8" t="s">
        <v>258</v>
      </c>
      <c r="E54" s="7" t="s">
        <v>259</v>
      </c>
      <c r="F54" s="7" t="s">
        <v>260</v>
      </c>
      <c r="G54" s="3"/>
      <c r="H54" s="6" t="s">
        <v>148</v>
      </c>
      <c r="I54" s="3"/>
      <c r="J54" s="6" t="s">
        <v>148</v>
      </c>
      <c r="K54" s="3"/>
      <c r="L54" s="6"/>
      <c r="M54" s="3"/>
      <c r="N54" s="6" t="s">
        <v>148</v>
      </c>
      <c r="O54" s="3"/>
      <c r="P54" s="6"/>
      <c r="Q54" s="3"/>
      <c r="R54" s="6" t="s">
        <v>148</v>
      </c>
      <c r="S54" s="5">
        <f>189.86</f>
        <v>189.86</v>
      </c>
      <c r="T54" s="4" t="str">
        <f>"－"</f>
        <v>－</v>
      </c>
      <c r="U54" s="4"/>
      <c r="V54" s="4"/>
      <c r="W54" s="4" t="str">
        <f>"－"</f>
        <v>－</v>
      </c>
      <c r="X54" s="4"/>
      <c r="Y54" s="4"/>
      <c r="Z54" s="3"/>
      <c r="AA54" s="2">
        <f>5</f>
        <v>5</v>
      </c>
      <c r="AB54" s="2" t="str">
        <f t="shared" si="1"/>
        <v>－</v>
      </c>
      <c r="AC54" s="1" t="str">
        <f>"－"</f>
        <v>－</v>
      </c>
    </row>
    <row r="55" spans="1:29">
      <c r="A55" s="9" t="s">
        <v>46</v>
      </c>
      <c r="B55" s="8" t="s">
        <v>247</v>
      </c>
      <c r="C55" s="8" t="s">
        <v>248</v>
      </c>
      <c r="D55" s="8" t="s">
        <v>72</v>
      </c>
      <c r="E55" s="7" t="s">
        <v>261</v>
      </c>
      <c r="F55" s="7" t="s">
        <v>262</v>
      </c>
      <c r="G55" s="3"/>
      <c r="H55" s="6" t="s">
        <v>148</v>
      </c>
      <c r="I55" s="3"/>
      <c r="J55" s="6" t="s">
        <v>148</v>
      </c>
      <c r="K55" s="3"/>
      <c r="L55" s="6"/>
      <c r="M55" s="3"/>
      <c r="N55" s="6" t="s">
        <v>148</v>
      </c>
      <c r="O55" s="3"/>
      <c r="P55" s="6"/>
      <c r="Q55" s="3"/>
      <c r="R55" s="6" t="s">
        <v>148</v>
      </c>
      <c r="S55" s="5">
        <f>188.44</f>
        <v>188.44</v>
      </c>
      <c r="T55" s="4" t="str">
        <f>"－"</f>
        <v>－</v>
      </c>
      <c r="U55" s="4"/>
      <c r="V55" s="4"/>
      <c r="W55" s="4" t="str">
        <f>"－"</f>
        <v>－</v>
      </c>
      <c r="X55" s="4"/>
      <c r="Y55" s="4"/>
      <c r="Z55" s="3"/>
      <c r="AA55" s="2" t="str">
        <f>"－"</f>
        <v>－</v>
      </c>
      <c r="AB55" s="2" t="str">
        <f t="shared" si="1"/>
        <v>－</v>
      </c>
      <c r="AC55" s="1" t="str">
        <f>"－"</f>
        <v>－</v>
      </c>
    </row>
    <row r="56" spans="1:29">
      <c r="A56" s="9" t="s">
        <v>46</v>
      </c>
      <c r="B56" s="8" t="s">
        <v>247</v>
      </c>
      <c r="C56" s="8" t="s">
        <v>248</v>
      </c>
      <c r="D56" s="8" t="s">
        <v>263</v>
      </c>
      <c r="E56" s="7" t="s">
        <v>264</v>
      </c>
      <c r="F56" s="7" t="s">
        <v>265</v>
      </c>
      <c r="G56" s="3"/>
      <c r="H56" s="6" t="s">
        <v>148</v>
      </c>
      <c r="I56" s="3"/>
      <c r="J56" s="6" t="s">
        <v>148</v>
      </c>
      <c r="K56" s="3"/>
      <c r="L56" s="6"/>
      <c r="M56" s="3"/>
      <c r="N56" s="6" t="s">
        <v>148</v>
      </c>
      <c r="O56" s="3"/>
      <c r="P56" s="6"/>
      <c r="Q56" s="3"/>
      <c r="R56" s="6" t="s">
        <v>148</v>
      </c>
      <c r="S56" s="5">
        <f>186.98</f>
        <v>186.98</v>
      </c>
      <c r="T56" s="4" t="str">
        <f>"－"</f>
        <v>－</v>
      </c>
      <c r="U56" s="4"/>
      <c r="V56" s="4"/>
      <c r="W56" s="4" t="str">
        <f>"－"</f>
        <v>－</v>
      </c>
      <c r="X56" s="4"/>
      <c r="Y56" s="4"/>
      <c r="Z56" s="3"/>
      <c r="AA56" s="2" t="str">
        <f>"－"</f>
        <v>－</v>
      </c>
      <c r="AB56" s="2" t="str">
        <f t="shared" si="1"/>
        <v>－</v>
      </c>
      <c r="AC56" s="1" t="str">
        <f>"－"</f>
        <v>－</v>
      </c>
    </row>
    <row r="57" spans="1:29">
      <c r="A57" s="9" t="s">
        <v>46</v>
      </c>
      <c r="B57" s="8" t="s">
        <v>247</v>
      </c>
      <c r="C57" s="8" t="s">
        <v>248</v>
      </c>
      <c r="D57" s="8" t="s">
        <v>78</v>
      </c>
      <c r="E57" s="7" t="s">
        <v>266</v>
      </c>
      <c r="F57" s="7" t="s">
        <v>267</v>
      </c>
      <c r="G57" s="3"/>
      <c r="H57" s="6" t="s">
        <v>148</v>
      </c>
      <c r="I57" s="3"/>
      <c r="J57" s="6" t="s">
        <v>148</v>
      </c>
      <c r="K57" s="3"/>
      <c r="L57" s="6"/>
      <c r="M57" s="3"/>
      <c r="N57" s="6" t="s">
        <v>148</v>
      </c>
      <c r="O57" s="3"/>
      <c r="P57" s="6"/>
      <c r="Q57" s="3"/>
      <c r="R57" s="6" t="s">
        <v>148</v>
      </c>
      <c r="S57" s="5">
        <f>185.51</f>
        <v>185.51</v>
      </c>
      <c r="T57" s="4" t="str">
        <f>"－"</f>
        <v>－</v>
      </c>
      <c r="U57" s="4"/>
      <c r="V57" s="4"/>
      <c r="W57" s="4" t="str">
        <f>"－"</f>
        <v>－</v>
      </c>
      <c r="X57" s="4"/>
      <c r="Y57" s="4"/>
      <c r="Z57" s="3"/>
      <c r="AA57" s="2" t="str">
        <f>"－"</f>
        <v>－</v>
      </c>
      <c r="AB57" s="2" t="str">
        <f t="shared" si="1"/>
        <v>－</v>
      </c>
      <c r="AC57" s="1" t="str">
        <f>"－"</f>
        <v>－</v>
      </c>
    </row>
    <row r="58" spans="1:29">
      <c r="A58" s="9" t="s">
        <v>46</v>
      </c>
      <c r="B58" s="8" t="s">
        <v>268</v>
      </c>
      <c r="C58" s="8" t="s">
        <v>269</v>
      </c>
      <c r="D58" s="8" t="s">
        <v>46</v>
      </c>
      <c r="E58" s="7" t="s">
        <v>270</v>
      </c>
      <c r="F58" s="7" t="s">
        <v>114</v>
      </c>
      <c r="G58" s="3" t="s">
        <v>51</v>
      </c>
      <c r="H58" s="6" t="s">
        <v>271</v>
      </c>
      <c r="I58" s="3" t="s">
        <v>68</v>
      </c>
      <c r="J58" s="6" t="s">
        <v>272</v>
      </c>
      <c r="K58" s="3" t="s">
        <v>179</v>
      </c>
      <c r="L58" s="6" t="s">
        <v>273</v>
      </c>
      <c r="M58" s="3" t="s">
        <v>175</v>
      </c>
      <c r="N58" s="6" t="s">
        <v>274</v>
      </c>
      <c r="O58" s="3" t="s">
        <v>275</v>
      </c>
      <c r="P58" s="6" t="s">
        <v>276</v>
      </c>
      <c r="Q58" s="3" t="s">
        <v>68</v>
      </c>
      <c r="R58" s="6" t="s">
        <v>272</v>
      </c>
      <c r="S58" s="5">
        <f>290.56</f>
        <v>290.56</v>
      </c>
      <c r="T58" s="4">
        <f>889</f>
        <v>889</v>
      </c>
      <c r="U58" s="4">
        <v>445</v>
      </c>
      <c r="V58" s="4">
        <v>60</v>
      </c>
      <c r="W58" s="4">
        <f>1280747000</f>
        <v>1280747000</v>
      </c>
      <c r="X58" s="4">
        <v>637510000</v>
      </c>
      <c r="Y58" s="4">
        <v>85902000</v>
      </c>
      <c r="Z58" s="3" t="s">
        <v>61</v>
      </c>
      <c r="AA58" s="2">
        <f>122</f>
        <v>122</v>
      </c>
      <c r="AB58" s="2" t="str">
        <f t="shared" si="1"/>
        <v>－</v>
      </c>
      <c r="AC58" s="1">
        <f>15</f>
        <v>15</v>
      </c>
    </row>
    <row r="59" spans="1:29">
      <c r="A59" s="9" t="s">
        <v>46</v>
      </c>
      <c r="B59" s="8" t="s">
        <v>268</v>
      </c>
      <c r="C59" s="8" t="s">
        <v>269</v>
      </c>
      <c r="D59" s="8" t="s">
        <v>251</v>
      </c>
      <c r="E59" s="7" t="s">
        <v>277</v>
      </c>
      <c r="F59" s="7" t="s">
        <v>278</v>
      </c>
      <c r="G59" s="3" t="s">
        <v>51</v>
      </c>
      <c r="H59" s="6" t="s">
        <v>279</v>
      </c>
      <c r="I59" s="3" t="s">
        <v>108</v>
      </c>
      <c r="J59" s="6" t="s">
        <v>280</v>
      </c>
      <c r="K59" s="3" t="s">
        <v>83</v>
      </c>
      <c r="L59" s="6" t="s">
        <v>281</v>
      </c>
      <c r="M59" s="3" t="s">
        <v>175</v>
      </c>
      <c r="N59" s="6" t="s">
        <v>282</v>
      </c>
      <c r="O59" s="3" t="s">
        <v>108</v>
      </c>
      <c r="P59" s="6" t="s">
        <v>283</v>
      </c>
      <c r="Q59" s="3" t="s">
        <v>66</v>
      </c>
      <c r="R59" s="6" t="s">
        <v>284</v>
      </c>
      <c r="S59" s="5">
        <f>291.48</f>
        <v>291.48</v>
      </c>
      <c r="T59" s="4">
        <f>765</f>
        <v>765</v>
      </c>
      <c r="U59" s="4">
        <v>23</v>
      </c>
      <c r="V59" s="4">
        <v>383</v>
      </c>
      <c r="W59" s="4">
        <f>1095572500</f>
        <v>1095572500</v>
      </c>
      <c r="X59" s="4">
        <v>34640000</v>
      </c>
      <c r="Y59" s="4">
        <v>541219500</v>
      </c>
      <c r="Z59" s="3"/>
      <c r="AA59" s="2">
        <f>295</f>
        <v>295</v>
      </c>
      <c r="AB59" s="2" t="str">
        <f t="shared" si="1"/>
        <v>－</v>
      </c>
      <c r="AC59" s="1">
        <f>19</f>
        <v>19</v>
      </c>
    </row>
    <row r="60" spans="1:29">
      <c r="A60" s="9" t="s">
        <v>46</v>
      </c>
      <c r="B60" s="8" t="s">
        <v>268</v>
      </c>
      <c r="C60" s="8" t="s">
        <v>269</v>
      </c>
      <c r="D60" s="8" t="s">
        <v>62</v>
      </c>
      <c r="E60" s="7" t="s">
        <v>285</v>
      </c>
      <c r="F60" s="7" t="s">
        <v>119</v>
      </c>
      <c r="G60" s="3" t="s">
        <v>51</v>
      </c>
      <c r="H60" s="6" t="s">
        <v>286</v>
      </c>
      <c r="I60" s="3" t="s">
        <v>108</v>
      </c>
      <c r="J60" s="6" t="s">
        <v>287</v>
      </c>
      <c r="K60" s="3" t="s">
        <v>83</v>
      </c>
      <c r="L60" s="6" t="s">
        <v>288</v>
      </c>
      <c r="M60" s="3" t="s">
        <v>175</v>
      </c>
      <c r="N60" s="6" t="s">
        <v>289</v>
      </c>
      <c r="O60" s="3" t="s">
        <v>83</v>
      </c>
      <c r="P60" s="6" t="s">
        <v>288</v>
      </c>
      <c r="Q60" s="3" t="s">
        <v>66</v>
      </c>
      <c r="R60" s="6" t="s">
        <v>290</v>
      </c>
      <c r="S60" s="5">
        <f>291.75</f>
        <v>291.75</v>
      </c>
      <c r="T60" s="4">
        <f>591</f>
        <v>591</v>
      </c>
      <c r="U60" s="4">
        <v>88</v>
      </c>
      <c r="V60" s="4">
        <v>161</v>
      </c>
      <c r="W60" s="4">
        <f>864624500</f>
        <v>864624500</v>
      </c>
      <c r="X60" s="4">
        <v>134464000</v>
      </c>
      <c r="Y60" s="4">
        <v>232281000</v>
      </c>
      <c r="Z60" s="3"/>
      <c r="AA60" s="2">
        <f>579</f>
        <v>579</v>
      </c>
      <c r="AB60" s="2" t="str">
        <f t="shared" si="1"/>
        <v>－</v>
      </c>
      <c r="AC60" s="1">
        <f>19</f>
        <v>19</v>
      </c>
    </row>
    <row r="61" spans="1:29">
      <c r="A61" s="9" t="s">
        <v>46</v>
      </c>
      <c r="B61" s="8" t="s">
        <v>268</v>
      </c>
      <c r="C61" s="8" t="s">
        <v>269</v>
      </c>
      <c r="D61" s="8" t="s">
        <v>258</v>
      </c>
      <c r="E61" s="7" t="s">
        <v>291</v>
      </c>
      <c r="F61" s="7" t="s">
        <v>292</v>
      </c>
      <c r="G61" s="3" t="s">
        <v>51</v>
      </c>
      <c r="H61" s="6" t="s">
        <v>293</v>
      </c>
      <c r="I61" s="3" t="s">
        <v>108</v>
      </c>
      <c r="J61" s="6" t="s">
        <v>294</v>
      </c>
      <c r="K61" s="3" t="s">
        <v>83</v>
      </c>
      <c r="L61" s="6" t="s">
        <v>295</v>
      </c>
      <c r="M61" s="3" t="s">
        <v>175</v>
      </c>
      <c r="N61" s="6" t="s">
        <v>296</v>
      </c>
      <c r="O61" s="3" t="s">
        <v>83</v>
      </c>
      <c r="P61" s="6" t="s">
        <v>295</v>
      </c>
      <c r="Q61" s="3" t="s">
        <v>66</v>
      </c>
      <c r="R61" s="6" t="s">
        <v>297</v>
      </c>
      <c r="S61" s="5">
        <f>291.64</f>
        <v>291.64</v>
      </c>
      <c r="T61" s="4">
        <f>1283</f>
        <v>1283</v>
      </c>
      <c r="U61" s="4">
        <v>269</v>
      </c>
      <c r="V61" s="4">
        <v>419</v>
      </c>
      <c r="W61" s="4">
        <f>1889652000</f>
        <v>1889652000</v>
      </c>
      <c r="X61" s="4">
        <v>411301000</v>
      </c>
      <c r="Y61" s="4">
        <v>613174500</v>
      </c>
      <c r="Z61" s="3"/>
      <c r="AA61" s="2">
        <f>1011</f>
        <v>1011</v>
      </c>
      <c r="AB61" s="2" t="str">
        <f t="shared" si="1"/>
        <v>－</v>
      </c>
      <c r="AC61" s="1">
        <f>19</f>
        <v>19</v>
      </c>
    </row>
    <row r="62" spans="1:29">
      <c r="A62" s="9" t="s">
        <v>46</v>
      </c>
      <c r="B62" s="8" t="s">
        <v>268</v>
      </c>
      <c r="C62" s="8" t="s">
        <v>269</v>
      </c>
      <c r="D62" s="8" t="s">
        <v>72</v>
      </c>
      <c r="E62" s="7" t="s">
        <v>298</v>
      </c>
      <c r="F62" s="7" t="s">
        <v>124</v>
      </c>
      <c r="G62" s="3" t="s">
        <v>51</v>
      </c>
      <c r="H62" s="6" t="s">
        <v>299</v>
      </c>
      <c r="I62" s="3" t="s">
        <v>68</v>
      </c>
      <c r="J62" s="6" t="s">
        <v>300</v>
      </c>
      <c r="K62" s="3" t="s">
        <v>83</v>
      </c>
      <c r="L62" s="6" t="s">
        <v>301</v>
      </c>
      <c r="M62" s="3" t="s">
        <v>175</v>
      </c>
      <c r="N62" s="6" t="s">
        <v>302</v>
      </c>
      <c r="O62" s="3" t="s">
        <v>193</v>
      </c>
      <c r="P62" s="6" t="s">
        <v>303</v>
      </c>
      <c r="Q62" s="3" t="s">
        <v>66</v>
      </c>
      <c r="R62" s="6" t="s">
        <v>304</v>
      </c>
      <c r="S62" s="5">
        <f>290.89</f>
        <v>290.89</v>
      </c>
      <c r="T62" s="4">
        <f>8126</f>
        <v>8126</v>
      </c>
      <c r="U62" s="4">
        <v>5</v>
      </c>
      <c r="V62" s="4">
        <v>3251</v>
      </c>
      <c r="W62" s="4">
        <f>11639191000</f>
        <v>11639191000</v>
      </c>
      <c r="X62" s="4">
        <v>7328000</v>
      </c>
      <c r="Y62" s="4">
        <v>4646236000</v>
      </c>
      <c r="Z62" s="3"/>
      <c r="AA62" s="2">
        <f>1688</f>
        <v>1688</v>
      </c>
      <c r="AB62" s="2" t="str">
        <f t="shared" si="1"/>
        <v>－</v>
      </c>
      <c r="AC62" s="1">
        <f>19</f>
        <v>19</v>
      </c>
    </row>
    <row r="63" spans="1:29">
      <c r="A63" s="9" t="s">
        <v>46</v>
      </c>
      <c r="B63" s="8" t="s">
        <v>268</v>
      </c>
      <c r="C63" s="8" t="s">
        <v>269</v>
      </c>
      <c r="D63" s="8" t="s">
        <v>263</v>
      </c>
      <c r="E63" s="7" t="s">
        <v>305</v>
      </c>
      <c r="F63" s="7" t="s">
        <v>306</v>
      </c>
      <c r="G63" s="3" t="s">
        <v>51</v>
      </c>
      <c r="H63" s="6" t="s">
        <v>307</v>
      </c>
      <c r="I63" s="3" t="s">
        <v>68</v>
      </c>
      <c r="J63" s="6" t="s">
        <v>308</v>
      </c>
      <c r="K63" s="3" t="s">
        <v>103</v>
      </c>
      <c r="L63" s="6" t="s">
        <v>309</v>
      </c>
      <c r="M63" s="3" t="s">
        <v>175</v>
      </c>
      <c r="N63" s="6" t="s">
        <v>310</v>
      </c>
      <c r="O63" s="3" t="s">
        <v>103</v>
      </c>
      <c r="P63" s="6" t="s">
        <v>311</v>
      </c>
      <c r="Q63" s="3" t="s">
        <v>66</v>
      </c>
      <c r="R63" s="6" t="s">
        <v>312</v>
      </c>
      <c r="S63" s="5">
        <f>290.69</f>
        <v>290.69</v>
      </c>
      <c r="T63" s="4">
        <f>24790</f>
        <v>24790</v>
      </c>
      <c r="U63" s="4">
        <v>2</v>
      </c>
      <c r="V63" s="4">
        <v>4749</v>
      </c>
      <c r="W63" s="4">
        <f>36060097500</f>
        <v>36060097500</v>
      </c>
      <c r="X63" s="4">
        <v>2956000</v>
      </c>
      <c r="Y63" s="4">
        <v>6896712000</v>
      </c>
      <c r="Z63" s="3"/>
      <c r="AA63" s="2">
        <f>3835</f>
        <v>3835</v>
      </c>
      <c r="AB63" s="2" t="str">
        <f t="shared" si="1"/>
        <v>－</v>
      </c>
      <c r="AC63" s="1">
        <f>19</f>
        <v>19</v>
      </c>
    </row>
    <row r="64" spans="1:29">
      <c r="A64" s="9" t="s">
        <v>46</v>
      </c>
      <c r="B64" s="8" t="s">
        <v>268</v>
      </c>
      <c r="C64" s="8" t="s">
        <v>269</v>
      </c>
      <c r="D64" s="8" t="s">
        <v>78</v>
      </c>
      <c r="E64" s="7" t="s">
        <v>313</v>
      </c>
      <c r="F64" s="7" t="s">
        <v>128</v>
      </c>
      <c r="G64" s="3" t="s">
        <v>57</v>
      </c>
      <c r="H64" s="6" t="s">
        <v>314</v>
      </c>
      <c r="I64" s="3" t="s">
        <v>68</v>
      </c>
      <c r="J64" s="6" t="s">
        <v>315</v>
      </c>
      <c r="K64" s="3"/>
      <c r="L64" s="6"/>
      <c r="M64" s="3" t="s">
        <v>175</v>
      </c>
      <c r="N64" s="6" t="s">
        <v>316</v>
      </c>
      <c r="O64" s="3"/>
      <c r="P64" s="6"/>
      <c r="Q64" s="3" t="s">
        <v>66</v>
      </c>
      <c r="R64" s="6" t="s">
        <v>317</v>
      </c>
      <c r="S64" s="5">
        <f>290.95</f>
        <v>290.95</v>
      </c>
      <c r="T64" s="4">
        <f>5030</f>
        <v>5030</v>
      </c>
      <c r="U64" s="4"/>
      <c r="V64" s="4">
        <v>2065</v>
      </c>
      <c r="W64" s="4">
        <f>7512321000</f>
        <v>7512321000</v>
      </c>
      <c r="X64" s="4"/>
      <c r="Y64" s="4">
        <v>3083354000</v>
      </c>
      <c r="Z64" s="3"/>
      <c r="AA64" s="2">
        <f>1853</f>
        <v>1853</v>
      </c>
      <c r="AB64" s="2" t="str">
        <f t="shared" si="1"/>
        <v>－</v>
      </c>
      <c r="AC64" s="1">
        <f>18</f>
        <v>18</v>
      </c>
    </row>
    <row r="65" spans="1:29">
      <c r="A65" s="9" t="s">
        <v>46</v>
      </c>
      <c r="B65" s="8" t="s">
        <v>268</v>
      </c>
      <c r="C65" s="8" t="s">
        <v>269</v>
      </c>
      <c r="D65" s="8" t="s">
        <v>318</v>
      </c>
      <c r="E65" s="7" t="s">
        <v>319</v>
      </c>
      <c r="F65" s="7" t="s">
        <v>320</v>
      </c>
      <c r="G65" s="3" t="s">
        <v>204</v>
      </c>
      <c r="H65" s="6" t="s">
        <v>321</v>
      </c>
      <c r="I65" s="3" t="s">
        <v>68</v>
      </c>
      <c r="J65" s="6" t="s">
        <v>322</v>
      </c>
      <c r="K65" s="3"/>
      <c r="L65" s="6"/>
      <c r="M65" s="3" t="s">
        <v>164</v>
      </c>
      <c r="N65" s="6" t="s">
        <v>323</v>
      </c>
      <c r="O65" s="3"/>
      <c r="P65" s="6"/>
      <c r="Q65" s="3" t="s">
        <v>66</v>
      </c>
      <c r="R65" s="6" t="s">
        <v>324</v>
      </c>
      <c r="S65" s="5">
        <f>289.74</f>
        <v>289.74</v>
      </c>
      <c r="T65" s="4">
        <f>77</f>
        <v>77</v>
      </c>
      <c r="U65" s="4"/>
      <c r="V65" s="4">
        <v>20</v>
      </c>
      <c r="W65" s="4">
        <f>114592500</f>
        <v>114592500</v>
      </c>
      <c r="X65" s="4"/>
      <c r="Y65" s="4">
        <v>29544000</v>
      </c>
      <c r="Z65" s="3"/>
      <c r="AA65" s="2">
        <f>46</f>
        <v>46</v>
      </c>
      <c r="AB65" s="2" t="str">
        <f t="shared" si="1"/>
        <v>－</v>
      </c>
      <c r="AC65" s="1">
        <f>12</f>
        <v>12</v>
      </c>
    </row>
    <row r="66" spans="1:29">
      <c r="A66" s="9" t="s">
        <v>46</v>
      </c>
      <c r="B66" s="8" t="s">
        <v>268</v>
      </c>
      <c r="C66" s="8" t="s">
        <v>269</v>
      </c>
      <c r="D66" s="8" t="s">
        <v>88</v>
      </c>
      <c r="E66" s="7" t="s">
        <v>325</v>
      </c>
      <c r="F66" s="7" t="s">
        <v>133</v>
      </c>
      <c r="G66" s="3" t="s">
        <v>57</v>
      </c>
      <c r="H66" s="6" t="s">
        <v>326</v>
      </c>
      <c r="I66" s="3" t="s">
        <v>57</v>
      </c>
      <c r="J66" s="6" t="s">
        <v>326</v>
      </c>
      <c r="K66" s="3"/>
      <c r="L66" s="6"/>
      <c r="M66" s="3" t="s">
        <v>57</v>
      </c>
      <c r="N66" s="6" t="s">
        <v>326</v>
      </c>
      <c r="O66" s="3"/>
      <c r="P66" s="6"/>
      <c r="Q66" s="3" t="s">
        <v>57</v>
      </c>
      <c r="R66" s="6" t="s">
        <v>326</v>
      </c>
      <c r="S66" s="5">
        <f>289.47</f>
        <v>289.47000000000003</v>
      </c>
      <c r="T66" s="4">
        <f>1</f>
        <v>1</v>
      </c>
      <c r="U66" s="4"/>
      <c r="V66" s="4"/>
      <c r="W66" s="4">
        <f>1400000</f>
        <v>1400000</v>
      </c>
      <c r="X66" s="4"/>
      <c r="Y66" s="4"/>
      <c r="Z66" s="3"/>
      <c r="AA66" s="2">
        <f>5</f>
        <v>5</v>
      </c>
      <c r="AB66" s="2" t="str">
        <f t="shared" si="1"/>
        <v>－</v>
      </c>
      <c r="AC66" s="1">
        <f>1</f>
        <v>1</v>
      </c>
    </row>
    <row r="67" spans="1:29">
      <c r="A67" s="9" t="s">
        <v>46</v>
      </c>
      <c r="B67" s="8" t="s">
        <v>268</v>
      </c>
      <c r="C67" s="8" t="s">
        <v>269</v>
      </c>
      <c r="D67" s="8" t="s">
        <v>327</v>
      </c>
      <c r="E67" s="7" t="s">
        <v>328</v>
      </c>
      <c r="F67" s="7" t="s">
        <v>329</v>
      </c>
      <c r="G67" s="3" t="s">
        <v>182</v>
      </c>
      <c r="H67" s="6" t="s">
        <v>330</v>
      </c>
      <c r="I67" s="3" t="s">
        <v>182</v>
      </c>
      <c r="J67" s="6" t="s">
        <v>330</v>
      </c>
      <c r="K67" s="3"/>
      <c r="L67" s="6"/>
      <c r="M67" s="3" t="s">
        <v>182</v>
      </c>
      <c r="N67" s="6" t="s">
        <v>330</v>
      </c>
      <c r="O67" s="3"/>
      <c r="P67" s="6"/>
      <c r="Q67" s="3" t="s">
        <v>182</v>
      </c>
      <c r="R67" s="6" t="s">
        <v>330</v>
      </c>
      <c r="S67" s="5">
        <f>289.63</f>
        <v>289.63</v>
      </c>
      <c r="T67" s="4">
        <f>1</f>
        <v>1</v>
      </c>
      <c r="U67" s="4"/>
      <c r="V67" s="4"/>
      <c r="W67" s="4">
        <f>1420000</f>
        <v>1420000</v>
      </c>
      <c r="X67" s="4"/>
      <c r="Y67" s="4"/>
      <c r="Z67" s="3"/>
      <c r="AA67" s="2">
        <f>2</f>
        <v>2</v>
      </c>
      <c r="AB67" s="2" t="str">
        <f t="shared" si="1"/>
        <v>－</v>
      </c>
      <c r="AC67" s="1">
        <f>1</f>
        <v>1</v>
      </c>
    </row>
    <row r="68" spans="1:29">
      <c r="A68" s="9" t="s">
        <v>46</v>
      </c>
      <c r="B68" s="8" t="s">
        <v>268</v>
      </c>
      <c r="C68" s="8" t="s">
        <v>269</v>
      </c>
      <c r="D68" s="8" t="s">
        <v>96</v>
      </c>
      <c r="E68" s="7" t="s">
        <v>331</v>
      </c>
      <c r="F68" s="7" t="s">
        <v>138</v>
      </c>
      <c r="G68" s="3" t="s">
        <v>175</v>
      </c>
      <c r="H68" s="6" t="s">
        <v>326</v>
      </c>
      <c r="I68" s="3" t="s">
        <v>175</v>
      </c>
      <c r="J68" s="6" t="s">
        <v>326</v>
      </c>
      <c r="K68" s="3"/>
      <c r="L68" s="6"/>
      <c r="M68" s="3" t="s">
        <v>175</v>
      </c>
      <c r="N68" s="6" t="s">
        <v>326</v>
      </c>
      <c r="O68" s="3"/>
      <c r="P68" s="6"/>
      <c r="Q68" s="3" t="s">
        <v>175</v>
      </c>
      <c r="R68" s="6" t="s">
        <v>326</v>
      </c>
      <c r="S68" s="5">
        <f>289.47</f>
        <v>289.47000000000003</v>
      </c>
      <c r="T68" s="4">
        <f>3</f>
        <v>3</v>
      </c>
      <c r="U68" s="4"/>
      <c r="V68" s="4"/>
      <c r="W68" s="4">
        <f>4200000</f>
        <v>4200000</v>
      </c>
      <c r="X68" s="4"/>
      <c r="Y68" s="4"/>
      <c r="Z68" s="3"/>
      <c r="AA68" s="2">
        <f>6</f>
        <v>6</v>
      </c>
      <c r="AB68" s="2" t="str">
        <f t="shared" si="1"/>
        <v>－</v>
      </c>
      <c r="AC68" s="1">
        <f>1</f>
        <v>1</v>
      </c>
    </row>
    <row r="69" spans="1:29">
      <c r="A69" s="9" t="s">
        <v>46</v>
      </c>
      <c r="B69" s="8" t="s">
        <v>268</v>
      </c>
      <c r="C69" s="8" t="s">
        <v>269</v>
      </c>
      <c r="D69" s="8" t="s">
        <v>332</v>
      </c>
      <c r="E69" s="7" t="s">
        <v>333</v>
      </c>
      <c r="F69" s="7" t="s">
        <v>334</v>
      </c>
      <c r="G69" s="3" t="s">
        <v>103</v>
      </c>
      <c r="H69" s="6" t="s">
        <v>335</v>
      </c>
      <c r="I69" s="3" t="s">
        <v>53</v>
      </c>
      <c r="J69" s="6" t="s">
        <v>336</v>
      </c>
      <c r="K69" s="3"/>
      <c r="L69" s="6"/>
      <c r="M69" s="3" t="s">
        <v>179</v>
      </c>
      <c r="N69" s="6" t="s">
        <v>337</v>
      </c>
      <c r="O69" s="3"/>
      <c r="P69" s="6"/>
      <c r="Q69" s="3" t="s">
        <v>53</v>
      </c>
      <c r="R69" s="6" t="s">
        <v>297</v>
      </c>
      <c r="S69" s="5">
        <f>290.47</f>
        <v>290.47000000000003</v>
      </c>
      <c r="T69" s="4">
        <f>16</f>
        <v>16</v>
      </c>
      <c r="U69" s="4"/>
      <c r="V69" s="4"/>
      <c r="W69" s="4">
        <f>23706000</f>
        <v>23706000</v>
      </c>
      <c r="X69" s="4"/>
      <c r="Y69" s="4"/>
      <c r="Z69" s="3"/>
      <c r="AA69" s="2">
        <f>9</f>
        <v>9</v>
      </c>
      <c r="AB69" s="2" t="str">
        <f t="shared" si="1"/>
        <v>－</v>
      </c>
      <c r="AC69" s="1">
        <f>6</f>
        <v>6</v>
      </c>
    </row>
    <row r="70" spans="1:29">
      <c r="A70" s="9" t="s">
        <v>46</v>
      </c>
      <c r="B70" s="8" t="s">
        <v>268</v>
      </c>
      <c r="C70" s="8" t="s">
        <v>269</v>
      </c>
      <c r="D70" s="8" t="s">
        <v>105</v>
      </c>
      <c r="E70" s="7" t="s">
        <v>50</v>
      </c>
      <c r="F70" s="7" t="s">
        <v>142</v>
      </c>
      <c r="G70" s="3" t="s">
        <v>53</v>
      </c>
      <c r="H70" s="6" t="s">
        <v>338</v>
      </c>
      <c r="I70" s="3" t="s">
        <v>53</v>
      </c>
      <c r="J70" s="6" t="s">
        <v>338</v>
      </c>
      <c r="K70" s="3"/>
      <c r="L70" s="6"/>
      <c r="M70" s="3" t="s">
        <v>53</v>
      </c>
      <c r="N70" s="6" t="s">
        <v>339</v>
      </c>
      <c r="O70" s="3"/>
      <c r="P70" s="6"/>
      <c r="Q70" s="3" t="s">
        <v>53</v>
      </c>
      <c r="R70" s="6" t="s">
        <v>339</v>
      </c>
      <c r="S70" s="5">
        <f>299.33</f>
        <v>299.33</v>
      </c>
      <c r="T70" s="4">
        <f>2</f>
        <v>2</v>
      </c>
      <c r="U70" s="4"/>
      <c r="V70" s="4"/>
      <c r="W70" s="4">
        <f>3001500</f>
        <v>3001500</v>
      </c>
      <c r="X70" s="4"/>
      <c r="Y70" s="4"/>
      <c r="Z70" s="3"/>
      <c r="AA70" s="2">
        <f>2</f>
        <v>2</v>
      </c>
      <c r="AB70" s="2" t="str">
        <f t="shared" si="1"/>
        <v>－</v>
      </c>
      <c r="AC70" s="1">
        <f>1</f>
        <v>1</v>
      </c>
    </row>
    <row r="71" spans="1:29">
      <c r="A71" s="9" t="s">
        <v>46</v>
      </c>
      <c r="B71" s="8" t="s">
        <v>340</v>
      </c>
      <c r="C71" s="8" t="s">
        <v>341</v>
      </c>
      <c r="D71" s="8" t="s">
        <v>251</v>
      </c>
      <c r="E71" s="7" t="s">
        <v>342</v>
      </c>
      <c r="F71" s="7" t="s">
        <v>343</v>
      </c>
      <c r="G71" s="3"/>
      <c r="H71" s="6" t="s">
        <v>148</v>
      </c>
      <c r="I71" s="3"/>
      <c r="J71" s="6" t="s">
        <v>148</v>
      </c>
      <c r="K71" s="3"/>
      <c r="L71" s="6"/>
      <c r="M71" s="3"/>
      <c r="N71" s="6" t="s">
        <v>148</v>
      </c>
      <c r="O71" s="3"/>
      <c r="P71" s="6"/>
      <c r="Q71" s="3"/>
      <c r="R71" s="6" t="s">
        <v>148</v>
      </c>
      <c r="S71" s="5">
        <f>232.11</f>
        <v>232.11</v>
      </c>
      <c r="T71" s="4" t="str">
        <f t="shared" ref="T71:T82" si="6">"－"</f>
        <v>－</v>
      </c>
      <c r="U71" s="4"/>
      <c r="V71" s="4"/>
      <c r="W71" s="4" t="str">
        <f t="shared" ref="W71:W82" si="7">"－"</f>
        <v>－</v>
      </c>
      <c r="X71" s="4"/>
      <c r="Y71" s="4"/>
      <c r="Z71" s="3" t="s">
        <v>61</v>
      </c>
      <c r="AA71" s="2" t="str">
        <f t="shared" ref="AA71:AA83" si="8">"－"</f>
        <v>－</v>
      </c>
      <c r="AB71" s="2" t="str">
        <f t="shared" ref="AB71:AB103" si="9">"－"</f>
        <v>－</v>
      </c>
      <c r="AC71" s="1" t="str">
        <f t="shared" ref="AC71:AC82" si="10">"－"</f>
        <v>－</v>
      </c>
    </row>
    <row r="72" spans="1:29">
      <c r="A72" s="9" t="s">
        <v>46</v>
      </c>
      <c r="B72" s="8" t="s">
        <v>340</v>
      </c>
      <c r="C72" s="8" t="s">
        <v>341</v>
      </c>
      <c r="D72" s="8" t="s">
        <v>62</v>
      </c>
      <c r="E72" s="7" t="s">
        <v>344</v>
      </c>
      <c r="F72" s="7" t="s">
        <v>345</v>
      </c>
      <c r="G72" s="3"/>
      <c r="H72" s="6" t="s">
        <v>148</v>
      </c>
      <c r="I72" s="3"/>
      <c r="J72" s="6" t="s">
        <v>148</v>
      </c>
      <c r="K72" s="3"/>
      <c r="L72" s="6"/>
      <c r="M72" s="3"/>
      <c r="N72" s="6" t="s">
        <v>148</v>
      </c>
      <c r="O72" s="3"/>
      <c r="P72" s="6"/>
      <c r="Q72" s="3"/>
      <c r="R72" s="6" t="s">
        <v>148</v>
      </c>
      <c r="S72" s="5">
        <f>231.89</f>
        <v>231.89</v>
      </c>
      <c r="T72" s="4" t="str">
        <f t="shared" si="6"/>
        <v>－</v>
      </c>
      <c r="U72" s="4"/>
      <c r="V72" s="4"/>
      <c r="W72" s="4" t="str">
        <f t="shared" si="7"/>
        <v>－</v>
      </c>
      <c r="X72" s="4"/>
      <c r="Y72" s="4"/>
      <c r="Z72" s="3"/>
      <c r="AA72" s="2" t="str">
        <f t="shared" si="8"/>
        <v>－</v>
      </c>
      <c r="AB72" s="2" t="str">
        <f t="shared" si="9"/>
        <v>－</v>
      </c>
      <c r="AC72" s="1" t="str">
        <f t="shared" si="10"/>
        <v>－</v>
      </c>
    </row>
    <row r="73" spans="1:29">
      <c r="A73" s="9" t="s">
        <v>46</v>
      </c>
      <c r="B73" s="8" t="s">
        <v>340</v>
      </c>
      <c r="C73" s="8" t="s">
        <v>341</v>
      </c>
      <c r="D73" s="8" t="s">
        <v>258</v>
      </c>
      <c r="E73" s="7" t="s">
        <v>346</v>
      </c>
      <c r="F73" s="7" t="s">
        <v>347</v>
      </c>
      <c r="G73" s="3"/>
      <c r="H73" s="6" t="s">
        <v>148</v>
      </c>
      <c r="I73" s="3"/>
      <c r="J73" s="6" t="s">
        <v>148</v>
      </c>
      <c r="K73" s="3"/>
      <c r="L73" s="6"/>
      <c r="M73" s="3"/>
      <c r="N73" s="6" t="s">
        <v>148</v>
      </c>
      <c r="O73" s="3"/>
      <c r="P73" s="6"/>
      <c r="Q73" s="3"/>
      <c r="R73" s="6" t="s">
        <v>148</v>
      </c>
      <c r="S73" s="5">
        <f>231.89</f>
        <v>231.89</v>
      </c>
      <c r="T73" s="4" t="str">
        <f t="shared" si="6"/>
        <v>－</v>
      </c>
      <c r="U73" s="4"/>
      <c r="V73" s="4"/>
      <c r="W73" s="4" t="str">
        <f t="shared" si="7"/>
        <v>－</v>
      </c>
      <c r="X73" s="4"/>
      <c r="Y73" s="4"/>
      <c r="Z73" s="3"/>
      <c r="AA73" s="2" t="str">
        <f t="shared" si="8"/>
        <v>－</v>
      </c>
      <c r="AB73" s="2" t="str">
        <f t="shared" si="9"/>
        <v>－</v>
      </c>
      <c r="AC73" s="1" t="str">
        <f t="shared" si="10"/>
        <v>－</v>
      </c>
    </row>
    <row r="74" spans="1:29">
      <c r="A74" s="9" t="s">
        <v>46</v>
      </c>
      <c r="B74" s="8" t="s">
        <v>340</v>
      </c>
      <c r="C74" s="8" t="s">
        <v>341</v>
      </c>
      <c r="D74" s="8" t="s">
        <v>72</v>
      </c>
      <c r="E74" s="7" t="s">
        <v>348</v>
      </c>
      <c r="F74" s="7" t="s">
        <v>349</v>
      </c>
      <c r="G74" s="3"/>
      <c r="H74" s="6" t="s">
        <v>148</v>
      </c>
      <c r="I74" s="3"/>
      <c r="J74" s="6" t="s">
        <v>148</v>
      </c>
      <c r="K74" s="3"/>
      <c r="L74" s="6"/>
      <c r="M74" s="3"/>
      <c r="N74" s="6" t="s">
        <v>148</v>
      </c>
      <c r="O74" s="3"/>
      <c r="P74" s="6"/>
      <c r="Q74" s="3"/>
      <c r="R74" s="6" t="s">
        <v>148</v>
      </c>
      <c r="S74" s="5">
        <f>232.47</f>
        <v>232.47</v>
      </c>
      <c r="T74" s="4" t="str">
        <f t="shared" si="6"/>
        <v>－</v>
      </c>
      <c r="U74" s="4"/>
      <c r="V74" s="4"/>
      <c r="W74" s="4" t="str">
        <f t="shared" si="7"/>
        <v>－</v>
      </c>
      <c r="X74" s="4"/>
      <c r="Y74" s="4"/>
      <c r="Z74" s="3"/>
      <c r="AA74" s="2" t="str">
        <f t="shared" si="8"/>
        <v>－</v>
      </c>
      <c r="AB74" s="2" t="str">
        <f t="shared" si="9"/>
        <v>－</v>
      </c>
      <c r="AC74" s="1" t="str">
        <f t="shared" si="10"/>
        <v>－</v>
      </c>
    </row>
    <row r="75" spans="1:29">
      <c r="A75" s="9" t="s">
        <v>46</v>
      </c>
      <c r="B75" s="8" t="s">
        <v>340</v>
      </c>
      <c r="C75" s="8" t="s">
        <v>341</v>
      </c>
      <c r="D75" s="8" t="s">
        <v>263</v>
      </c>
      <c r="E75" s="7" t="s">
        <v>350</v>
      </c>
      <c r="F75" s="7" t="s">
        <v>351</v>
      </c>
      <c r="G75" s="3"/>
      <c r="H75" s="6" t="s">
        <v>148</v>
      </c>
      <c r="I75" s="3"/>
      <c r="J75" s="6" t="s">
        <v>148</v>
      </c>
      <c r="K75" s="3"/>
      <c r="L75" s="6"/>
      <c r="M75" s="3"/>
      <c r="N75" s="6" t="s">
        <v>148</v>
      </c>
      <c r="O75" s="3"/>
      <c r="P75" s="6"/>
      <c r="Q75" s="3"/>
      <c r="R75" s="6" t="s">
        <v>148</v>
      </c>
      <c r="S75" s="5">
        <f>232.95</f>
        <v>232.95</v>
      </c>
      <c r="T75" s="4" t="str">
        <f t="shared" si="6"/>
        <v>－</v>
      </c>
      <c r="U75" s="4"/>
      <c r="V75" s="4"/>
      <c r="W75" s="4" t="str">
        <f t="shared" si="7"/>
        <v>－</v>
      </c>
      <c r="X75" s="4"/>
      <c r="Y75" s="4"/>
      <c r="Z75" s="3"/>
      <c r="AA75" s="2" t="str">
        <f t="shared" si="8"/>
        <v>－</v>
      </c>
      <c r="AB75" s="2" t="str">
        <f t="shared" si="9"/>
        <v>－</v>
      </c>
      <c r="AC75" s="1" t="str">
        <f t="shared" si="10"/>
        <v>－</v>
      </c>
    </row>
    <row r="76" spans="1:29">
      <c r="A76" s="9" t="s">
        <v>46</v>
      </c>
      <c r="B76" s="8" t="s">
        <v>340</v>
      </c>
      <c r="C76" s="8" t="s">
        <v>341</v>
      </c>
      <c r="D76" s="8" t="s">
        <v>78</v>
      </c>
      <c r="E76" s="7" t="s">
        <v>352</v>
      </c>
      <c r="F76" s="7" t="s">
        <v>353</v>
      </c>
      <c r="G76" s="3"/>
      <c r="H76" s="6" t="s">
        <v>148</v>
      </c>
      <c r="I76" s="3"/>
      <c r="J76" s="6" t="s">
        <v>148</v>
      </c>
      <c r="K76" s="3"/>
      <c r="L76" s="6"/>
      <c r="M76" s="3"/>
      <c r="N76" s="6" t="s">
        <v>148</v>
      </c>
      <c r="O76" s="3"/>
      <c r="P76" s="6"/>
      <c r="Q76" s="3"/>
      <c r="R76" s="6" t="s">
        <v>148</v>
      </c>
      <c r="S76" s="5">
        <f>232.95</f>
        <v>232.95</v>
      </c>
      <c r="T76" s="4" t="str">
        <f t="shared" si="6"/>
        <v>－</v>
      </c>
      <c r="U76" s="4"/>
      <c r="V76" s="4"/>
      <c r="W76" s="4" t="str">
        <f t="shared" si="7"/>
        <v>－</v>
      </c>
      <c r="X76" s="4"/>
      <c r="Y76" s="4"/>
      <c r="Z76" s="3"/>
      <c r="AA76" s="2" t="str">
        <f t="shared" si="8"/>
        <v>－</v>
      </c>
      <c r="AB76" s="2" t="str">
        <f t="shared" si="9"/>
        <v>－</v>
      </c>
      <c r="AC76" s="1" t="str">
        <f t="shared" si="10"/>
        <v>－</v>
      </c>
    </row>
    <row r="77" spans="1:29">
      <c r="A77" s="9" t="s">
        <v>46</v>
      </c>
      <c r="B77" s="8" t="s">
        <v>340</v>
      </c>
      <c r="C77" s="8" t="s">
        <v>341</v>
      </c>
      <c r="D77" s="8" t="s">
        <v>318</v>
      </c>
      <c r="E77" s="7" t="s">
        <v>354</v>
      </c>
      <c r="F77" s="7" t="s">
        <v>355</v>
      </c>
      <c r="G77" s="3"/>
      <c r="H77" s="6" t="s">
        <v>148</v>
      </c>
      <c r="I77" s="3"/>
      <c r="J77" s="6" t="s">
        <v>148</v>
      </c>
      <c r="K77" s="3"/>
      <c r="L77" s="6"/>
      <c r="M77" s="3"/>
      <c r="N77" s="6" t="s">
        <v>148</v>
      </c>
      <c r="O77" s="3"/>
      <c r="P77" s="6"/>
      <c r="Q77" s="3"/>
      <c r="R77" s="6" t="s">
        <v>148</v>
      </c>
      <c r="S77" s="5">
        <f>232.95</f>
        <v>232.95</v>
      </c>
      <c r="T77" s="4" t="str">
        <f t="shared" si="6"/>
        <v>－</v>
      </c>
      <c r="U77" s="4"/>
      <c r="V77" s="4"/>
      <c r="W77" s="4" t="str">
        <f t="shared" si="7"/>
        <v>－</v>
      </c>
      <c r="X77" s="4"/>
      <c r="Y77" s="4"/>
      <c r="Z77" s="3"/>
      <c r="AA77" s="2" t="str">
        <f t="shared" si="8"/>
        <v>－</v>
      </c>
      <c r="AB77" s="2" t="str">
        <f t="shared" si="9"/>
        <v>－</v>
      </c>
      <c r="AC77" s="1" t="str">
        <f t="shared" si="10"/>
        <v>－</v>
      </c>
    </row>
    <row r="78" spans="1:29">
      <c r="A78" s="9" t="s">
        <v>46</v>
      </c>
      <c r="B78" s="8" t="s">
        <v>340</v>
      </c>
      <c r="C78" s="8" t="s">
        <v>341</v>
      </c>
      <c r="D78" s="8" t="s">
        <v>88</v>
      </c>
      <c r="E78" s="7" t="s">
        <v>356</v>
      </c>
      <c r="F78" s="7" t="s">
        <v>357</v>
      </c>
      <c r="G78" s="3"/>
      <c r="H78" s="6" t="s">
        <v>148</v>
      </c>
      <c r="I78" s="3"/>
      <c r="J78" s="6" t="s">
        <v>148</v>
      </c>
      <c r="K78" s="3"/>
      <c r="L78" s="6"/>
      <c r="M78" s="3"/>
      <c r="N78" s="6" t="s">
        <v>148</v>
      </c>
      <c r="O78" s="3"/>
      <c r="P78" s="6"/>
      <c r="Q78" s="3"/>
      <c r="R78" s="6" t="s">
        <v>148</v>
      </c>
      <c r="S78" s="5">
        <f>233.95</f>
        <v>233.95</v>
      </c>
      <c r="T78" s="4" t="str">
        <f t="shared" si="6"/>
        <v>－</v>
      </c>
      <c r="U78" s="4"/>
      <c r="V78" s="4"/>
      <c r="W78" s="4" t="str">
        <f t="shared" si="7"/>
        <v>－</v>
      </c>
      <c r="X78" s="4"/>
      <c r="Y78" s="4"/>
      <c r="Z78" s="3"/>
      <c r="AA78" s="2" t="str">
        <f t="shared" si="8"/>
        <v>－</v>
      </c>
      <c r="AB78" s="2" t="str">
        <f t="shared" si="9"/>
        <v>－</v>
      </c>
      <c r="AC78" s="1" t="str">
        <f t="shared" si="10"/>
        <v>－</v>
      </c>
    </row>
    <row r="79" spans="1:29">
      <c r="A79" s="9" t="s">
        <v>46</v>
      </c>
      <c r="B79" s="8" t="s">
        <v>340</v>
      </c>
      <c r="C79" s="8" t="s">
        <v>341</v>
      </c>
      <c r="D79" s="8" t="s">
        <v>327</v>
      </c>
      <c r="E79" s="7" t="s">
        <v>358</v>
      </c>
      <c r="F79" s="7" t="s">
        <v>359</v>
      </c>
      <c r="G79" s="3"/>
      <c r="H79" s="6" t="s">
        <v>148</v>
      </c>
      <c r="I79" s="3"/>
      <c r="J79" s="6" t="s">
        <v>148</v>
      </c>
      <c r="K79" s="3"/>
      <c r="L79" s="6"/>
      <c r="M79" s="3"/>
      <c r="N79" s="6" t="s">
        <v>148</v>
      </c>
      <c r="O79" s="3"/>
      <c r="P79" s="6"/>
      <c r="Q79" s="3"/>
      <c r="R79" s="6" t="s">
        <v>148</v>
      </c>
      <c r="S79" s="5">
        <f>233.95</f>
        <v>233.95</v>
      </c>
      <c r="T79" s="4" t="str">
        <f t="shared" si="6"/>
        <v>－</v>
      </c>
      <c r="U79" s="4"/>
      <c r="V79" s="4"/>
      <c r="W79" s="4" t="str">
        <f t="shared" si="7"/>
        <v>－</v>
      </c>
      <c r="X79" s="4"/>
      <c r="Y79" s="4"/>
      <c r="Z79" s="3"/>
      <c r="AA79" s="2" t="str">
        <f t="shared" si="8"/>
        <v>－</v>
      </c>
      <c r="AB79" s="2" t="str">
        <f t="shared" si="9"/>
        <v>－</v>
      </c>
      <c r="AC79" s="1" t="str">
        <f t="shared" si="10"/>
        <v>－</v>
      </c>
    </row>
    <row r="80" spans="1:29">
      <c r="A80" s="9" t="s">
        <v>46</v>
      </c>
      <c r="B80" s="8" t="s">
        <v>340</v>
      </c>
      <c r="C80" s="8" t="s">
        <v>341</v>
      </c>
      <c r="D80" s="8" t="s">
        <v>96</v>
      </c>
      <c r="E80" s="7" t="s">
        <v>360</v>
      </c>
      <c r="F80" s="7" t="s">
        <v>361</v>
      </c>
      <c r="G80" s="3"/>
      <c r="H80" s="6" t="s">
        <v>148</v>
      </c>
      <c r="I80" s="3"/>
      <c r="J80" s="6" t="s">
        <v>148</v>
      </c>
      <c r="K80" s="3"/>
      <c r="L80" s="6"/>
      <c r="M80" s="3"/>
      <c r="N80" s="6" t="s">
        <v>148</v>
      </c>
      <c r="O80" s="3"/>
      <c r="P80" s="6"/>
      <c r="Q80" s="3"/>
      <c r="R80" s="6" t="s">
        <v>148</v>
      </c>
      <c r="S80" s="5">
        <f>233.95</f>
        <v>233.95</v>
      </c>
      <c r="T80" s="4" t="str">
        <f t="shared" si="6"/>
        <v>－</v>
      </c>
      <c r="U80" s="4"/>
      <c r="V80" s="4"/>
      <c r="W80" s="4" t="str">
        <f t="shared" si="7"/>
        <v>－</v>
      </c>
      <c r="X80" s="4"/>
      <c r="Y80" s="4"/>
      <c r="Z80" s="3"/>
      <c r="AA80" s="2" t="str">
        <f t="shared" si="8"/>
        <v>－</v>
      </c>
      <c r="AB80" s="2" t="str">
        <f t="shared" si="9"/>
        <v>－</v>
      </c>
      <c r="AC80" s="1" t="str">
        <f t="shared" si="10"/>
        <v>－</v>
      </c>
    </row>
    <row r="81" spans="1:29">
      <c r="A81" s="9" t="s">
        <v>46</v>
      </c>
      <c r="B81" s="8" t="s">
        <v>340</v>
      </c>
      <c r="C81" s="8" t="s">
        <v>341</v>
      </c>
      <c r="D81" s="8" t="s">
        <v>332</v>
      </c>
      <c r="E81" s="7" t="s">
        <v>362</v>
      </c>
      <c r="F81" s="7" t="s">
        <v>363</v>
      </c>
      <c r="G81" s="3"/>
      <c r="H81" s="6" t="s">
        <v>148</v>
      </c>
      <c r="I81" s="3"/>
      <c r="J81" s="6" t="s">
        <v>148</v>
      </c>
      <c r="K81" s="3"/>
      <c r="L81" s="6"/>
      <c r="M81" s="3"/>
      <c r="N81" s="6" t="s">
        <v>148</v>
      </c>
      <c r="O81" s="3"/>
      <c r="P81" s="6"/>
      <c r="Q81" s="3"/>
      <c r="R81" s="6" t="s">
        <v>148</v>
      </c>
      <c r="S81" s="5">
        <f>233.95</f>
        <v>233.95</v>
      </c>
      <c r="T81" s="4" t="str">
        <f t="shared" si="6"/>
        <v>－</v>
      </c>
      <c r="U81" s="4"/>
      <c r="V81" s="4"/>
      <c r="W81" s="4" t="str">
        <f t="shared" si="7"/>
        <v>－</v>
      </c>
      <c r="X81" s="4"/>
      <c r="Y81" s="4"/>
      <c r="Z81" s="3"/>
      <c r="AA81" s="2" t="str">
        <f t="shared" si="8"/>
        <v>－</v>
      </c>
      <c r="AB81" s="2" t="str">
        <f t="shared" si="9"/>
        <v>－</v>
      </c>
      <c r="AC81" s="1" t="str">
        <f t="shared" si="10"/>
        <v>－</v>
      </c>
    </row>
    <row r="82" spans="1:29">
      <c r="A82" s="9" t="s">
        <v>46</v>
      </c>
      <c r="B82" s="8" t="s">
        <v>340</v>
      </c>
      <c r="C82" s="8" t="s">
        <v>341</v>
      </c>
      <c r="D82" s="8" t="s">
        <v>105</v>
      </c>
      <c r="E82" s="7" t="s">
        <v>250</v>
      </c>
      <c r="F82" s="7" t="s">
        <v>364</v>
      </c>
      <c r="G82" s="3"/>
      <c r="H82" s="6" t="s">
        <v>148</v>
      </c>
      <c r="I82" s="3"/>
      <c r="J82" s="6" t="s">
        <v>148</v>
      </c>
      <c r="K82" s="3"/>
      <c r="L82" s="6"/>
      <c r="M82" s="3"/>
      <c r="N82" s="6" t="s">
        <v>148</v>
      </c>
      <c r="O82" s="3"/>
      <c r="P82" s="6"/>
      <c r="Q82" s="3"/>
      <c r="R82" s="6" t="s">
        <v>148</v>
      </c>
      <c r="S82" s="5">
        <f>233.95</f>
        <v>233.95</v>
      </c>
      <c r="T82" s="4" t="str">
        <f t="shared" si="6"/>
        <v>－</v>
      </c>
      <c r="U82" s="4"/>
      <c r="V82" s="4"/>
      <c r="W82" s="4" t="str">
        <f t="shared" si="7"/>
        <v>－</v>
      </c>
      <c r="X82" s="4"/>
      <c r="Y82" s="4"/>
      <c r="Z82" s="3"/>
      <c r="AA82" s="2" t="str">
        <f t="shared" si="8"/>
        <v>－</v>
      </c>
      <c r="AB82" s="2" t="str">
        <f t="shared" si="9"/>
        <v>－</v>
      </c>
      <c r="AC82" s="1" t="str">
        <f t="shared" si="10"/>
        <v>－</v>
      </c>
    </row>
    <row r="83" spans="1:29">
      <c r="A83" s="9" t="s">
        <v>46</v>
      </c>
      <c r="B83" s="8" t="s">
        <v>365</v>
      </c>
      <c r="C83" s="8" t="s">
        <v>366</v>
      </c>
      <c r="D83" s="8" t="s">
        <v>251</v>
      </c>
      <c r="E83" s="7" t="s">
        <v>367</v>
      </c>
      <c r="F83" s="7" t="s">
        <v>368</v>
      </c>
      <c r="G83" s="3" t="s">
        <v>51</v>
      </c>
      <c r="H83" s="6" t="s">
        <v>369</v>
      </c>
      <c r="I83" s="3" t="s">
        <v>275</v>
      </c>
      <c r="J83" s="6" t="s">
        <v>370</v>
      </c>
      <c r="K83" s="3" t="s">
        <v>175</v>
      </c>
      <c r="L83" s="6" t="s">
        <v>371</v>
      </c>
      <c r="M83" s="3" t="s">
        <v>57</v>
      </c>
      <c r="N83" s="6" t="s">
        <v>372</v>
      </c>
      <c r="O83" s="3" t="s">
        <v>175</v>
      </c>
      <c r="P83" s="6" t="s">
        <v>371</v>
      </c>
      <c r="Q83" s="3" t="s">
        <v>275</v>
      </c>
      <c r="R83" s="6" t="s">
        <v>370</v>
      </c>
      <c r="S83" s="5">
        <f>36880</f>
        <v>36880</v>
      </c>
      <c r="T83" s="4">
        <f>130</f>
        <v>130</v>
      </c>
      <c r="U83" s="4">
        <v>94</v>
      </c>
      <c r="V83" s="4">
        <v>2</v>
      </c>
      <c r="W83" s="4">
        <f>239423500</f>
        <v>239423500</v>
      </c>
      <c r="X83" s="4">
        <v>174370000</v>
      </c>
      <c r="Y83" s="4">
        <v>3451000</v>
      </c>
      <c r="Z83" s="3" t="s">
        <v>61</v>
      </c>
      <c r="AA83" s="2" t="str">
        <f t="shared" si="8"/>
        <v>－</v>
      </c>
      <c r="AB83" s="2" t="str">
        <f t="shared" si="9"/>
        <v>－</v>
      </c>
      <c r="AC83" s="1">
        <f>3</f>
        <v>3</v>
      </c>
    </row>
    <row r="84" spans="1:29">
      <c r="A84" s="9" t="s">
        <v>46</v>
      </c>
      <c r="B84" s="8" t="s">
        <v>365</v>
      </c>
      <c r="C84" s="8" t="s">
        <v>366</v>
      </c>
      <c r="D84" s="8" t="s">
        <v>258</v>
      </c>
      <c r="E84" s="7" t="s">
        <v>373</v>
      </c>
      <c r="F84" s="7" t="s">
        <v>374</v>
      </c>
      <c r="G84" s="3" t="s">
        <v>51</v>
      </c>
      <c r="H84" s="6" t="s">
        <v>375</v>
      </c>
      <c r="I84" s="3" t="s">
        <v>166</v>
      </c>
      <c r="J84" s="6" t="s">
        <v>376</v>
      </c>
      <c r="K84" s="3"/>
      <c r="L84" s="6"/>
      <c r="M84" s="3" t="s">
        <v>68</v>
      </c>
      <c r="N84" s="6" t="s">
        <v>377</v>
      </c>
      <c r="O84" s="3"/>
      <c r="P84" s="6"/>
      <c r="Q84" s="3" t="s">
        <v>68</v>
      </c>
      <c r="R84" s="6" t="s">
        <v>377</v>
      </c>
      <c r="S84" s="5">
        <f>37207.89</f>
        <v>37207.89</v>
      </c>
      <c r="T84" s="4">
        <f>8</f>
        <v>8</v>
      </c>
      <c r="U84" s="4"/>
      <c r="V84" s="4">
        <v>1</v>
      </c>
      <c r="W84" s="4">
        <f>14876000</f>
        <v>14876000</v>
      </c>
      <c r="X84" s="4"/>
      <c r="Y84" s="4">
        <v>1861000</v>
      </c>
      <c r="Z84" s="3"/>
      <c r="AA84" s="2">
        <f>173</f>
        <v>173</v>
      </c>
      <c r="AB84" s="2" t="str">
        <f t="shared" si="9"/>
        <v>－</v>
      </c>
      <c r="AC84" s="1">
        <f>6</f>
        <v>6</v>
      </c>
    </row>
    <row r="85" spans="1:29">
      <c r="A85" s="9" t="s">
        <v>46</v>
      </c>
      <c r="B85" s="8" t="s">
        <v>365</v>
      </c>
      <c r="C85" s="8" t="s">
        <v>366</v>
      </c>
      <c r="D85" s="8" t="s">
        <v>263</v>
      </c>
      <c r="E85" s="7" t="s">
        <v>378</v>
      </c>
      <c r="F85" s="7" t="s">
        <v>379</v>
      </c>
      <c r="G85" s="3" t="s">
        <v>51</v>
      </c>
      <c r="H85" s="6" t="s">
        <v>380</v>
      </c>
      <c r="I85" s="3" t="s">
        <v>51</v>
      </c>
      <c r="J85" s="6" t="s">
        <v>380</v>
      </c>
      <c r="K85" s="3"/>
      <c r="L85" s="6"/>
      <c r="M85" s="3" t="s">
        <v>108</v>
      </c>
      <c r="N85" s="6" t="s">
        <v>381</v>
      </c>
      <c r="O85" s="3"/>
      <c r="P85" s="6"/>
      <c r="Q85" s="3" t="s">
        <v>66</v>
      </c>
      <c r="R85" s="6" t="s">
        <v>382</v>
      </c>
      <c r="S85" s="5">
        <f>36348.42</f>
        <v>36348.42</v>
      </c>
      <c r="T85" s="4">
        <f>51</f>
        <v>51</v>
      </c>
      <c r="U85" s="4"/>
      <c r="V85" s="4">
        <v>8</v>
      </c>
      <c r="W85" s="4">
        <f>90109500</f>
        <v>90109500</v>
      </c>
      <c r="X85" s="4"/>
      <c r="Y85" s="4">
        <v>14708000</v>
      </c>
      <c r="Z85" s="3"/>
      <c r="AA85" s="2">
        <f>130</f>
        <v>130</v>
      </c>
      <c r="AB85" s="2" t="str">
        <f t="shared" si="9"/>
        <v>－</v>
      </c>
      <c r="AC85" s="1">
        <f>9</f>
        <v>9</v>
      </c>
    </row>
    <row r="86" spans="1:29">
      <c r="A86" s="9" t="s">
        <v>46</v>
      </c>
      <c r="B86" s="8" t="s">
        <v>365</v>
      </c>
      <c r="C86" s="8" t="s">
        <v>366</v>
      </c>
      <c r="D86" s="8" t="s">
        <v>318</v>
      </c>
      <c r="E86" s="7" t="s">
        <v>383</v>
      </c>
      <c r="F86" s="7" t="s">
        <v>384</v>
      </c>
      <c r="G86" s="3" t="s">
        <v>51</v>
      </c>
      <c r="H86" s="6" t="s">
        <v>385</v>
      </c>
      <c r="I86" s="3" t="s">
        <v>53</v>
      </c>
      <c r="J86" s="6" t="s">
        <v>386</v>
      </c>
      <c r="K86" s="3"/>
      <c r="L86" s="6"/>
      <c r="M86" s="3" t="s">
        <v>51</v>
      </c>
      <c r="N86" s="6" t="s">
        <v>387</v>
      </c>
      <c r="O86" s="3"/>
      <c r="P86" s="6"/>
      <c r="Q86" s="3" t="s">
        <v>66</v>
      </c>
      <c r="R86" s="6" t="s">
        <v>387</v>
      </c>
      <c r="S86" s="5">
        <f>38000</f>
        <v>38000</v>
      </c>
      <c r="T86" s="4">
        <f>17</f>
        <v>17</v>
      </c>
      <c r="U86" s="4"/>
      <c r="V86" s="4">
        <v>9</v>
      </c>
      <c r="W86" s="4">
        <f>32328000</f>
        <v>32328000</v>
      </c>
      <c r="X86" s="4"/>
      <c r="Y86" s="4">
        <v>17115500</v>
      </c>
      <c r="Z86" s="3"/>
      <c r="AA86" s="2">
        <f>161</f>
        <v>161</v>
      </c>
      <c r="AB86" s="2" t="str">
        <f t="shared" si="9"/>
        <v>－</v>
      </c>
      <c r="AC86" s="1">
        <f>5</f>
        <v>5</v>
      </c>
    </row>
    <row r="87" spans="1:29">
      <c r="A87" s="9" t="s">
        <v>46</v>
      </c>
      <c r="B87" s="8" t="s">
        <v>365</v>
      </c>
      <c r="C87" s="8" t="s">
        <v>366</v>
      </c>
      <c r="D87" s="8" t="s">
        <v>327</v>
      </c>
      <c r="E87" s="7" t="s">
        <v>388</v>
      </c>
      <c r="F87" s="7" t="s">
        <v>389</v>
      </c>
      <c r="G87" s="3" t="s">
        <v>51</v>
      </c>
      <c r="H87" s="6" t="s">
        <v>380</v>
      </c>
      <c r="I87" s="3" t="s">
        <v>204</v>
      </c>
      <c r="J87" s="6" t="s">
        <v>377</v>
      </c>
      <c r="K87" s="3" t="s">
        <v>83</v>
      </c>
      <c r="L87" s="6" t="s">
        <v>390</v>
      </c>
      <c r="M87" s="3" t="s">
        <v>83</v>
      </c>
      <c r="N87" s="6" t="s">
        <v>391</v>
      </c>
      <c r="O87" s="3" t="s">
        <v>83</v>
      </c>
      <c r="P87" s="6" t="s">
        <v>390</v>
      </c>
      <c r="Q87" s="3" t="s">
        <v>66</v>
      </c>
      <c r="R87" s="6" t="s">
        <v>392</v>
      </c>
      <c r="S87" s="5">
        <f>36770.53</f>
        <v>36770.53</v>
      </c>
      <c r="T87" s="4">
        <f>160</f>
        <v>160</v>
      </c>
      <c r="U87" s="4">
        <v>1</v>
      </c>
      <c r="V87" s="4"/>
      <c r="W87" s="4">
        <f>293488500</f>
        <v>293488500</v>
      </c>
      <c r="X87" s="4">
        <v>1805000</v>
      </c>
      <c r="Y87" s="4"/>
      <c r="Z87" s="3"/>
      <c r="AA87" s="2">
        <f>796</f>
        <v>796</v>
      </c>
      <c r="AB87" s="2" t="str">
        <f t="shared" si="9"/>
        <v>－</v>
      </c>
      <c r="AC87" s="1">
        <f>13</f>
        <v>13</v>
      </c>
    </row>
    <row r="88" spans="1:29">
      <c r="A88" s="9" t="s">
        <v>46</v>
      </c>
      <c r="B88" s="8" t="s">
        <v>365</v>
      </c>
      <c r="C88" s="8" t="s">
        <v>366</v>
      </c>
      <c r="D88" s="8" t="s">
        <v>332</v>
      </c>
      <c r="E88" s="7" t="s">
        <v>393</v>
      </c>
      <c r="F88" s="7" t="s">
        <v>394</v>
      </c>
      <c r="G88" s="3" t="s">
        <v>51</v>
      </c>
      <c r="H88" s="6" t="s">
        <v>395</v>
      </c>
      <c r="I88" s="3" t="s">
        <v>204</v>
      </c>
      <c r="J88" s="6" t="s">
        <v>396</v>
      </c>
      <c r="K88" s="3"/>
      <c r="L88" s="6"/>
      <c r="M88" s="3" t="s">
        <v>59</v>
      </c>
      <c r="N88" s="6" t="s">
        <v>397</v>
      </c>
      <c r="O88" s="3"/>
      <c r="P88" s="6"/>
      <c r="Q88" s="3" t="s">
        <v>66</v>
      </c>
      <c r="R88" s="6" t="s">
        <v>376</v>
      </c>
      <c r="S88" s="5">
        <f>37215.26</f>
        <v>37215.26</v>
      </c>
      <c r="T88" s="4">
        <f>121</f>
        <v>121</v>
      </c>
      <c r="U88" s="4"/>
      <c r="V88" s="4"/>
      <c r="W88" s="4">
        <f>225340000</f>
        <v>225340000</v>
      </c>
      <c r="X88" s="4"/>
      <c r="Y88" s="4"/>
      <c r="Z88" s="3"/>
      <c r="AA88" s="2">
        <f>97</f>
        <v>97</v>
      </c>
      <c r="AB88" s="2" t="str">
        <f t="shared" si="9"/>
        <v>－</v>
      </c>
      <c r="AC88" s="1">
        <f>19</f>
        <v>19</v>
      </c>
    </row>
    <row r="89" spans="1:29">
      <c r="A89" s="9" t="s">
        <v>46</v>
      </c>
      <c r="B89" s="8" t="s">
        <v>365</v>
      </c>
      <c r="C89" s="8" t="s">
        <v>366</v>
      </c>
      <c r="D89" s="8" t="s">
        <v>398</v>
      </c>
      <c r="E89" s="7" t="s">
        <v>399</v>
      </c>
      <c r="F89" s="7" t="s">
        <v>400</v>
      </c>
      <c r="G89" s="3" t="s">
        <v>162</v>
      </c>
      <c r="H89" s="6" t="s">
        <v>401</v>
      </c>
      <c r="I89" s="3" t="s">
        <v>66</v>
      </c>
      <c r="J89" s="6" t="s">
        <v>402</v>
      </c>
      <c r="K89" s="3"/>
      <c r="L89" s="6"/>
      <c r="M89" s="3" t="s">
        <v>108</v>
      </c>
      <c r="N89" s="6" t="s">
        <v>403</v>
      </c>
      <c r="O89" s="3"/>
      <c r="P89" s="6"/>
      <c r="Q89" s="3" t="s">
        <v>66</v>
      </c>
      <c r="R89" s="6" t="s">
        <v>404</v>
      </c>
      <c r="S89" s="5">
        <f>37032.22</f>
        <v>37032.22</v>
      </c>
      <c r="T89" s="4">
        <f>36</f>
        <v>36</v>
      </c>
      <c r="U89" s="4"/>
      <c r="V89" s="4"/>
      <c r="W89" s="4">
        <f>66559500</f>
        <v>66559500</v>
      </c>
      <c r="X89" s="4"/>
      <c r="Y89" s="4"/>
      <c r="Z89" s="3"/>
      <c r="AA89" s="2">
        <f>21</f>
        <v>21</v>
      </c>
      <c r="AB89" s="2" t="str">
        <f t="shared" si="9"/>
        <v>－</v>
      </c>
      <c r="AC89" s="1">
        <f>7</f>
        <v>7</v>
      </c>
    </row>
    <row r="90" spans="1:29">
      <c r="A90" s="9" t="s">
        <v>46</v>
      </c>
      <c r="B90" s="8" t="s">
        <v>405</v>
      </c>
      <c r="C90" s="8" t="s">
        <v>406</v>
      </c>
      <c r="D90" s="8" t="s">
        <v>46</v>
      </c>
      <c r="E90" s="7" t="s">
        <v>367</v>
      </c>
      <c r="F90" s="7" t="s">
        <v>368</v>
      </c>
      <c r="G90" s="3"/>
      <c r="H90" s="6" t="s">
        <v>148</v>
      </c>
      <c r="I90" s="3"/>
      <c r="J90" s="6" t="s">
        <v>148</v>
      </c>
      <c r="K90" s="3"/>
      <c r="L90" s="6"/>
      <c r="M90" s="3"/>
      <c r="N90" s="6" t="s">
        <v>148</v>
      </c>
      <c r="O90" s="3"/>
      <c r="P90" s="6"/>
      <c r="Q90" s="3"/>
      <c r="R90" s="6" t="s">
        <v>148</v>
      </c>
      <c r="S90" s="5">
        <f>64000</f>
        <v>64000</v>
      </c>
      <c r="T90" s="4" t="str">
        <f t="shared" ref="T90:T103" si="11">"－"</f>
        <v>－</v>
      </c>
      <c r="U90" s="4"/>
      <c r="V90" s="4"/>
      <c r="W90" s="4" t="str">
        <f t="shared" ref="W90:W103" si="12">"－"</f>
        <v>－</v>
      </c>
      <c r="X90" s="4"/>
      <c r="Y90" s="4"/>
      <c r="Z90" s="3" t="s">
        <v>61</v>
      </c>
      <c r="AA90" s="2" t="str">
        <f t="shared" ref="AA90:AA103" si="13">"－"</f>
        <v>－</v>
      </c>
      <c r="AB90" s="2" t="str">
        <f t="shared" si="9"/>
        <v>－</v>
      </c>
      <c r="AC90" s="1" t="str">
        <f t="shared" ref="AC90:AC103" si="14">"－"</f>
        <v>－</v>
      </c>
    </row>
    <row r="91" spans="1:29">
      <c r="A91" s="9" t="s">
        <v>46</v>
      </c>
      <c r="B91" s="8" t="s">
        <v>405</v>
      </c>
      <c r="C91" s="8" t="s">
        <v>406</v>
      </c>
      <c r="D91" s="8" t="s">
        <v>62</v>
      </c>
      <c r="E91" s="7" t="s">
        <v>373</v>
      </c>
      <c r="F91" s="7" t="s">
        <v>374</v>
      </c>
      <c r="G91" s="3"/>
      <c r="H91" s="6" t="s">
        <v>148</v>
      </c>
      <c r="I91" s="3"/>
      <c r="J91" s="6" t="s">
        <v>148</v>
      </c>
      <c r="K91" s="3"/>
      <c r="L91" s="6"/>
      <c r="M91" s="3"/>
      <c r="N91" s="6" t="s">
        <v>148</v>
      </c>
      <c r="O91" s="3"/>
      <c r="P91" s="6"/>
      <c r="Q91" s="3"/>
      <c r="R91" s="6" t="s">
        <v>148</v>
      </c>
      <c r="S91" s="5">
        <f>64000</f>
        <v>64000</v>
      </c>
      <c r="T91" s="4" t="str">
        <f t="shared" si="11"/>
        <v>－</v>
      </c>
      <c r="U91" s="4"/>
      <c r="V91" s="4"/>
      <c r="W91" s="4" t="str">
        <f t="shared" si="12"/>
        <v>－</v>
      </c>
      <c r="X91" s="4"/>
      <c r="Y91" s="4"/>
      <c r="Z91" s="3"/>
      <c r="AA91" s="2" t="str">
        <f t="shared" si="13"/>
        <v>－</v>
      </c>
      <c r="AB91" s="2" t="str">
        <f t="shared" si="9"/>
        <v>－</v>
      </c>
      <c r="AC91" s="1" t="str">
        <f t="shared" si="14"/>
        <v>－</v>
      </c>
    </row>
    <row r="92" spans="1:29">
      <c r="A92" s="9" t="s">
        <v>46</v>
      </c>
      <c r="B92" s="8" t="s">
        <v>405</v>
      </c>
      <c r="C92" s="8" t="s">
        <v>406</v>
      </c>
      <c r="D92" s="8" t="s">
        <v>72</v>
      </c>
      <c r="E92" s="7" t="s">
        <v>378</v>
      </c>
      <c r="F92" s="7" t="s">
        <v>379</v>
      </c>
      <c r="G92" s="3"/>
      <c r="H92" s="6" t="s">
        <v>148</v>
      </c>
      <c r="I92" s="3"/>
      <c r="J92" s="6" t="s">
        <v>148</v>
      </c>
      <c r="K92" s="3"/>
      <c r="L92" s="6"/>
      <c r="M92" s="3"/>
      <c r="N92" s="6" t="s">
        <v>148</v>
      </c>
      <c r="O92" s="3"/>
      <c r="P92" s="6"/>
      <c r="Q92" s="3"/>
      <c r="R92" s="6" t="s">
        <v>148</v>
      </c>
      <c r="S92" s="5">
        <f>64000</f>
        <v>64000</v>
      </c>
      <c r="T92" s="4" t="str">
        <f t="shared" si="11"/>
        <v>－</v>
      </c>
      <c r="U92" s="4"/>
      <c r="V92" s="4"/>
      <c r="W92" s="4" t="str">
        <f t="shared" si="12"/>
        <v>－</v>
      </c>
      <c r="X92" s="4"/>
      <c r="Y92" s="4"/>
      <c r="Z92" s="3"/>
      <c r="AA92" s="2" t="str">
        <f t="shared" si="13"/>
        <v>－</v>
      </c>
      <c r="AB92" s="2" t="str">
        <f t="shared" si="9"/>
        <v>－</v>
      </c>
      <c r="AC92" s="1" t="str">
        <f t="shared" si="14"/>
        <v>－</v>
      </c>
    </row>
    <row r="93" spans="1:29">
      <c r="A93" s="9" t="s">
        <v>46</v>
      </c>
      <c r="B93" s="8" t="s">
        <v>405</v>
      </c>
      <c r="C93" s="8" t="s">
        <v>406</v>
      </c>
      <c r="D93" s="8" t="s">
        <v>78</v>
      </c>
      <c r="E93" s="7" t="s">
        <v>383</v>
      </c>
      <c r="F93" s="7" t="s">
        <v>384</v>
      </c>
      <c r="G93" s="3"/>
      <c r="H93" s="6" t="s">
        <v>148</v>
      </c>
      <c r="I93" s="3"/>
      <c r="J93" s="6" t="s">
        <v>148</v>
      </c>
      <c r="K93" s="3"/>
      <c r="L93" s="6"/>
      <c r="M93" s="3"/>
      <c r="N93" s="6" t="s">
        <v>148</v>
      </c>
      <c r="O93" s="3"/>
      <c r="P93" s="6"/>
      <c r="Q93" s="3"/>
      <c r="R93" s="6" t="s">
        <v>148</v>
      </c>
      <c r="S93" s="5">
        <f>64000</f>
        <v>64000</v>
      </c>
      <c r="T93" s="4" t="str">
        <f t="shared" si="11"/>
        <v>－</v>
      </c>
      <c r="U93" s="4"/>
      <c r="V93" s="4"/>
      <c r="W93" s="4" t="str">
        <f t="shared" si="12"/>
        <v>－</v>
      </c>
      <c r="X93" s="4"/>
      <c r="Y93" s="4"/>
      <c r="Z93" s="3"/>
      <c r="AA93" s="2" t="str">
        <f t="shared" si="13"/>
        <v>－</v>
      </c>
      <c r="AB93" s="2" t="str">
        <f t="shared" si="9"/>
        <v>－</v>
      </c>
      <c r="AC93" s="1" t="str">
        <f t="shared" si="14"/>
        <v>－</v>
      </c>
    </row>
    <row r="94" spans="1:29">
      <c r="A94" s="9" t="s">
        <v>46</v>
      </c>
      <c r="B94" s="8" t="s">
        <v>405</v>
      </c>
      <c r="C94" s="8" t="s">
        <v>406</v>
      </c>
      <c r="D94" s="8" t="s">
        <v>88</v>
      </c>
      <c r="E94" s="7" t="s">
        <v>388</v>
      </c>
      <c r="F94" s="7" t="s">
        <v>389</v>
      </c>
      <c r="G94" s="3"/>
      <c r="H94" s="6" t="s">
        <v>148</v>
      </c>
      <c r="I94" s="3"/>
      <c r="J94" s="6" t="s">
        <v>148</v>
      </c>
      <c r="K94" s="3"/>
      <c r="L94" s="6"/>
      <c r="M94" s="3"/>
      <c r="N94" s="6" t="s">
        <v>148</v>
      </c>
      <c r="O94" s="3"/>
      <c r="P94" s="6"/>
      <c r="Q94" s="3"/>
      <c r="R94" s="6" t="s">
        <v>148</v>
      </c>
      <c r="S94" s="5">
        <f>64000</f>
        <v>64000</v>
      </c>
      <c r="T94" s="4" t="str">
        <f t="shared" si="11"/>
        <v>－</v>
      </c>
      <c r="U94" s="4"/>
      <c r="V94" s="4"/>
      <c r="W94" s="4" t="str">
        <f t="shared" si="12"/>
        <v>－</v>
      </c>
      <c r="X94" s="4"/>
      <c r="Y94" s="4"/>
      <c r="Z94" s="3"/>
      <c r="AA94" s="2" t="str">
        <f t="shared" si="13"/>
        <v>－</v>
      </c>
      <c r="AB94" s="2" t="str">
        <f t="shared" si="9"/>
        <v>－</v>
      </c>
      <c r="AC94" s="1" t="str">
        <f t="shared" si="14"/>
        <v>－</v>
      </c>
    </row>
    <row r="95" spans="1:29">
      <c r="A95" s="9" t="s">
        <v>46</v>
      </c>
      <c r="B95" s="8" t="s">
        <v>405</v>
      </c>
      <c r="C95" s="8" t="s">
        <v>406</v>
      </c>
      <c r="D95" s="8" t="s">
        <v>96</v>
      </c>
      <c r="E95" s="7" t="s">
        <v>393</v>
      </c>
      <c r="F95" s="7" t="s">
        <v>394</v>
      </c>
      <c r="G95" s="3"/>
      <c r="H95" s="6" t="s">
        <v>148</v>
      </c>
      <c r="I95" s="3"/>
      <c r="J95" s="6" t="s">
        <v>148</v>
      </c>
      <c r="K95" s="3"/>
      <c r="L95" s="6"/>
      <c r="M95" s="3"/>
      <c r="N95" s="6" t="s">
        <v>148</v>
      </c>
      <c r="O95" s="3"/>
      <c r="P95" s="6"/>
      <c r="Q95" s="3"/>
      <c r="R95" s="6" t="s">
        <v>148</v>
      </c>
      <c r="S95" s="5">
        <f>64000</f>
        <v>64000</v>
      </c>
      <c r="T95" s="4" t="str">
        <f t="shared" si="11"/>
        <v>－</v>
      </c>
      <c r="U95" s="4"/>
      <c r="V95" s="4"/>
      <c r="W95" s="4" t="str">
        <f t="shared" si="12"/>
        <v>－</v>
      </c>
      <c r="X95" s="4"/>
      <c r="Y95" s="4"/>
      <c r="Z95" s="3"/>
      <c r="AA95" s="2" t="str">
        <f t="shared" si="13"/>
        <v>－</v>
      </c>
      <c r="AB95" s="2" t="str">
        <f t="shared" si="9"/>
        <v>－</v>
      </c>
      <c r="AC95" s="1" t="str">
        <f t="shared" si="14"/>
        <v>－</v>
      </c>
    </row>
    <row r="96" spans="1:29">
      <c r="A96" s="9" t="s">
        <v>46</v>
      </c>
      <c r="B96" s="8" t="s">
        <v>405</v>
      </c>
      <c r="C96" s="8" t="s">
        <v>406</v>
      </c>
      <c r="D96" s="8" t="s">
        <v>105</v>
      </c>
      <c r="E96" s="7" t="s">
        <v>399</v>
      </c>
      <c r="F96" s="7" t="s">
        <v>400</v>
      </c>
      <c r="G96" s="3"/>
      <c r="H96" s="6" t="s">
        <v>148</v>
      </c>
      <c r="I96" s="3"/>
      <c r="J96" s="6" t="s">
        <v>148</v>
      </c>
      <c r="K96" s="3"/>
      <c r="L96" s="6"/>
      <c r="M96" s="3"/>
      <c r="N96" s="6" t="s">
        <v>148</v>
      </c>
      <c r="O96" s="3"/>
      <c r="P96" s="6"/>
      <c r="Q96" s="3"/>
      <c r="R96" s="6" t="s">
        <v>148</v>
      </c>
      <c r="S96" s="5">
        <f>64000</f>
        <v>64000</v>
      </c>
      <c r="T96" s="4" t="str">
        <f t="shared" si="11"/>
        <v>－</v>
      </c>
      <c r="U96" s="4"/>
      <c r="V96" s="4"/>
      <c r="W96" s="4" t="str">
        <f t="shared" si="12"/>
        <v>－</v>
      </c>
      <c r="X96" s="4"/>
      <c r="Y96" s="4"/>
      <c r="Z96" s="3"/>
      <c r="AA96" s="2" t="str">
        <f t="shared" si="13"/>
        <v>－</v>
      </c>
      <c r="AB96" s="2" t="str">
        <f t="shared" si="9"/>
        <v>－</v>
      </c>
      <c r="AC96" s="1" t="str">
        <f t="shared" si="14"/>
        <v>－</v>
      </c>
    </row>
    <row r="97" spans="1:29">
      <c r="A97" s="9" t="s">
        <v>46</v>
      </c>
      <c r="B97" s="8" t="s">
        <v>407</v>
      </c>
      <c r="C97" s="8" t="s">
        <v>408</v>
      </c>
      <c r="D97" s="8" t="s">
        <v>46</v>
      </c>
      <c r="E97" s="7" t="s">
        <v>79</v>
      </c>
      <c r="F97" s="7" t="s">
        <v>50</v>
      </c>
      <c r="G97" s="3"/>
      <c r="H97" s="6" t="s">
        <v>148</v>
      </c>
      <c r="I97" s="3"/>
      <c r="J97" s="6" t="s">
        <v>148</v>
      </c>
      <c r="K97" s="3"/>
      <c r="L97" s="6"/>
      <c r="M97" s="3"/>
      <c r="N97" s="6" t="s">
        <v>148</v>
      </c>
      <c r="O97" s="3"/>
      <c r="P97" s="6"/>
      <c r="Q97" s="3"/>
      <c r="R97" s="6" t="s">
        <v>148</v>
      </c>
      <c r="S97" s="5">
        <f>12300</f>
        <v>12300</v>
      </c>
      <c r="T97" s="4" t="str">
        <f t="shared" si="11"/>
        <v>－</v>
      </c>
      <c r="U97" s="4"/>
      <c r="V97" s="4"/>
      <c r="W97" s="4" t="str">
        <f t="shared" si="12"/>
        <v>－</v>
      </c>
      <c r="X97" s="4"/>
      <c r="Y97" s="4"/>
      <c r="Z97" s="3" t="s">
        <v>61</v>
      </c>
      <c r="AA97" s="2" t="str">
        <f t="shared" si="13"/>
        <v>－</v>
      </c>
      <c r="AB97" s="2" t="str">
        <f t="shared" si="9"/>
        <v>－</v>
      </c>
      <c r="AC97" s="1" t="str">
        <f t="shared" si="14"/>
        <v>－</v>
      </c>
    </row>
    <row r="98" spans="1:29">
      <c r="A98" s="9" t="s">
        <v>46</v>
      </c>
      <c r="B98" s="8" t="s">
        <v>407</v>
      </c>
      <c r="C98" s="8" t="s">
        <v>408</v>
      </c>
      <c r="D98" s="8" t="s">
        <v>251</v>
      </c>
      <c r="E98" s="7" t="s">
        <v>409</v>
      </c>
      <c r="F98" s="7" t="s">
        <v>410</v>
      </c>
      <c r="G98" s="3"/>
      <c r="H98" s="6" t="s">
        <v>148</v>
      </c>
      <c r="I98" s="3"/>
      <c r="J98" s="6" t="s">
        <v>148</v>
      </c>
      <c r="K98" s="3"/>
      <c r="L98" s="6"/>
      <c r="M98" s="3"/>
      <c r="N98" s="6" t="s">
        <v>148</v>
      </c>
      <c r="O98" s="3"/>
      <c r="P98" s="6"/>
      <c r="Q98" s="3"/>
      <c r="R98" s="6" t="s">
        <v>148</v>
      </c>
      <c r="S98" s="5">
        <f>12300</f>
        <v>12300</v>
      </c>
      <c r="T98" s="4" t="str">
        <f t="shared" si="11"/>
        <v>－</v>
      </c>
      <c r="U98" s="4"/>
      <c r="V98" s="4"/>
      <c r="W98" s="4" t="str">
        <f t="shared" si="12"/>
        <v>－</v>
      </c>
      <c r="X98" s="4"/>
      <c r="Y98" s="4"/>
      <c r="Z98" s="3"/>
      <c r="AA98" s="2" t="str">
        <f t="shared" si="13"/>
        <v>－</v>
      </c>
      <c r="AB98" s="2" t="str">
        <f t="shared" si="9"/>
        <v>－</v>
      </c>
      <c r="AC98" s="1" t="str">
        <f t="shared" si="14"/>
        <v>－</v>
      </c>
    </row>
    <row r="99" spans="1:29">
      <c r="A99" s="9" t="s">
        <v>46</v>
      </c>
      <c r="B99" s="8" t="s">
        <v>407</v>
      </c>
      <c r="C99" s="8" t="s">
        <v>408</v>
      </c>
      <c r="D99" s="8" t="s">
        <v>62</v>
      </c>
      <c r="E99" s="7" t="s">
        <v>89</v>
      </c>
      <c r="F99" s="7" t="s">
        <v>64</v>
      </c>
      <c r="G99" s="3"/>
      <c r="H99" s="6" t="s">
        <v>148</v>
      </c>
      <c r="I99" s="3"/>
      <c r="J99" s="6" t="s">
        <v>148</v>
      </c>
      <c r="K99" s="3"/>
      <c r="L99" s="6"/>
      <c r="M99" s="3"/>
      <c r="N99" s="6" t="s">
        <v>148</v>
      </c>
      <c r="O99" s="3"/>
      <c r="P99" s="6"/>
      <c r="Q99" s="3"/>
      <c r="R99" s="6" t="s">
        <v>148</v>
      </c>
      <c r="S99" s="5">
        <f>12300</f>
        <v>12300</v>
      </c>
      <c r="T99" s="4" t="str">
        <f t="shared" si="11"/>
        <v>－</v>
      </c>
      <c r="U99" s="4"/>
      <c r="V99" s="4"/>
      <c r="W99" s="4" t="str">
        <f t="shared" si="12"/>
        <v>－</v>
      </c>
      <c r="X99" s="4"/>
      <c r="Y99" s="4"/>
      <c r="Z99" s="3"/>
      <c r="AA99" s="2" t="str">
        <f t="shared" si="13"/>
        <v>－</v>
      </c>
      <c r="AB99" s="2" t="str">
        <f t="shared" si="9"/>
        <v>－</v>
      </c>
      <c r="AC99" s="1" t="str">
        <f t="shared" si="14"/>
        <v>－</v>
      </c>
    </row>
    <row r="100" spans="1:29">
      <c r="A100" s="9" t="s">
        <v>46</v>
      </c>
      <c r="B100" s="8" t="s">
        <v>407</v>
      </c>
      <c r="C100" s="8" t="s">
        <v>408</v>
      </c>
      <c r="D100" s="8" t="s">
        <v>258</v>
      </c>
      <c r="E100" s="7" t="s">
        <v>411</v>
      </c>
      <c r="F100" s="7" t="s">
        <v>412</v>
      </c>
      <c r="G100" s="3"/>
      <c r="H100" s="6" t="s">
        <v>148</v>
      </c>
      <c r="I100" s="3"/>
      <c r="J100" s="6" t="s">
        <v>148</v>
      </c>
      <c r="K100" s="3"/>
      <c r="L100" s="6"/>
      <c r="M100" s="3"/>
      <c r="N100" s="6" t="s">
        <v>148</v>
      </c>
      <c r="O100" s="3"/>
      <c r="P100" s="6"/>
      <c r="Q100" s="3"/>
      <c r="R100" s="6" t="s">
        <v>148</v>
      </c>
      <c r="S100" s="5">
        <f>12300</f>
        <v>12300</v>
      </c>
      <c r="T100" s="4" t="str">
        <f t="shared" si="11"/>
        <v>－</v>
      </c>
      <c r="U100" s="4"/>
      <c r="V100" s="4"/>
      <c r="W100" s="4" t="str">
        <f t="shared" si="12"/>
        <v>－</v>
      </c>
      <c r="X100" s="4"/>
      <c r="Y100" s="4"/>
      <c r="Z100" s="3"/>
      <c r="AA100" s="2" t="str">
        <f t="shared" si="13"/>
        <v>－</v>
      </c>
      <c r="AB100" s="2" t="str">
        <f t="shared" si="9"/>
        <v>－</v>
      </c>
      <c r="AC100" s="1" t="str">
        <f t="shared" si="14"/>
        <v>－</v>
      </c>
    </row>
    <row r="101" spans="1:29">
      <c r="A101" s="9" t="s">
        <v>46</v>
      </c>
      <c r="B101" s="8" t="s">
        <v>407</v>
      </c>
      <c r="C101" s="8" t="s">
        <v>408</v>
      </c>
      <c r="D101" s="8" t="s">
        <v>72</v>
      </c>
      <c r="E101" s="7" t="s">
        <v>413</v>
      </c>
      <c r="F101" s="7" t="s">
        <v>74</v>
      </c>
      <c r="G101" s="3"/>
      <c r="H101" s="6" t="s">
        <v>148</v>
      </c>
      <c r="I101" s="3"/>
      <c r="J101" s="6" t="s">
        <v>148</v>
      </c>
      <c r="K101" s="3"/>
      <c r="L101" s="6"/>
      <c r="M101" s="3"/>
      <c r="N101" s="6" t="s">
        <v>148</v>
      </c>
      <c r="O101" s="3"/>
      <c r="P101" s="6"/>
      <c r="Q101" s="3"/>
      <c r="R101" s="6" t="s">
        <v>148</v>
      </c>
      <c r="S101" s="5">
        <f>12300</f>
        <v>12300</v>
      </c>
      <c r="T101" s="4" t="str">
        <f t="shared" si="11"/>
        <v>－</v>
      </c>
      <c r="U101" s="4"/>
      <c r="V101" s="4"/>
      <c r="W101" s="4" t="str">
        <f t="shared" si="12"/>
        <v>－</v>
      </c>
      <c r="X101" s="4"/>
      <c r="Y101" s="4"/>
      <c r="Z101" s="3"/>
      <c r="AA101" s="2" t="str">
        <f t="shared" si="13"/>
        <v>－</v>
      </c>
      <c r="AB101" s="2" t="str">
        <f t="shared" si="9"/>
        <v>－</v>
      </c>
      <c r="AC101" s="1" t="str">
        <f t="shared" si="14"/>
        <v>－</v>
      </c>
    </row>
    <row r="102" spans="1:29">
      <c r="A102" s="9" t="s">
        <v>46</v>
      </c>
      <c r="B102" s="8" t="s">
        <v>407</v>
      </c>
      <c r="C102" s="8" t="s">
        <v>408</v>
      </c>
      <c r="D102" s="8" t="s">
        <v>263</v>
      </c>
      <c r="E102" s="7" t="s">
        <v>414</v>
      </c>
      <c r="F102" s="7" t="s">
        <v>415</v>
      </c>
      <c r="G102" s="3"/>
      <c r="H102" s="6" t="s">
        <v>148</v>
      </c>
      <c r="I102" s="3"/>
      <c r="J102" s="6" t="s">
        <v>148</v>
      </c>
      <c r="K102" s="3"/>
      <c r="L102" s="6"/>
      <c r="M102" s="3"/>
      <c r="N102" s="6" t="s">
        <v>148</v>
      </c>
      <c r="O102" s="3"/>
      <c r="P102" s="6"/>
      <c r="Q102" s="3"/>
      <c r="R102" s="6" t="s">
        <v>148</v>
      </c>
      <c r="S102" s="5">
        <f>12300</f>
        <v>12300</v>
      </c>
      <c r="T102" s="4" t="str">
        <f t="shared" si="11"/>
        <v>－</v>
      </c>
      <c r="U102" s="4"/>
      <c r="V102" s="4"/>
      <c r="W102" s="4" t="str">
        <f t="shared" si="12"/>
        <v>－</v>
      </c>
      <c r="X102" s="4"/>
      <c r="Y102" s="4"/>
      <c r="Z102" s="3"/>
      <c r="AA102" s="2" t="str">
        <f t="shared" si="13"/>
        <v>－</v>
      </c>
      <c r="AB102" s="2" t="str">
        <f t="shared" si="9"/>
        <v>－</v>
      </c>
      <c r="AC102" s="1" t="str">
        <f t="shared" si="14"/>
        <v>－</v>
      </c>
    </row>
    <row r="103" spans="1:29">
      <c r="A103" s="9" t="s">
        <v>46</v>
      </c>
      <c r="B103" s="8" t="s">
        <v>407</v>
      </c>
      <c r="C103" s="8" t="s">
        <v>408</v>
      </c>
      <c r="D103" s="8" t="s">
        <v>78</v>
      </c>
      <c r="E103" s="7" t="s">
        <v>106</v>
      </c>
      <c r="F103" s="7" t="s">
        <v>80</v>
      </c>
      <c r="G103" s="3"/>
      <c r="H103" s="6" t="s">
        <v>148</v>
      </c>
      <c r="I103" s="3"/>
      <c r="J103" s="6" t="s">
        <v>148</v>
      </c>
      <c r="K103" s="3"/>
      <c r="L103" s="6"/>
      <c r="M103" s="3"/>
      <c r="N103" s="6" t="s">
        <v>148</v>
      </c>
      <c r="O103" s="3"/>
      <c r="P103" s="6"/>
      <c r="Q103" s="3"/>
      <c r="R103" s="6" t="s">
        <v>148</v>
      </c>
      <c r="S103" s="5">
        <f>12300</f>
        <v>12300</v>
      </c>
      <c r="T103" s="4" t="str">
        <f t="shared" si="11"/>
        <v>－</v>
      </c>
      <c r="U103" s="4"/>
      <c r="V103" s="4"/>
      <c r="W103" s="4" t="str">
        <f t="shared" si="12"/>
        <v>－</v>
      </c>
      <c r="X103" s="4"/>
      <c r="Y103" s="4"/>
      <c r="Z103" s="3"/>
      <c r="AA103" s="2" t="str">
        <f t="shared" si="13"/>
        <v>－</v>
      </c>
      <c r="AB103" s="2" t="str">
        <f t="shared" si="9"/>
        <v>－</v>
      </c>
      <c r="AC103" s="1" t="str">
        <f t="shared" si="14"/>
        <v>－</v>
      </c>
    </row>
  </sheetData>
  <mergeCells count="32">
    <mergeCell ref="Z6:AA6"/>
    <mergeCell ref="V4:V5"/>
    <mergeCell ref="Y4:Y5"/>
    <mergeCell ref="G3:R3"/>
    <mergeCell ref="X4:X5"/>
    <mergeCell ref="S3:S5"/>
    <mergeCell ref="Z3:AA5"/>
    <mergeCell ref="W3:Y3"/>
    <mergeCell ref="A1:J1"/>
    <mergeCell ref="A2:C2"/>
    <mergeCell ref="A3:A5"/>
    <mergeCell ref="B3:B6"/>
    <mergeCell ref="C3:C6"/>
    <mergeCell ref="D3:D5"/>
    <mergeCell ref="E3:F5"/>
    <mergeCell ref="E6:F6"/>
    <mergeCell ref="AC3:AC5"/>
    <mergeCell ref="G4:G5"/>
    <mergeCell ref="H4:H5"/>
    <mergeCell ref="K4:L4"/>
    <mergeCell ref="M4:M5"/>
    <mergeCell ref="W4:W5"/>
    <mergeCell ref="I4:I5"/>
    <mergeCell ref="J4:J5"/>
    <mergeCell ref="N4:N5"/>
    <mergeCell ref="O4:P4"/>
    <mergeCell ref="Q4:Q5"/>
    <mergeCell ref="R4:R5"/>
    <mergeCell ref="T4:T5"/>
    <mergeCell ref="U4:U5"/>
    <mergeCell ref="AB3:AB5"/>
    <mergeCell ref="T3:V3"/>
  </mergeCells>
  <phoneticPr fontId="6"/>
  <printOptions horizontalCentered="1"/>
  <pageMargins left="0.39370078740157483" right="0.39370078740157483" top="0.59055118110236227" bottom="0.98425196850393704" header="0.51181102362204722" footer="0.51181102362204722"/>
  <pageSetup paperSize="9" scale="36" fitToHeight="0" orientation="landscape" useFirstPageNumber="1" r:id="rId1"/>
  <headerFooter>
    <oddFooter>&amp;C&amp;P/&amp;N&amp;RCopyright (c) Japan Exchange Group, Inc. All Rights Reserved.</oddFooter>
  </headerFooter>
  <drawing r:id="rId2"/>
</worksheet>
</file>

<file path=docMetadata/LabelInfo.xml><?xml version="1.0" encoding="utf-8"?>
<clbl:labelList xmlns:clbl="http://schemas.microsoft.com/office/2020/mipLabelMetadata">
  <clbl:label id="{194db3f9-2286-46b9-ba58-9c0f26e25b2c}" enabled="1" method="Standard" siteId="{fe7a9aa7-6097-47a2-9163-81d624f8cbfd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BO_DM0005</vt:lpstr>
      <vt:lpstr>BO_DM0005!Print_Titles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Suzuki, Norio (鈴木 典夫)</cp:lastModifiedBy>
  <cp:lastPrinted>2020-10-20T00:01:10Z</cp:lastPrinted>
  <dcterms:created xsi:type="dcterms:W3CDTF">2017-12-14T02:19:15Z</dcterms:created>
  <dcterms:modified xsi:type="dcterms:W3CDTF">2024-12-04T05:24:47Z</dcterms:modified>
</cp:coreProperties>
</file>