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-suzuki\Desktop\新しいフォルダー (2)\"/>
    </mc:Choice>
  </mc:AlternateContent>
  <xr:revisionPtr revIDLastSave="0" documentId="13_ncr:1_{BF6AEC09-AD17-481B-914E-B17CF8C69F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BO_DM0005" sheetId="9" r:id="rId1"/>
  </sheets>
  <definedNames>
    <definedName name="_xlnm.Print_Titles" localSheetId="0">BO_DM0005!$1:$6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C103" i="9" l="1"/>
  <c r="AB103" i="9"/>
  <c r="AA103" i="9"/>
  <c r="W103" i="9"/>
  <c r="T103" i="9"/>
  <c r="S103" i="9"/>
  <c r="AC102" i="9"/>
  <c r="AB102" i="9"/>
  <c r="AA102" i="9"/>
  <c r="W102" i="9"/>
  <c r="T102" i="9"/>
  <c r="S102" i="9"/>
  <c r="AC101" i="9"/>
  <c r="AB101" i="9"/>
  <c r="AA101" i="9"/>
  <c r="W101" i="9"/>
  <c r="T101" i="9"/>
  <c r="S101" i="9"/>
  <c r="AC100" i="9"/>
  <c r="AB100" i="9"/>
  <c r="AA100" i="9"/>
  <c r="W100" i="9"/>
  <c r="T100" i="9"/>
  <c r="S100" i="9"/>
  <c r="AC99" i="9"/>
  <c r="AB99" i="9"/>
  <c r="AA99" i="9"/>
  <c r="W99" i="9"/>
  <c r="T99" i="9"/>
  <c r="S99" i="9"/>
  <c r="AC98" i="9"/>
  <c r="AB98" i="9"/>
  <c r="AA98" i="9"/>
  <c r="W98" i="9"/>
  <c r="T98" i="9"/>
  <c r="S98" i="9"/>
  <c r="AC97" i="9"/>
  <c r="AB97" i="9"/>
  <c r="AA97" i="9"/>
  <c r="W97" i="9"/>
  <c r="T97" i="9"/>
  <c r="S97" i="9"/>
  <c r="AC96" i="9"/>
  <c r="AB96" i="9"/>
  <c r="AA96" i="9"/>
  <c r="W96" i="9"/>
  <c r="T96" i="9"/>
  <c r="S96" i="9"/>
  <c r="AC95" i="9"/>
  <c r="AB95" i="9"/>
  <c r="AA95" i="9"/>
  <c r="W95" i="9"/>
  <c r="T95" i="9"/>
  <c r="S95" i="9"/>
  <c r="AC94" i="9"/>
  <c r="AB94" i="9"/>
  <c r="AA94" i="9"/>
  <c r="W94" i="9"/>
  <c r="T94" i="9"/>
  <c r="S94" i="9"/>
  <c r="AC93" i="9"/>
  <c r="AB93" i="9"/>
  <c r="AA93" i="9"/>
  <c r="W93" i="9"/>
  <c r="T93" i="9"/>
  <c r="S93" i="9"/>
  <c r="AC92" i="9"/>
  <c r="AB92" i="9"/>
  <c r="AA92" i="9"/>
  <c r="W92" i="9"/>
  <c r="T92" i="9"/>
  <c r="S92" i="9"/>
  <c r="AC91" i="9"/>
  <c r="AB91" i="9"/>
  <c r="AA91" i="9"/>
  <c r="W91" i="9"/>
  <c r="T91" i="9"/>
  <c r="S91" i="9"/>
  <c r="AC90" i="9"/>
  <c r="AB90" i="9"/>
  <c r="AA90" i="9"/>
  <c r="W90" i="9"/>
  <c r="T90" i="9"/>
  <c r="S90" i="9"/>
  <c r="AC89" i="9"/>
  <c r="AB89" i="9"/>
  <c r="AA89" i="9"/>
  <c r="W89" i="9"/>
  <c r="T89" i="9"/>
  <c r="S89" i="9"/>
  <c r="AC88" i="9"/>
  <c r="AB88" i="9"/>
  <c r="AA88" i="9"/>
  <c r="W88" i="9"/>
  <c r="T88" i="9"/>
  <c r="S88" i="9"/>
  <c r="AC87" i="9"/>
  <c r="AB87" i="9"/>
  <c r="AA87" i="9"/>
  <c r="W87" i="9"/>
  <c r="T87" i="9"/>
  <c r="S87" i="9"/>
  <c r="AC86" i="9"/>
  <c r="AB86" i="9"/>
  <c r="AA86" i="9"/>
  <c r="W86" i="9"/>
  <c r="T86" i="9"/>
  <c r="S86" i="9"/>
  <c r="AC85" i="9"/>
  <c r="AB85" i="9"/>
  <c r="AA85" i="9"/>
  <c r="W85" i="9"/>
  <c r="T85" i="9"/>
  <c r="S85" i="9"/>
  <c r="AC84" i="9"/>
  <c r="AB84" i="9"/>
  <c r="AA84" i="9"/>
  <c r="W84" i="9"/>
  <c r="T84" i="9"/>
  <c r="S84" i="9"/>
  <c r="AC83" i="9"/>
  <c r="AB83" i="9"/>
  <c r="AA83" i="9"/>
  <c r="W83" i="9"/>
  <c r="T83" i="9"/>
  <c r="S83" i="9"/>
  <c r="AC82" i="9"/>
  <c r="AB82" i="9"/>
  <c r="AA82" i="9"/>
  <c r="W82" i="9"/>
  <c r="T82" i="9"/>
  <c r="S82" i="9"/>
  <c r="AC81" i="9"/>
  <c r="AB81" i="9"/>
  <c r="AA81" i="9"/>
  <c r="W81" i="9"/>
  <c r="T81" i="9"/>
  <c r="S81" i="9"/>
  <c r="AC80" i="9"/>
  <c r="AB80" i="9"/>
  <c r="AA80" i="9"/>
  <c r="W80" i="9"/>
  <c r="T80" i="9"/>
  <c r="S80" i="9"/>
  <c r="AC79" i="9"/>
  <c r="AB79" i="9"/>
  <c r="AA79" i="9"/>
  <c r="W79" i="9"/>
  <c r="T79" i="9"/>
  <c r="S79" i="9"/>
  <c r="AC78" i="9"/>
  <c r="AB78" i="9"/>
  <c r="AA78" i="9"/>
  <c r="W78" i="9"/>
  <c r="T78" i="9"/>
  <c r="S78" i="9"/>
  <c r="AC77" i="9"/>
  <c r="AB77" i="9"/>
  <c r="AA77" i="9"/>
  <c r="W77" i="9"/>
  <c r="T77" i="9"/>
  <c r="S77" i="9"/>
  <c r="AC76" i="9"/>
  <c r="AB76" i="9"/>
  <c r="AA76" i="9"/>
  <c r="W76" i="9"/>
  <c r="T76" i="9"/>
  <c r="S76" i="9"/>
  <c r="AC75" i="9"/>
  <c r="AB75" i="9"/>
  <c r="AA75" i="9"/>
  <c r="W75" i="9"/>
  <c r="T75" i="9"/>
  <c r="S75" i="9"/>
  <c r="AC74" i="9"/>
  <c r="AB74" i="9"/>
  <c r="AA74" i="9"/>
  <c r="W74" i="9"/>
  <c r="T74" i="9"/>
  <c r="S74" i="9"/>
  <c r="AC73" i="9"/>
  <c r="AB73" i="9"/>
  <c r="AA73" i="9"/>
  <c r="W73" i="9"/>
  <c r="T73" i="9"/>
  <c r="S73" i="9"/>
  <c r="AC72" i="9"/>
  <c r="AB72" i="9"/>
  <c r="AA72" i="9"/>
  <c r="W72" i="9"/>
  <c r="T72" i="9"/>
  <c r="S72" i="9"/>
  <c r="AC71" i="9"/>
  <c r="AB71" i="9"/>
  <c r="AA71" i="9"/>
  <c r="W71" i="9"/>
  <c r="T71" i="9"/>
  <c r="S71" i="9"/>
  <c r="AC70" i="9"/>
  <c r="AB70" i="9"/>
  <c r="AA70" i="9"/>
  <c r="W70" i="9"/>
  <c r="T70" i="9"/>
  <c r="S70" i="9"/>
  <c r="AC69" i="9"/>
  <c r="AB69" i="9"/>
  <c r="AA69" i="9"/>
  <c r="W69" i="9"/>
  <c r="T69" i="9"/>
  <c r="S69" i="9"/>
  <c r="AC68" i="9"/>
  <c r="AB68" i="9"/>
  <c r="AA68" i="9"/>
  <c r="W68" i="9"/>
  <c r="T68" i="9"/>
  <c r="S68" i="9"/>
  <c r="AC67" i="9"/>
  <c r="AB67" i="9"/>
  <c r="AA67" i="9"/>
  <c r="W67" i="9"/>
  <c r="T67" i="9"/>
  <c r="S67" i="9"/>
  <c r="AC66" i="9"/>
  <c r="AB66" i="9"/>
  <c r="AA66" i="9"/>
  <c r="W66" i="9"/>
  <c r="T66" i="9"/>
  <c r="S66" i="9"/>
  <c r="AC65" i="9"/>
  <c r="AB65" i="9"/>
  <c r="AA65" i="9"/>
  <c r="W65" i="9"/>
  <c r="T65" i="9"/>
  <c r="S65" i="9"/>
  <c r="AC64" i="9"/>
  <c r="AB64" i="9"/>
  <c r="AA64" i="9"/>
  <c r="W64" i="9"/>
  <c r="T64" i="9"/>
  <c r="S64" i="9"/>
  <c r="AC63" i="9"/>
  <c r="AB63" i="9"/>
  <c r="AA63" i="9"/>
  <c r="W63" i="9"/>
  <c r="T63" i="9"/>
  <c r="S63" i="9"/>
  <c r="AC62" i="9"/>
  <c r="AB62" i="9"/>
  <c r="AA62" i="9"/>
  <c r="W62" i="9"/>
  <c r="T62" i="9"/>
  <c r="S62" i="9"/>
  <c r="AC61" i="9"/>
  <c r="AB61" i="9"/>
  <c r="AA61" i="9"/>
  <c r="W61" i="9"/>
  <c r="T61" i="9"/>
  <c r="S61" i="9"/>
  <c r="AC60" i="9"/>
  <c r="AB60" i="9"/>
  <c r="AA60" i="9"/>
  <c r="W60" i="9"/>
  <c r="T60" i="9"/>
  <c r="S60" i="9"/>
  <c r="AC59" i="9"/>
  <c r="AB59" i="9"/>
  <c r="AA59" i="9"/>
  <c r="W59" i="9"/>
  <c r="T59" i="9"/>
  <c r="S59" i="9"/>
  <c r="AC58" i="9"/>
  <c r="AB58" i="9"/>
  <c r="AA58" i="9"/>
  <c r="W58" i="9"/>
  <c r="T58" i="9"/>
  <c r="S58" i="9"/>
  <c r="AC57" i="9"/>
  <c r="AB57" i="9"/>
  <c r="AA57" i="9"/>
  <c r="W57" i="9"/>
  <c r="T57" i="9"/>
  <c r="S57" i="9"/>
  <c r="AC56" i="9"/>
  <c r="AB56" i="9"/>
  <c r="AA56" i="9"/>
  <c r="W56" i="9"/>
  <c r="T56" i="9"/>
  <c r="S56" i="9"/>
  <c r="AC55" i="9"/>
  <c r="AB55" i="9"/>
  <c r="AA55" i="9"/>
  <c r="W55" i="9"/>
  <c r="T55" i="9"/>
  <c r="S55" i="9"/>
  <c r="AC54" i="9"/>
  <c r="AB54" i="9"/>
  <c r="AA54" i="9"/>
  <c r="W54" i="9"/>
  <c r="T54" i="9"/>
  <c r="S54" i="9"/>
  <c r="AC53" i="9"/>
  <c r="AB53" i="9"/>
  <c r="AA53" i="9"/>
  <c r="W53" i="9"/>
  <c r="T53" i="9"/>
  <c r="S53" i="9"/>
  <c r="AC52" i="9"/>
  <c r="AB52" i="9"/>
  <c r="AA52" i="9"/>
  <c r="W52" i="9"/>
  <c r="T52" i="9"/>
  <c r="S52" i="9"/>
  <c r="AC51" i="9"/>
  <c r="AB51" i="9"/>
  <c r="AA51" i="9"/>
  <c r="W51" i="9"/>
  <c r="T51" i="9"/>
  <c r="S51" i="9"/>
  <c r="AC50" i="9"/>
  <c r="AB50" i="9"/>
  <c r="AA50" i="9"/>
  <c r="W50" i="9"/>
  <c r="T50" i="9"/>
  <c r="S50" i="9"/>
  <c r="AC49" i="9"/>
  <c r="AB49" i="9"/>
  <c r="AA49" i="9"/>
  <c r="W49" i="9"/>
  <c r="T49" i="9"/>
  <c r="S49" i="9"/>
  <c r="AC48" i="9"/>
  <c r="AB48" i="9"/>
  <c r="AA48" i="9"/>
  <c r="W48" i="9"/>
  <c r="T48" i="9"/>
  <c r="S48" i="9"/>
  <c r="AC47" i="9"/>
  <c r="AB47" i="9"/>
  <c r="AA47" i="9"/>
  <c r="W47" i="9"/>
  <c r="T47" i="9"/>
  <c r="S47" i="9"/>
  <c r="AC46" i="9"/>
  <c r="AB46" i="9"/>
  <c r="AA46" i="9"/>
  <c r="W46" i="9"/>
  <c r="T46" i="9"/>
  <c r="S46" i="9"/>
  <c r="AC45" i="9"/>
  <c r="AB45" i="9"/>
  <c r="AA45" i="9"/>
  <c r="W45" i="9"/>
  <c r="T45" i="9"/>
  <c r="S45" i="9"/>
  <c r="AC44" i="9"/>
  <c r="AB44" i="9"/>
  <c r="AA44" i="9"/>
  <c r="W44" i="9"/>
  <c r="T44" i="9"/>
  <c r="S44" i="9"/>
  <c r="AC43" i="9"/>
  <c r="AB43" i="9"/>
  <c r="AA43" i="9"/>
  <c r="W43" i="9"/>
  <c r="T43" i="9"/>
  <c r="S43" i="9"/>
  <c r="AC42" i="9"/>
  <c r="AB42" i="9"/>
  <c r="AA42" i="9"/>
  <c r="W42" i="9"/>
  <c r="T42" i="9"/>
  <c r="S42" i="9"/>
  <c r="AC41" i="9"/>
  <c r="AB41" i="9"/>
  <c r="AA41" i="9"/>
  <c r="W41" i="9"/>
  <c r="T41" i="9"/>
  <c r="S41" i="9"/>
  <c r="AC40" i="9"/>
  <c r="AB40" i="9"/>
  <c r="AA40" i="9"/>
  <c r="W40" i="9"/>
  <c r="T40" i="9"/>
  <c r="S40" i="9"/>
  <c r="AC39" i="9"/>
  <c r="AB39" i="9"/>
  <c r="AA39" i="9"/>
  <c r="W39" i="9"/>
  <c r="T39" i="9"/>
  <c r="S39" i="9"/>
  <c r="AC38" i="9"/>
  <c r="AB38" i="9"/>
  <c r="AA38" i="9"/>
  <c r="W38" i="9"/>
  <c r="T38" i="9"/>
  <c r="S38" i="9"/>
  <c r="AC37" i="9"/>
  <c r="AB37" i="9"/>
  <c r="AA37" i="9"/>
  <c r="W37" i="9"/>
  <c r="T37" i="9"/>
  <c r="S37" i="9"/>
  <c r="AC36" i="9"/>
  <c r="AB36" i="9"/>
  <c r="AA36" i="9"/>
  <c r="W36" i="9"/>
  <c r="T36" i="9"/>
  <c r="S36" i="9"/>
  <c r="AC35" i="9"/>
  <c r="AB35" i="9"/>
  <c r="AA35" i="9"/>
  <c r="W35" i="9"/>
  <c r="T35" i="9"/>
  <c r="S35" i="9"/>
  <c r="AC34" i="9"/>
  <c r="AB34" i="9"/>
  <c r="AA34" i="9"/>
  <c r="W34" i="9"/>
  <c r="T34" i="9"/>
  <c r="S34" i="9"/>
  <c r="AC33" i="9"/>
  <c r="AB33" i="9"/>
  <c r="AA33" i="9"/>
  <c r="W33" i="9"/>
  <c r="T33" i="9"/>
  <c r="S33" i="9"/>
  <c r="AC32" i="9"/>
  <c r="AB32" i="9"/>
  <c r="AA32" i="9"/>
  <c r="W32" i="9"/>
  <c r="T32" i="9"/>
  <c r="S32" i="9"/>
  <c r="AC31" i="9"/>
  <c r="AB31" i="9"/>
  <c r="AA31" i="9"/>
  <c r="W31" i="9"/>
  <c r="T31" i="9"/>
  <c r="S31" i="9"/>
  <c r="AC30" i="9"/>
  <c r="AB30" i="9"/>
  <c r="AA30" i="9"/>
  <c r="W30" i="9"/>
  <c r="T30" i="9"/>
  <c r="S30" i="9"/>
  <c r="AC29" i="9"/>
  <c r="AB29" i="9"/>
  <c r="AA29" i="9"/>
  <c r="W29" i="9"/>
  <c r="T29" i="9"/>
  <c r="S29" i="9"/>
  <c r="AC28" i="9"/>
  <c r="AB28" i="9"/>
  <c r="AA28" i="9"/>
  <c r="W28" i="9"/>
  <c r="T28" i="9"/>
  <c r="S28" i="9"/>
  <c r="AC27" i="9"/>
  <c r="AB27" i="9"/>
  <c r="AA27" i="9"/>
  <c r="W27" i="9"/>
  <c r="T27" i="9"/>
  <c r="S27" i="9"/>
  <c r="AC26" i="9"/>
  <c r="AB26" i="9"/>
  <c r="AA26" i="9"/>
  <c r="W26" i="9"/>
  <c r="T26" i="9"/>
  <c r="S26" i="9"/>
  <c r="AC25" i="9"/>
  <c r="AB25" i="9"/>
  <c r="AA25" i="9"/>
  <c r="W25" i="9"/>
  <c r="T25" i="9"/>
  <c r="S25" i="9"/>
  <c r="AC24" i="9"/>
  <c r="AB24" i="9"/>
  <c r="AA24" i="9"/>
  <c r="W24" i="9"/>
  <c r="T24" i="9"/>
  <c r="S24" i="9"/>
  <c r="AC23" i="9"/>
  <c r="AB23" i="9"/>
  <c r="AA23" i="9"/>
  <c r="W23" i="9"/>
  <c r="T23" i="9"/>
  <c r="S23" i="9"/>
  <c r="AC22" i="9"/>
  <c r="AB22" i="9"/>
  <c r="AA22" i="9"/>
  <c r="W22" i="9"/>
  <c r="T22" i="9"/>
  <c r="S22" i="9"/>
  <c r="AC21" i="9"/>
  <c r="AB21" i="9"/>
  <c r="AA21" i="9"/>
  <c r="W21" i="9"/>
  <c r="T21" i="9"/>
  <c r="S21" i="9"/>
  <c r="AC20" i="9"/>
  <c r="AB20" i="9"/>
  <c r="AA20" i="9"/>
  <c r="W20" i="9"/>
  <c r="T20" i="9"/>
  <c r="S20" i="9"/>
  <c r="AC19" i="9"/>
  <c r="AB19" i="9"/>
  <c r="AA19" i="9"/>
  <c r="W19" i="9"/>
  <c r="T19" i="9"/>
  <c r="S19" i="9"/>
  <c r="AC18" i="9"/>
  <c r="AB18" i="9"/>
  <c r="AA18" i="9"/>
  <c r="W18" i="9"/>
  <c r="T18" i="9"/>
  <c r="S18" i="9"/>
  <c r="AC17" i="9"/>
  <c r="AB17" i="9"/>
  <c r="AA17" i="9"/>
  <c r="W17" i="9"/>
  <c r="T17" i="9"/>
  <c r="S17" i="9"/>
  <c r="AC16" i="9"/>
  <c r="AB16" i="9"/>
  <c r="AA16" i="9"/>
  <c r="W16" i="9"/>
  <c r="T16" i="9"/>
  <c r="S16" i="9"/>
  <c r="AC15" i="9"/>
  <c r="AB15" i="9"/>
  <c r="AA15" i="9"/>
  <c r="W15" i="9"/>
  <c r="T15" i="9"/>
  <c r="S15" i="9"/>
  <c r="AC14" i="9"/>
  <c r="AB14" i="9"/>
  <c r="AA14" i="9"/>
  <c r="W14" i="9"/>
  <c r="T14" i="9"/>
  <c r="S14" i="9"/>
  <c r="AC13" i="9"/>
  <c r="AB13" i="9"/>
  <c r="AA13" i="9"/>
  <c r="W13" i="9"/>
  <c r="T13" i="9"/>
  <c r="S13" i="9"/>
  <c r="AC12" i="9"/>
  <c r="AB12" i="9"/>
  <c r="AA12" i="9"/>
  <c r="W12" i="9"/>
  <c r="T12" i="9"/>
  <c r="S12" i="9"/>
  <c r="AC11" i="9"/>
  <c r="AB11" i="9"/>
  <c r="AA11" i="9"/>
  <c r="W11" i="9"/>
  <c r="T11" i="9"/>
  <c r="S11" i="9"/>
  <c r="AC10" i="9"/>
  <c r="AB10" i="9"/>
  <c r="AA10" i="9"/>
  <c r="W10" i="9"/>
  <c r="T10" i="9"/>
  <c r="S10" i="9"/>
  <c r="AC9" i="9"/>
  <c r="AB9" i="9"/>
  <c r="AA9" i="9"/>
  <c r="W9" i="9"/>
  <c r="T9" i="9"/>
  <c r="S9" i="9"/>
  <c r="AC8" i="9"/>
  <c r="AB8" i="9"/>
  <c r="AA8" i="9"/>
  <c r="W8" i="9"/>
  <c r="T8" i="9"/>
  <c r="S8" i="9"/>
  <c r="AC7" i="9"/>
  <c r="AB7" i="9"/>
  <c r="AA7" i="9"/>
  <c r="W7" i="9"/>
  <c r="T7" i="9"/>
  <c r="S7" i="9"/>
</calcChain>
</file>

<file path=xl/sharedStrings.xml><?xml version="1.0" encoding="utf-8"?>
<sst xmlns="http://schemas.openxmlformats.org/spreadsheetml/2006/main" count="1329" uniqueCount="420">
  <si>
    <t>年月</t>
  </si>
  <si>
    <t>限月取引</t>
  </si>
  <si>
    <t xml:space="preserve"> </t>
  </si>
  <si>
    <t>　</t>
  </si>
  <si>
    <t>Contract Month</t>
  </si>
  <si>
    <t>取引期間</t>
    <rPh sb="0" eb="2">
      <t>トリヒキ</t>
    </rPh>
    <rPh sb="2" eb="4">
      <t>キカン</t>
    </rPh>
    <phoneticPr fontId="6"/>
  </si>
  <si>
    <t>日</t>
    <rPh sb="0" eb="1">
      <t>ヒ</t>
    </rPh>
    <phoneticPr fontId="6"/>
  </si>
  <si>
    <t>商品等</t>
    <rPh sb="0" eb="2">
      <t>ショウヒン</t>
    </rPh>
    <rPh sb="2" eb="3">
      <t>トウ</t>
    </rPh>
    <phoneticPr fontId="6"/>
  </si>
  <si>
    <t>Days 
Traded</t>
    <phoneticPr fontId="6"/>
  </si>
  <si>
    <t>Open 
Interest(unit)</t>
    <phoneticPr fontId="6"/>
  </si>
  <si>
    <t>J-NET(￥)</t>
    <phoneticPr fontId="6"/>
  </si>
  <si>
    <t>Trading 
Value(￥)</t>
    <phoneticPr fontId="6"/>
  </si>
  <si>
    <t>J-NET(unit)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</si>
  <si>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</si>
  <si>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</si>
  <si>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</si>
  <si>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</si>
  <si>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日</t>
    <phoneticPr fontId="6"/>
  </si>
  <si>
    <t>うちJ-NET
取引（円）</t>
    <phoneticPr fontId="6"/>
  </si>
  <si>
    <t>うちJ-NET
取引（単位）</t>
    <phoneticPr fontId="6"/>
  </si>
  <si>
    <t>値付
日数</t>
    <phoneticPr fontId="6"/>
  </si>
  <si>
    <t>建玉現在高
（単位）</t>
    <phoneticPr fontId="6"/>
  </si>
  <si>
    <t>取引金額（円）</t>
    <phoneticPr fontId="6"/>
  </si>
  <si>
    <t>取引高（単位）</t>
    <phoneticPr fontId="6"/>
  </si>
  <si>
    <t>値  段  Price</t>
    <phoneticPr fontId="6"/>
  </si>
  <si>
    <t>Products</t>
    <phoneticPr fontId="6"/>
  </si>
  <si>
    <t>商品先物相場表</t>
    <rPh sb="0" eb="2">
      <t>ショウヒン</t>
    </rPh>
    <rPh sb="2" eb="4">
      <t>サキモノ</t>
    </rPh>
    <phoneticPr fontId="6"/>
  </si>
  <si>
    <t>Commodity Futures Quotations</t>
    <phoneticPr fontId="6"/>
  </si>
  <si>
    <t>早受渡・申告受渡高
（単位）</t>
    <rPh sb="0" eb="1">
      <t>ハヤ</t>
    </rPh>
    <rPh sb="1" eb="3">
      <t>ウケワタシ</t>
    </rPh>
    <rPh sb="4" eb="6">
      <t>シンコク</t>
    </rPh>
    <rPh sb="6" eb="8">
      <t>ウケワタシ</t>
    </rPh>
    <rPh sb="8" eb="9">
      <t>ダカ</t>
    </rPh>
    <rPh sb="11" eb="13">
      <t>タンイ</t>
    </rPh>
    <phoneticPr fontId="6"/>
  </si>
  <si>
    <t>Early Delivery, Declared Delivery Volume(unit)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</si>
  <si>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</si>
  <si>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</si>
  <si>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</si>
  <si>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</si>
  <si>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始　値
（円/ポイント）</t>
    <phoneticPr fontId="6"/>
  </si>
  <si>
    <t>高　値
（円/ポイント）</t>
    <phoneticPr fontId="6"/>
  </si>
  <si>
    <t>うちJ-NET取引
（円/ポイント）</t>
    <phoneticPr fontId="6"/>
  </si>
  <si>
    <t>安　値
（円/ポイント）</t>
    <phoneticPr fontId="6"/>
  </si>
  <si>
    <t>終　値
（円/ポイント）</t>
    <phoneticPr fontId="6"/>
  </si>
  <si>
    <t>平均清算数値
（円/ポイント）</t>
    <phoneticPr fontId="6"/>
  </si>
  <si>
    <t>Open(￥/point)</t>
    <phoneticPr fontId="6"/>
  </si>
  <si>
    <t>High(￥/point)</t>
    <phoneticPr fontId="6"/>
  </si>
  <si>
    <t>J-NET(￥/point)</t>
    <phoneticPr fontId="6"/>
  </si>
  <si>
    <t>Low(￥/point)</t>
    <phoneticPr fontId="6"/>
  </si>
  <si>
    <t>Close(￥/point)</t>
    <phoneticPr fontId="6"/>
  </si>
  <si>
    <t>Average
Settlement
Price(￥/point)</t>
    <phoneticPr fontId="6"/>
  </si>
  <si>
    <t>2024/04</t>
  </si>
  <si>
    <t>金標準先物</t>
  </si>
  <si>
    <t>Gold Standard Futures</t>
  </si>
  <si>
    <t>2023/04/26</t>
  </si>
  <si>
    <t>2024/04/24</t>
  </si>
  <si>
    <t>01</t>
  </si>
  <si>
    <t>10,938</t>
  </si>
  <si>
    <t>22</t>
  </si>
  <si>
    <t>11,913</t>
  </si>
  <si>
    <t>02</t>
  </si>
  <si>
    <t>10,880</t>
  </si>
  <si>
    <t>24</t>
  </si>
  <si>
    <t>11,528</t>
  </si>
  <si>
    <t>*</t>
  </si>
  <si>
    <t>2024/06</t>
  </si>
  <si>
    <t>2023/06/28</t>
  </si>
  <si>
    <t>2024/06/25</t>
  </si>
  <si>
    <t>10,929</t>
  </si>
  <si>
    <t>19</t>
  </si>
  <si>
    <t>11,977</t>
  </si>
  <si>
    <t>10,890</t>
  </si>
  <si>
    <t>30</t>
  </si>
  <si>
    <t>11,707</t>
  </si>
  <si>
    <t>2024/08</t>
  </si>
  <si>
    <t>2023/08/29</t>
  </si>
  <si>
    <t>2024/08/27</t>
  </si>
  <si>
    <t>10,935</t>
  </si>
  <si>
    <t>11,979</t>
  </si>
  <si>
    <t>18</t>
  </si>
  <si>
    <t>11,758.0000</t>
  </si>
  <si>
    <t>10,891</t>
  </si>
  <si>
    <t>12</t>
  </si>
  <si>
    <t>11,750.0000</t>
  </si>
  <si>
    <t>11,706</t>
  </si>
  <si>
    <t>2024/10</t>
  </si>
  <si>
    <t>2023/10/27</t>
  </si>
  <si>
    <t>2024/10/28</t>
  </si>
  <si>
    <t>10,883</t>
  </si>
  <si>
    <t>11,701</t>
  </si>
  <si>
    <t>2024/12</t>
  </si>
  <si>
    <t>2023/12/26</t>
  </si>
  <si>
    <t>2024/12/24</t>
  </si>
  <si>
    <t>11,983</t>
  </si>
  <si>
    <t>16</t>
  </si>
  <si>
    <t>11,840.0000</t>
  </si>
  <si>
    <t>10,877</t>
  </si>
  <si>
    <t>10,989.0000</t>
  </si>
  <si>
    <t>11,702</t>
  </si>
  <si>
    <t>2025/02</t>
  </si>
  <si>
    <t>2024/02/27</t>
  </si>
  <si>
    <t>2025/02/25</t>
  </si>
  <si>
    <t>10,931</t>
  </si>
  <si>
    <t>15,000.0000</t>
  </si>
  <si>
    <t>10,878</t>
  </si>
  <si>
    <t>9,000.0000</t>
  </si>
  <si>
    <t>11,709</t>
  </si>
  <si>
    <t>2025/04</t>
  </si>
  <si>
    <t>2024/04/25</t>
  </si>
  <si>
    <t>2025/04/24</t>
  </si>
  <si>
    <t>25</t>
  </si>
  <si>
    <t>11,569</t>
  </si>
  <si>
    <t>11,951</t>
  </si>
  <si>
    <t>26</t>
  </si>
  <si>
    <t>11,620.0000</t>
  </si>
  <si>
    <t>11,529</t>
  </si>
  <si>
    <t>金ミニ先物</t>
  </si>
  <si>
    <t>Gold Mini Futures</t>
  </si>
  <si>
    <t>2024/04/23</t>
  </si>
  <si>
    <t>10,910.0</t>
  </si>
  <si>
    <t>11,920.5</t>
  </si>
  <si>
    <t>11,766.5</t>
  </si>
  <si>
    <t>2024/06/24</t>
  </si>
  <si>
    <t>10,951.5</t>
  </si>
  <si>
    <t>11,939.5</t>
  </si>
  <si>
    <t>10,933.5</t>
  </si>
  <si>
    <t>11,774.0</t>
  </si>
  <si>
    <t>2024/08/26</t>
  </si>
  <si>
    <t>10,915.5</t>
  </si>
  <si>
    <t>11,956.5</t>
  </si>
  <si>
    <t>10,890.5</t>
  </si>
  <si>
    <t>11,702.0</t>
  </si>
  <si>
    <t>2024/10/25</t>
  </si>
  <si>
    <t>10,919.5</t>
  </si>
  <si>
    <t>11,953.0</t>
  </si>
  <si>
    <t>10,897.5</t>
  </si>
  <si>
    <t>11,704.5</t>
  </si>
  <si>
    <t>2024/12/23</t>
  </si>
  <si>
    <t>10,952.5</t>
  </si>
  <si>
    <t>11,977.5</t>
  </si>
  <si>
    <t>10,896.5</t>
  </si>
  <si>
    <t>11,705.5</t>
  </si>
  <si>
    <t>2025/02/21</t>
  </si>
  <si>
    <t>10,935.0</t>
  </si>
  <si>
    <t>11,981.0</t>
  </si>
  <si>
    <t>17</t>
  </si>
  <si>
    <t>11,861.5000</t>
  </si>
  <si>
    <t>10,877.0</t>
  </si>
  <si>
    <t>03</t>
  </si>
  <si>
    <t>11,130.0000</t>
  </si>
  <si>
    <t>11,690.0</t>
  </si>
  <si>
    <t>2025/04/23</t>
  </si>
  <si>
    <t>11,569.5</t>
  </si>
  <si>
    <t>11,949.5</t>
  </si>
  <si>
    <t>11,530.0</t>
  </si>
  <si>
    <t>11,701.0</t>
  </si>
  <si>
    <t>金限日先物</t>
  </si>
  <si>
    <t>Gold Rolling-Spot Futures</t>
  </si>
  <si>
    <t>－</t>
  </si>
  <si>
    <t>10,971</t>
  </si>
  <si>
    <t>12,010</t>
  </si>
  <si>
    <t>15</t>
  </si>
  <si>
    <t>11,717.0000</t>
  </si>
  <si>
    <t>10,903</t>
  </si>
  <si>
    <t>08</t>
  </si>
  <si>
    <t>11,296.0000</t>
  </si>
  <si>
    <t>11,740</t>
  </si>
  <si>
    <t>銀先物</t>
  </si>
  <si>
    <t>Silver Futures</t>
  </si>
  <si>
    <t>119.0</t>
  </si>
  <si>
    <t>140.0</t>
  </si>
  <si>
    <t>121.1</t>
  </si>
  <si>
    <t>139.8</t>
  </si>
  <si>
    <t>122.0</t>
  </si>
  <si>
    <t>141.0</t>
  </si>
  <si>
    <t>120.3</t>
  </si>
  <si>
    <t>123.0</t>
  </si>
  <si>
    <t>23</t>
  </si>
  <si>
    <t>144.9</t>
  </si>
  <si>
    <t>120.2</t>
  </si>
  <si>
    <t>137.9</t>
  </si>
  <si>
    <t>138.7</t>
  </si>
  <si>
    <t>139.7</t>
  </si>
  <si>
    <t>136.4</t>
  </si>
  <si>
    <t>白金標準先物</t>
  </si>
  <si>
    <t>Platinum Standard Futures</t>
  </si>
  <si>
    <t>4,413</t>
  </si>
  <si>
    <t>4,920</t>
  </si>
  <si>
    <t>4,388</t>
  </si>
  <si>
    <t>4,490</t>
  </si>
  <si>
    <t>4,433</t>
  </si>
  <si>
    <t>4,930</t>
  </si>
  <si>
    <t>4,405</t>
  </si>
  <si>
    <t>4,764</t>
  </si>
  <si>
    <t>4,418</t>
  </si>
  <si>
    <t>4,935</t>
  </si>
  <si>
    <t>4,383</t>
  </si>
  <si>
    <t>4,756</t>
  </si>
  <si>
    <t>4,412</t>
  </si>
  <si>
    <t>4,937</t>
  </si>
  <si>
    <t>4,830.0000</t>
  </si>
  <si>
    <t>4,374</t>
  </si>
  <si>
    <t>4,747</t>
  </si>
  <si>
    <t>4,408</t>
  </si>
  <si>
    <t>4,945</t>
  </si>
  <si>
    <t>4,372</t>
  </si>
  <si>
    <t>4,752</t>
  </si>
  <si>
    <t>4,416</t>
  </si>
  <si>
    <t>4,957</t>
  </si>
  <si>
    <t>4,900.0000</t>
  </si>
  <si>
    <t>4,598.0000</t>
  </si>
  <si>
    <t>4,760</t>
  </si>
  <si>
    <t>4,537</t>
  </si>
  <si>
    <t>4,795</t>
  </si>
  <si>
    <t>4,500</t>
  </si>
  <si>
    <t>4,767</t>
  </si>
  <si>
    <t>白金ミニ先物</t>
  </si>
  <si>
    <t>Platinum Mini Futures</t>
  </si>
  <si>
    <t>4,401.5</t>
  </si>
  <si>
    <t>4,915.0</t>
  </si>
  <si>
    <t>4,400.0</t>
  </si>
  <si>
    <t>4,620.0</t>
  </si>
  <si>
    <t>4,430.0</t>
  </si>
  <si>
    <t>4,906.5</t>
  </si>
  <si>
    <t>4,427.5</t>
  </si>
  <si>
    <t>4,778.0</t>
  </si>
  <si>
    <t>4,422.5</t>
  </si>
  <si>
    <t>4,924.0</t>
  </si>
  <si>
    <t>4,766.5</t>
  </si>
  <si>
    <t>4,421.0</t>
  </si>
  <si>
    <t>4,919.0</t>
  </si>
  <si>
    <t>4,385.0</t>
  </si>
  <si>
    <t>4,729.5</t>
  </si>
  <si>
    <t>4,423.5</t>
  </si>
  <si>
    <t>4,946.0</t>
  </si>
  <si>
    <t>4,395.5</t>
  </si>
  <si>
    <t>4,772.5</t>
  </si>
  <si>
    <t>4,412.0</t>
  </si>
  <si>
    <t>4,959.5</t>
  </si>
  <si>
    <t>4,834.5000</t>
  </si>
  <si>
    <t>4,375.0</t>
  </si>
  <si>
    <t>4,731.5</t>
  </si>
  <si>
    <t>4,549.5</t>
  </si>
  <si>
    <t>4,786.0</t>
  </si>
  <si>
    <t>4,499.5</t>
  </si>
  <si>
    <t>4,753.0</t>
  </si>
  <si>
    <t>白金限日先物</t>
  </si>
  <si>
    <t>Platinum Rolling-Spot Futures</t>
  </si>
  <si>
    <t>4,436</t>
  </si>
  <si>
    <t>4,968</t>
  </si>
  <si>
    <t>4,852.0000</t>
  </si>
  <si>
    <t>4,371</t>
  </si>
  <si>
    <t>4,777</t>
  </si>
  <si>
    <t>パラジウム先物</t>
  </si>
  <si>
    <t>Palladium Futures</t>
  </si>
  <si>
    <t>CME原油等指数先物</t>
  </si>
  <si>
    <t>CME Petroleum Index Futures</t>
  </si>
  <si>
    <t>2023/10/03</t>
  </si>
  <si>
    <t>2024/04/01</t>
  </si>
  <si>
    <t>2024/05</t>
  </si>
  <si>
    <t>2023/11/02</t>
  </si>
  <si>
    <t>2024/05/01</t>
  </si>
  <si>
    <t>2023/12/04</t>
  </si>
  <si>
    <t>2024/06/03</t>
  </si>
  <si>
    <t>2024/07</t>
  </si>
  <si>
    <t>2024/01/05</t>
  </si>
  <si>
    <t>2024/07/01</t>
  </si>
  <si>
    <t>2024/02/02</t>
  </si>
  <si>
    <t>2024/08/01</t>
  </si>
  <si>
    <t>2024/09</t>
  </si>
  <si>
    <t>2024/03/04</t>
  </si>
  <si>
    <t>2024/09/03</t>
  </si>
  <si>
    <t>2024/04/02</t>
  </si>
  <si>
    <t>2024/10/01</t>
  </si>
  <si>
    <t>ゴム（RSS3）先物</t>
  </si>
  <si>
    <t>RSS3 Rubber Futures</t>
  </si>
  <si>
    <t>2023/04/25</t>
  </si>
  <si>
    <t>339.1</t>
  </si>
  <si>
    <t>10</t>
  </si>
  <si>
    <t>345.5</t>
  </si>
  <si>
    <t>09</t>
  </si>
  <si>
    <t>337.3000</t>
  </si>
  <si>
    <t>325.0</t>
  </si>
  <si>
    <t>329.9000</t>
  </si>
  <si>
    <t>329.9</t>
  </si>
  <si>
    <t>2023/05/26</t>
  </si>
  <si>
    <t>2024/05/27</t>
  </si>
  <si>
    <t>333.5</t>
  </si>
  <si>
    <t>344.0</t>
  </si>
  <si>
    <t>304.8</t>
  </si>
  <si>
    <t>313.1</t>
  </si>
  <si>
    <t>2023/06/27</t>
  </si>
  <si>
    <t>331.9</t>
  </si>
  <si>
    <t>340.6</t>
  </si>
  <si>
    <t>300.9</t>
  </si>
  <si>
    <t>308.3</t>
  </si>
  <si>
    <t>2023/07/26</t>
  </si>
  <si>
    <t>2024/07/25</t>
  </si>
  <si>
    <t>333.7</t>
  </si>
  <si>
    <t>330.0000</t>
  </si>
  <si>
    <t>300.3</t>
  </si>
  <si>
    <t>318.5000</t>
  </si>
  <si>
    <t>305.0</t>
  </si>
  <si>
    <t>2023/08/28</t>
  </si>
  <si>
    <t>333.1</t>
  </si>
  <si>
    <t>337.7</t>
  </si>
  <si>
    <t>301.0</t>
  </si>
  <si>
    <t>308.5</t>
  </si>
  <si>
    <t>2023/09/26</t>
  </si>
  <si>
    <t>2024/09/24</t>
  </si>
  <si>
    <t>332.6</t>
  </si>
  <si>
    <t>335.9</t>
  </si>
  <si>
    <t>11</t>
  </si>
  <si>
    <t>325.3000</t>
  </si>
  <si>
    <t>300.0</t>
  </si>
  <si>
    <t>308.0000</t>
  </si>
  <si>
    <t>308.0</t>
  </si>
  <si>
    <t>2023/10/26</t>
  </si>
  <si>
    <t>328.4</t>
  </si>
  <si>
    <t>334.2</t>
  </si>
  <si>
    <t>297.2</t>
  </si>
  <si>
    <t>307.0</t>
  </si>
  <si>
    <t>2024/11</t>
  </si>
  <si>
    <t>2023/11/27</t>
  </si>
  <si>
    <t>2024/11/25</t>
  </si>
  <si>
    <t>324.6</t>
  </si>
  <si>
    <t>330.0</t>
  </si>
  <si>
    <t>299.0</t>
  </si>
  <si>
    <t>2023/12/25</t>
  </si>
  <si>
    <t>328.1</t>
  </si>
  <si>
    <t>309.0</t>
  </si>
  <si>
    <t>310.0</t>
  </si>
  <si>
    <t>2025/01</t>
  </si>
  <si>
    <t>2024/01/26</t>
  </si>
  <si>
    <t>2025/01/27</t>
  </si>
  <si>
    <t>2024/02/26</t>
  </si>
  <si>
    <t>324.8</t>
  </si>
  <si>
    <t>2025/03</t>
  </si>
  <si>
    <t>2024/03/26</t>
  </si>
  <si>
    <t>2025/03/25</t>
  </si>
  <si>
    <t>311.8</t>
  </si>
  <si>
    <t>309.1</t>
  </si>
  <si>
    <t>301.2</t>
  </si>
  <si>
    <t>ゴム（TSR20）先物</t>
  </si>
  <si>
    <t>TSR20 Rubber Futures</t>
  </si>
  <si>
    <t>2023/05/01</t>
  </si>
  <si>
    <t>2024/04/30</t>
  </si>
  <si>
    <t>2023/06/01</t>
  </si>
  <si>
    <t>2024/05/31</t>
  </si>
  <si>
    <t>2023/07/03</t>
  </si>
  <si>
    <t>2024/06/28</t>
  </si>
  <si>
    <t>249.0</t>
  </si>
  <si>
    <t>2023/08/01</t>
  </si>
  <si>
    <t>2024/07/31</t>
  </si>
  <si>
    <t>250.3</t>
  </si>
  <si>
    <t>249.5</t>
  </si>
  <si>
    <t>2023/09/01</t>
  </si>
  <si>
    <t>2024/08/30</t>
  </si>
  <si>
    <t>2023/10/02</t>
  </si>
  <si>
    <t>2024/09/30</t>
  </si>
  <si>
    <t>2023/11/01</t>
  </si>
  <si>
    <t>2024/10/31</t>
  </si>
  <si>
    <t>2023/12/01</t>
  </si>
  <si>
    <t>2024/11/29</t>
  </si>
  <si>
    <t>2024/01/04</t>
  </si>
  <si>
    <t>2024/12/30</t>
  </si>
  <si>
    <t>2024/02/01</t>
  </si>
  <si>
    <t>2025/01/31</t>
  </si>
  <si>
    <t>2024/03/01</t>
  </si>
  <si>
    <t>2025/02/28</t>
  </si>
  <si>
    <t>2025/03/31</t>
  </si>
  <si>
    <t>とうもろこし先物</t>
  </si>
  <si>
    <t>Corn Futures</t>
  </si>
  <si>
    <t>2023/04/17</t>
  </si>
  <si>
    <t>2024/04/15</t>
  </si>
  <si>
    <t>34,500</t>
  </si>
  <si>
    <t>31,740.0000</t>
  </si>
  <si>
    <t>31,740</t>
  </si>
  <si>
    <t>2023/06/16</t>
  </si>
  <si>
    <t>2024/06/14</t>
  </si>
  <si>
    <t>36,490</t>
  </si>
  <si>
    <t>38,010</t>
  </si>
  <si>
    <t>35,750</t>
  </si>
  <si>
    <t>38,000</t>
  </si>
  <si>
    <t>2023/08/16</t>
  </si>
  <si>
    <t>2024/08/15</t>
  </si>
  <si>
    <t>04</t>
  </si>
  <si>
    <t>38,800</t>
  </si>
  <si>
    <t>39,220</t>
  </si>
  <si>
    <t>2023/10/16</t>
  </si>
  <si>
    <t>2024/10/15</t>
  </si>
  <si>
    <t>37,680</t>
  </si>
  <si>
    <t>39,200</t>
  </si>
  <si>
    <t>35,450</t>
  </si>
  <si>
    <t>39,050</t>
  </si>
  <si>
    <t>2023/12/18</t>
  </si>
  <si>
    <t>2024/12/13</t>
  </si>
  <si>
    <t>38,620</t>
  </si>
  <si>
    <t>39,650</t>
  </si>
  <si>
    <t>37,750</t>
  </si>
  <si>
    <t>39,100</t>
  </si>
  <si>
    <t>2024/02/16</t>
  </si>
  <si>
    <t>2025/02/14</t>
  </si>
  <si>
    <t>39,800</t>
  </si>
  <si>
    <t>40,820</t>
  </si>
  <si>
    <t>39,370</t>
  </si>
  <si>
    <t>40,310</t>
  </si>
  <si>
    <t>2025/05</t>
  </si>
  <si>
    <t>2024/04/16</t>
  </si>
  <si>
    <t>2025/04/15</t>
  </si>
  <si>
    <t>39,980</t>
  </si>
  <si>
    <t>41,900</t>
  </si>
  <si>
    <t>39,710</t>
  </si>
  <si>
    <t>41,700</t>
  </si>
  <si>
    <t>一般大豆先物</t>
  </si>
  <si>
    <t>Soybean Futures</t>
  </si>
  <si>
    <t>小豆先物</t>
  </si>
  <si>
    <t>Azuki (Red Bean) Futures</t>
  </si>
  <si>
    <t>2023/11/28</t>
  </si>
  <si>
    <t>2024/05/28</t>
  </si>
  <si>
    <t>2023/12/21</t>
  </si>
  <si>
    <t>2024/01/29</t>
  </si>
  <si>
    <t>2024/07/26</t>
  </si>
  <si>
    <t>2024/03/27</t>
  </si>
  <si>
    <t>2024/09/25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</si>
</sst>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176" formatCode="&quot;¥&quot;#,##0_);[Red]\(&quot;¥&quot;#,##0\)"/>
    <numFmt numFmtId="177" formatCode="&quot;¥&quot;#,##0.00_);[Red]\(&quot;¥&quot;#,##0.00\)"/>
    <numFmt numFmtId="178" formatCode="_(* #,##0_);_(* \(#,##0\);_(* &quot;-&quot;_);_(@_)"/>
    <numFmt numFmtId="179" formatCode="_(* #,##0.00_);_(* \(#,##0.00\);_(* &quot;-&quot;??_);_(@_)"/>
    <numFmt numFmtId="180" formatCode="#,##0;\-#,##0;&quot;-&quot;"/>
    <numFmt numFmtId="181" formatCode="0.00_)"/>
    <numFmt numFmtId="182" formatCode="0_)"/>
    <numFmt numFmtId="183" formatCode="0_);[Red]\(0\)"/>
    <numFmt numFmtId="184" formatCode="_-&quot;｣&quot;* #,##0_-;\-&quot;｣&quot;* #,##0_-;_-&quot;｣&quot;* &quot;-&quot;_-;_-@_-"/>
    <numFmt numFmtId="185" formatCode="_-&quot;｣&quot;* #,##0.00_-;\-&quot;｣&quot;* #,##0.00_-;_-&quot;｣&quot;* &quot;-&quot;??_-;_-@_-"/>
    <numFmt numFmtId="186" formatCode="&quot;$&quot;#,##0;[Red]\-&quot;$&quot;#,##0"/>
    <numFmt numFmtId="187" formatCode="&quot;$&quot;#,##0.00;[Red]\-&quot;$&quot;#,##0.00"/>
    <numFmt numFmtId="188" formatCode="0.00000"/>
    <numFmt numFmtId="189" formatCode="#,##0.0&quot;人月&quot;"/>
    <numFmt numFmtId="190" formatCode="_(&quot;$&quot;* #,##0.00_);_(&quot;$&quot;* \(#,##0.00\);_(&quot;$&quot;* &quot;-&quot;??_);_(@_)"/>
    <numFmt numFmtId="191" formatCode="_(&quot;$&quot;* #,##0_);_(&quot;$&quot;* \(#,##0\);_(&quot;$&quot;* &quot;-&quot;_);_(@_)"/>
    <numFmt numFmtId="192" formatCode="#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3">
    <xf numFmtId="0" fontId="0" fillId="0" borderId="0"/>
    <xf numFmtId="38" fontId="5" fillId="0" borderId="0" applyFont="0" applyFill="0" applyBorder="0" applyAlignment="0" applyProtection="0"/>
    <xf numFmtId="180" fontId="8" fillId="0" borderId="0" applyFill="0" applyBorder="0" applyAlignment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181" fontId="10" fillId="0" borderId="0"/>
    <xf numFmtId="0" fontId="11" fillId="0" borderId="0"/>
    <xf numFmtId="0" fontId="12" fillId="0" borderId="0"/>
    <xf numFmtId="49" fontId="13" fillId="2" borderId="3" applyNumberFormat="0" applyFill="0" applyBorder="0" applyProtection="0"/>
    <xf numFmtId="0" fontId="7" fillId="0" borderId="0">
      <alignment vertical="center"/>
    </xf>
    <xf numFmtId="0" fontId="14" fillId="0" borderId="0"/>
    <xf numFmtId="0" fontId="14" fillId="0" borderId="0">
      <alignment vertical="center"/>
    </xf>
    <xf numFmtId="182" fontId="16" fillId="0" borderId="0"/>
    <xf numFmtId="0" fontId="5" fillId="0" borderId="0"/>
    <xf numFmtId="0" fontId="5" fillId="0" borderId="0"/>
    <xf numFmtId="0" fontId="14" fillId="0" borderId="0">
      <alignment vertical="center"/>
    </xf>
    <xf numFmtId="0" fontId="4" fillId="0" borderId="0">
      <alignment vertical="center"/>
    </xf>
    <xf numFmtId="9" fontId="19" fillId="0" borderId="0" applyFont="0" applyFill="0" applyBorder="0" applyAlignment="0" applyProtection="0"/>
    <xf numFmtId="0" fontId="20" fillId="0" borderId="0"/>
    <xf numFmtId="0" fontId="5" fillId="0" borderId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12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20" borderId="0" applyNumberFormat="0" applyBorder="0" applyAlignment="0" applyProtection="0"/>
    <xf numFmtId="0" fontId="24" fillId="0" borderId="0">
      <alignment horizontal="center" wrapText="1"/>
      <protection locked="0"/>
    </xf>
    <xf numFmtId="0" fontId="25" fillId="0" borderId="0"/>
    <xf numFmtId="0" fontId="26" fillId="4" borderId="0" applyNumberFormat="0" applyBorder="0" applyAlignment="0" applyProtection="0"/>
    <xf numFmtId="0" fontId="27" fillId="0" borderId="0" applyNumberFormat="0" applyFill="0" applyBorder="0" applyAlignment="0" applyProtection="0"/>
    <xf numFmtId="183" fontId="7" fillId="0" borderId="0" applyFill="0" applyBorder="0" applyAlignment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9" fillId="22" borderId="11" applyNumberFormat="0" applyAlignment="0" applyProtection="0"/>
    <xf numFmtId="0" fontId="30" fillId="0" borderId="0">
      <alignment vertical="top" wrapText="1"/>
    </xf>
    <xf numFmtId="178" fontId="11" fillId="0" borderId="0" applyFont="0" applyFill="0" applyBorder="0" applyAlignment="0" applyProtection="0"/>
    <xf numFmtId="179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5" fontId="11" fillId="0" borderId="0" applyFont="0" applyFill="0" applyBorder="0" applyAlignment="0" applyProtection="0"/>
    <xf numFmtId="0" fontId="31" fillId="0" borderId="0">
      <alignment horizontal="left"/>
    </xf>
    <xf numFmtId="0" fontId="32" fillId="0" borderId="0" applyNumberFormat="0" applyFill="0" applyBorder="0" applyAlignment="0" applyProtection="0"/>
    <xf numFmtId="0" fontId="33" fillId="5" borderId="0" applyNumberFormat="0" applyBorder="0" applyAlignment="0" applyProtection="0"/>
    <xf numFmtId="38" fontId="34" fillId="23" borderId="0" applyNumberFormat="0" applyBorder="0" applyAlignment="0" applyProtection="0"/>
    <xf numFmtId="0" fontId="35" fillId="24" borderId="0"/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36" fillId="0" borderId="12" applyNumberFormat="0" applyFill="0" applyAlignment="0" applyProtection="0"/>
    <xf numFmtId="0" fontId="37" fillId="0" borderId="13" applyNumberFormat="0" applyFill="0" applyAlignment="0" applyProtection="0"/>
    <xf numFmtId="0" fontId="38" fillId="0" borderId="14" applyNumberFormat="0" applyFill="0" applyAlignment="0" applyProtection="0"/>
    <xf numFmtId="0" fontId="38" fillId="0" borderId="0" applyNumberFormat="0" applyFill="0" applyBorder="0" applyAlignment="0" applyProtection="0"/>
    <xf numFmtId="0" fontId="7" fillId="0" borderId="0" applyBorder="0"/>
    <xf numFmtId="0" fontId="39" fillId="8" borderId="10" applyNumberFormat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7" fillId="0" borderId="0"/>
    <xf numFmtId="0" fontId="40" fillId="0" borderId="15" applyNumberFormat="0" applyFill="0" applyAlignment="0" applyProtection="0"/>
    <xf numFmtId="38" fontId="41" fillId="0" borderId="0" applyFont="0" applyFill="0" applyBorder="0" applyAlignment="0" applyProtection="0"/>
    <xf numFmtId="40" fontId="41" fillId="0" borderId="0" applyFont="0" applyFill="0" applyBorder="0" applyAlignment="0" applyProtection="0"/>
    <xf numFmtId="186" fontId="41" fillId="0" borderId="0" applyFont="0" applyFill="0" applyBorder="0" applyAlignment="0" applyProtection="0"/>
    <xf numFmtId="187" fontId="41" fillId="0" borderId="0" applyFont="0" applyFill="0" applyBorder="0" applyAlignment="0" applyProtection="0"/>
    <xf numFmtId="0" fontId="42" fillId="26" borderId="0" applyNumberFormat="0" applyBorder="0" applyAlignment="0" applyProtection="0"/>
    <xf numFmtId="37" fontId="43" fillId="0" borderId="0"/>
    <xf numFmtId="188" fontId="7" fillId="0" borderId="0"/>
    <xf numFmtId="188" fontId="7" fillId="0" borderId="0"/>
    <xf numFmtId="181" fontId="10" fillId="0" borderId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14" fontId="24" fillId="0" borderId="0">
      <alignment horizontal="center" wrapText="1"/>
      <protection locked="0"/>
    </xf>
    <xf numFmtId="10" fontId="11" fillId="0" borderId="0" applyFont="0" applyFill="0" applyBorder="0" applyAlignment="0" applyProtection="0"/>
    <xf numFmtId="4" fontId="31" fillId="0" borderId="0">
      <alignment horizontal="right"/>
    </xf>
    <xf numFmtId="0" fontId="45" fillId="0" borderId="0" applyNumberFormat="0" applyFont="0" applyFill="0" applyBorder="0" applyAlignment="0" applyProtection="0">
      <alignment horizontal="left"/>
    </xf>
    <xf numFmtId="0" fontId="46" fillId="0" borderId="18">
      <alignment horizontal="center"/>
    </xf>
    <xf numFmtId="0" fontId="47" fillId="0" borderId="0" applyNumberFormat="0" applyFont="0" applyFill="0" applyBorder="0" applyAlignment="0"/>
    <xf numFmtId="4" fontId="48" fillId="0" borderId="0">
      <alignment horizontal="right"/>
    </xf>
    <xf numFmtId="0" fontId="49" fillId="0" borderId="0">
      <alignment horizontal="left"/>
    </xf>
    <xf numFmtId="0" fontId="50" fillId="0" borderId="0"/>
    <xf numFmtId="0" fontId="51" fillId="0" borderId="0">
      <alignment horizontal="center"/>
    </xf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3" fillId="0" borderId="0" applyNumberFormat="0" applyFill="0" applyBorder="0" applyAlignment="0" applyProtection="0"/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4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7" fillId="0" borderId="0"/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9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179" fontId="11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17" fillId="0" borderId="0" applyFont="0" applyFill="0" applyBorder="0" applyAlignment="0" applyProtection="0">
      <alignment vertical="center"/>
    </xf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/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189" fontId="12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190" fontId="11" fillId="0" borderId="0" applyFont="0" applyFill="0" applyBorder="0" applyAlignment="0" applyProtection="0"/>
    <xf numFmtId="191" fontId="11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14" fillId="0" borderId="0" applyFont="0" applyFill="0" applyBorder="0" applyAlignment="0" applyProtection="0">
      <alignment vertical="center"/>
    </xf>
    <xf numFmtId="176" fontId="75" fillId="0" borderId="0" applyFont="0" applyFill="0" applyBorder="0" applyAlignment="0" applyProtection="0">
      <alignment vertical="center"/>
    </xf>
    <xf numFmtId="176" fontId="14" fillId="0" borderId="0" applyFont="0" applyFill="0" applyBorder="0" applyAlignment="0" applyProtection="0">
      <alignment vertical="center"/>
    </xf>
    <xf numFmtId="176" fontId="14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/>
    <xf numFmtId="176" fontId="7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/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17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78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79" fillId="0" borderId="0">
      <alignment vertical="center"/>
    </xf>
    <xf numFmtId="0" fontId="14" fillId="0" borderId="0"/>
    <xf numFmtId="0" fontId="79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9" fillId="0" borderId="0"/>
    <xf numFmtId="0" fontId="17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81" fillId="0" borderId="0"/>
    <xf numFmtId="0" fontId="14" fillId="0" borderId="0"/>
    <xf numFmtId="0" fontId="7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9" fillId="0" borderId="0"/>
    <xf numFmtId="0" fontId="78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21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>
      <alignment vertical="center"/>
    </xf>
    <xf numFmtId="0" fontId="17" fillId="0" borderId="0">
      <alignment vertical="center"/>
    </xf>
    <xf numFmtId="0" fontId="81" fillId="0" borderId="0"/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5" fillId="0" borderId="0"/>
    <xf numFmtId="0" fontId="5" fillId="0" borderId="0"/>
    <xf numFmtId="0" fontId="81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81" fillId="0" borderId="0"/>
    <xf numFmtId="0" fontId="5" fillId="0" borderId="0"/>
    <xf numFmtId="0" fontId="81" fillId="0" borderId="0"/>
    <xf numFmtId="0" fontId="2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2" fillId="0" borderId="0">
      <alignment vertical="center"/>
    </xf>
    <xf numFmtId="0" fontId="5" fillId="0" borderId="0"/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7" fillId="0" borderId="0"/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3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8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6" fillId="0" borderId="0"/>
    <xf numFmtId="0" fontId="87" fillId="0" borderId="0"/>
    <xf numFmtId="0" fontId="57" fillId="0" borderId="0"/>
    <xf numFmtId="49" fontId="15" fillId="0" borderId="0" applyFill="0" applyBorder="0"/>
    <xf numFmtId="0" fontId="88" fillId="0" borderId="0"/>
    <xf numFmtId="0" fontId="89" fillId="0" borderId="0"/>
    <xf numFmtId="0" fontId="88" fillId="0" borderId="0"/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91" fillId="0" borderId="0"/>
    <xf numFmtId="0" fontId="91" fillId="0" borderId="0"/>
    <xf numFmtId="189" fontId="91" fillId="0" borderId="0"/>
    <xf numFmtId="189" fontId="9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9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6">
    <xf numFmtId="0" fontId="0" fillId="0" borderId="0" xfId="0"/>
    <xf numFmtId="192" fontId="7" fillId="0" borderId="37" xfId="1946" applyNumberFormat="1" applyFont="1" applyBorder="1" applyAlignment="1">
      <alignment horizontal="right" vertical="center"/>
    </xf>
    <xf numFmtId="3" fontId="7" fillId="0" borderId="23" xfId="1946" applyNumberFormat="1" applyFont="1" applyBorder="1" applyAlignment="1">
      <alignment horizontal="right" vertical="center"/>
    </xf>
    <xf numFmtId="49" fontId="7" fillId="0" borderId="22" xfId="1946" applyNumberFormat="1" applyFont="1" applyBorder="1" applyAlignment="1">
      <alignment horizontal="right" vertical="center"/>
    </xf>
    <xf numFmtId="3" fontId="7" fillId="0" borderId="21" xfId="1946" applyNumberFormat="1" applyFont="1" applyBorder="1" applyAlignment="1">
      <alignment horizontal="right" vertical="center"/>
    </xf>
    <xf numFmtId="4" fontId="7" fillId="0" borderId="21" xfId="1946" applyNumberFormat="1" applyFont="1" applyBorder="1" applyAlignment="1">
      <alignment horizontal="right" vertical="center"/>
    </xf>
    <xf numFmtId="49" fontId="7" fillId="0" borderId="23" xfId="1946" applyNumberFormat="1" applyFont="1" applyBorder="1" applyAlignment="1">
      <alignment horizontal="right" vertical="center"/>
    </xf>
    <xf numFmtId="49" fontId="7" fillId="0" borderId="22" xfId="1946" applyNumberFormat="1" applyFont="1" applyBorder="1">
      <alignment vertical="center"/>
    </xf>
    <xf numFmtId="49" fontId="7" fillId="0" borderId="21" xfId="1946" applyNumberFormat="1" applyFont="1" applyBorder="1">
      <alignment vertical="center"/>
    </xf>
    <xf numFmtId="49" fontId="7" fillId="0" borderId="36" xfId="1946" applyNumberFormat="1" applyFont="1" applyBorder="1">
      <alignment vertical="center"/>
    </xf>
    <xf numFmtId="0" fontId="95" fillId="0" borderId="0" xfId="1946" applyFont="1">
      <alignment vertical="center"/>
    </xf>
    <xf numFmtId="0" fontId="19" fillId="0" borderId="9" xfId="1946" applyFont="1" applyBorder="1">
      <alignment vertical="center"/>
    </xf>
    <xf numFmtId="0" fontId="19" fillId="0" borderId="20" xfId="1946" applyFont="1" applyBorder="1">
      <alignment vertical="center"/>
    </xf>
    <xf numFmtId="0" fontId="19" fillId="0" borderId="8" xfId="1946" applyFont="1" applyBorder="1">
      <alignment vertical="center"/>
    </xf>
    <xf numFmtId="0" fontId="7" fillId="0" borderId="39" xfId="1946" applyFont="1" applyBorder="1" applyAlignment="1">
      <alignment horizontal="center" vertical="center" wrapText="1"/>
    </xf>
    <xf numFmtId="0" fontId="7" fillId="0" borderId="44" xfId="1946" applyFont="1" applyBorder="1" applyAlignment="1">
      <alignment horizontal="center" vertical="center" wrapText="1"/>
    </xf>
    <xf numFmtId="0" fontId="19" fillId="0" borderId="0" xfId="1946" applyFont="1">
      <alignment vertical="center"/>
    </xf>
    <xf numFmtId="0" fontId="94" fillId="0" borderId="9" xfId="1946" applyFont="1" applyBorder="1" applyAlignment="1">
      <alignment vertical="center" wrapText="1"/>
    </xf>
    <xf numFmtId="0" fontId="94" fillId="0" borderId="9" xfId="1946" applyFont="1" applyBorder="1">
      <alignment vertical="center"/>
    </xf>
    <xf numFmtId="0" fontId="94" fillId="0" borderId="6" xfId="1946" applyFont="1" applyBorder="1">
      <alignment vertical="center"/>
    </xf>
    <xf numFmtId="0" fontId="7" fillId="0" borderId="23" xfId="1946" applyFont="1" applyBorder="1" applyAlignment="1">
      <alignment horizontal="center" vertical="center" wrapText="1"/>
    </xf>
    <xf numFmtId="0" fontId="7" fillId="0" borderId="37" xfId="1946" applyFont="1" applyBorder="1" applyAlignment="1">
      <alignment horizontal="center" vertical="center" wrapText="1"/>
    </xf>
    <xf numFmtId="0" fontId="7" fillId="0" borderId="21" xfId="1946" applyFont="1" applyBorder="1" applyAlignment="1">
      <alignment horizontal="center" vertical="center" wrapText="1"/>
    </xf>
    <xf numFmtId="0" fontId="93" fillId="0" borderId="20" xfId="1946" applyFont="1" applyBorder="1" applyAlignment="1">
      <alignment vertical="center" wrapText="1"/>
    </xf>
    <xf numFmtId="0" fontId="7" fillId="0" borderId="36" xfId="1946" applyFont="1" applyBorder="1" applyAlignment="1">
      <alignment horizontal="center" vertical="center" wrapText="1"/>
    </xf>
    <xf numFmtId="0" fontId="7" fillId="0" borderId="22" xfId="1946" applyFont="1" applyBorder="1" applyAlignment="1">
      <alignment horizontal="center" vertical="center" wrapText="1"/>
    </xf>
    <xf numFmtId="0" fontId="7" fillId="0" borderId="23" xfId="1946" applyFont="1" applyBorder="1" applyAlignment="1">
      <alignment horizontal="center" vertical="center" wrapText="1"/>
    </xf>
    <xf numFmtId="0" fontId="7" fillId="0" borderId="21" xfId="1946" applyFont="1" applyBorder="1" applyAlignment="1">
      <alignment horizontal="center" vertical="center" wrapText="1"/>
    </xf>
    <xf numFmtId="0" fontId="7" fillId="0" borderId="30" xfId="1946" applyFont="1" applyBorder="1" applyAlignment="1">
      <alignment horizontal="center" vertical="top" wrapText="1"/>
    </xf>
    <xf numFmtId="0" fontId="7" fillId="0" borderId="31" xfId="1946" applyFont="1" applyBorder="1" applyAlignment="1">
      <alignment horizontal="center" vertical="top" wrapText="1"/>
    </xf>
    <xf numFmtId="0" fontId="7" fillId="0" borderId="34" xfId="1946" applyFont="1" applyBorder="1" applyAlignment="1">
      <alignment horizontal="center" vertical="center" wrapText="1"/>
    </xf>
    <xf numFmtId="0" fontId="7" fillId="0" borderId="36" xfId="1946" applyFont="1" applyBorder="1" applyAlignment="1">
      <alignment horizontal="center" vertical="center" wrapText="1"/>
    </xf>
    <xf numFmtId="0" fontId="7" fillId="0" borderId="45" xfId="1946" applyFont="1" applyBorder="1" applyAlignment="1">
      <alignment horizontal="center" vertical="center" wrapText="1"/>
    </xf>
    <xf numFmtId="0" fontId="7" fillId="0" borderId="27" xfId="1946" applyFont="1" applyBorder="1" applyAlignment="1">
      <alignment horizontal="center" vertical="center" wrapText="1"/>
    </xf>
    <xf numFmtId="0" fontId="7" fillId="0" borderId="24" xfId="1946" applyFont="1" applyBorder="1" applyAlignment="1">
      <alignment horizontal="center" vertical="center" wrapText="1"/>
    </xf>
    <xf numFmtId="0" fontId="7" fillId="0" borderId="32" xfId="1946" applyFont="1" applyBorder="1" applyAlignment="1">
      <alignment horizontal="center" vertical="center" wrapText="1"/>
    </xf>
    <xf numFmtId="0" fontId="7" fillId="0" borderId="33" xfId="1946" applyFont="1" applyBorder="1" applyAlignment="1">
      <alignment horizontal="center" vertical="center" wrapText="1"/>
    </xf>
    <xf numFmtId="0" fontId="7" fillId="0" borderId="25" xfId="1946" applyFont="1" applyBorder="1" applyAlignment="1">
      <alignment horizontal="center" vertical="center" wrapText="1"/>
    </xf>
    <xf numFmtId="0" fontId="7" fillId="0" borderId="28" xfId="1946" applyFont="1" applyBorder="1" applyAlignment="1">
      <alignment horizontal="center" vertical="center" wrapText="1"/>
    </xf>
    <xf numFmtId="0" fontId="7" fillId="0" borderId="26" xfId="1946" applyFont="1" applyBorder="1" applyAlignment="1">
      <alignment horizontal="center" vertical="center" wrapText="1"/>
    </xf>
    <xf numFmtId="0" fontId="7" fillId="0" borderId="29" xfId="1946" applyFont="1" applyBorder="1" applyAlignment="1">
      <alignment horizontal="center" vertical="center" wrapText="1"/>
    </xf>
    <xf numFmtId="0" fontId="7" fillId="0" borderId="32" xfId="1946" applyFont="1" applyBorder="1" applyAlignment="1">
      <alignment horizontal="center" vertical="top" wrapText="1"/>
    </xf>
    <xf numFmtId="0" fontId="7" fillId="0" borderId="9" xfId="1946" applyFont="1" applyBorder="1" applyAlignment="1">
      <alignment horizontal="center" vertical="top" wrapText="1"/>
    </xf>
    <xf numFmtId="0" fontId="7" fillId="0" borderId="33" xfId="1946" applyFont="1" applyBorder="1" applyAlignment="1">
      <alignment horizontal="center" vertical="top" wrapText="1"/>
    </xf>
    <xf numFmtId="0" fontId="93" fillId="0" borderId="5" xfId="1946" applyFont="1" applyBorder="1" applyAlignment="1">
      <alignment vertical="center" wrapText="1"/>
    </xf>
    <xf numFmtId="0" fontId="93" fillId="0" borderId="9" xfId="1946" applyFont="1" applyBorder="1" applyAlignment="1">
      <alignment vertical="center" wrapText="1"/>
    </xf>
    <xf numFmtId="0" fontId="93" fillId="0" borderId="7" xfId="1946" applyFont="1" applyBorder="1" applyAlignment="1">
      <alignment vertical="center" wrapText="1"/>
    </xf>
    <xf numFmtId="0" fontId="93" fillId="0" borderId="20" xfId="1946" applyFont="1" applyBorder="1" applyAlignment="1">
      <alignment vertical="center" wrapText="1"/>
    </xf>
    <xf numFmtId="0" fontId="7" fillId="0" borderId="35" xfId="1946" applyFont="1" applyBorder="1" applyAlignment="1">
      <alignment horizontal="center" vertical="center" wrapText="1"/>
    </xf>
    <xf numFmtId="0" fontId="7" fillId="0" borderId="37" xfId="1946" applyFont="1" applyBorder="1" applyAlignment="1">
      <alignment horizontal="center" vertical="center" wrapText="1"/>
    </xf>
    <xf numFmtId="0" fontId="7" fillId="0" borderId="40" xfId="1946" applyFont="1" applyBorder="1" applyAlignment="1">
      <alignment horizontal="center" vertical="center" wrapText="1"/>
    </xf>
    <xf numFmtId="0" fontId="7" fillId="0" borderId="41" xfId="1946" applyFont="1" applyBorder="1" applyAlignment="1">
      <alignment horizontal="center" vertical="center" wrapText="1"/>
    </xf>
    <xf numFmtId="0" fontId="7" fillId="0" borderId="38" xfId="1946" applyFont="1" applyBorder="1" applyAlignment="1">
      <alignment horizontal="center" vertical="center" wrapText="1"/>
    </xf>
    <xf numFmtId="0" fontId="96" fillId="0" borderId="23" xfId="1946" applyFont="1" applyBorder="1" applyAlignment="1">
      <alignment horizontal="center" vertical="center" wrapText="1"/>
    </xf>
    <xf numFmtId="0" fontId="7" fillId="0" borderId="42" xfId="1946" applyFont="1" applyBorder="1" applyAlignment="1">
      <alignment horizontal="center" vertical="center" wrapText="1"/>
    </xf>
    <xf numFmtId="0" fontId="7" fillId="0" borderId="43" xfId="1946" applyFont="1" applyBorder="1" applyAlignment="1">
      <alignment horizontal="center" vertical="center" wrapText="1"/>
    </xf>
  </cellXfs>
  <cellStyles count="1953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name="標準" xfId="0" builtin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TableStyle="TableStyleMedium2" defaultPivotStyle="PivotStyleLight16"/>
  <colors>
    <mruColors>
      <color rgb="FFFF00FF"/>
      <color rgb="FFFFEBFF"/>
      <color rgb="FFCCFFCC"/>
      <color rgb="FF99FF99"/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733425</xdr:colOff>
      <xdr:row>0</xdr:row>
      <xdr:rowOff>28575</xdr:rowOff>
    </xdr:from>
    <xdr:ext cx="9830920" cy="672353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5845CDA-DD77-4264-9402-267472E40A43}"/>
            </a:ext>
          </a:extLst>
        </xdr:cNvPr>
        <xdr:cNvSpPr/>
      </xdr:nvSpPr>
      <xdr:spPr>
        <a:xfrm>
          <a:off x="19011900" y="28575"/>
          <a:ext cx="9830920" cy="67235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36000" tIns="0" rIns="0" bIns="0" rtlCol="0" anchor="t">
          <a:noAutofit/>
        </a:bodyPr>
        <a:lstStyle/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建玉現在高は月末現在。ただし、*印は限月到来銘柄の最終建玉高。商品先物（現物先物取引）の最終建玉高は「本受渡高」を意味する。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Open interest is as of end of month. * is a final position of the contract month.The final position for Commodity futures (physically-delivered futures) means "Basic Delivery Volume".</a:t>
          </a:r>
          <a:endParaRPr kumimoji="1" lang="en-US" altLang="ja-JP" sz="1100" kern="0" spc="0" baseline="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金限日先物、白金限日先物の希望受渡高は、「早受渡・申告受渡高」に出力する。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※"Delivery on Request Volume" for Gold Rolling-Spot Futures and Platinum Rolling-Spot Futures is displayed on "Early Delivery, Declared Delivery Volume".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a:spPr>
      <a:bodyPr vertOverflow="clip" horzOverflow="clip" rtlCol="0" anchor="t"/>
      <a:lstStyle>
        <a:defPPr algn="l">
          <a:defRPr kumimoji="1" sz="100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C103"/>
  <sheetViews>
    <sheetView showGridLines="0" tabSelected="1" view="pageBreakPreview" zoomScaleNormal="100" zoomScaleSheetLayoutView="100" workbookViewId="0">
      <pane ySplit="6" topLeftCell="A7" activePane="bottomLeft" state="frozen"/>
      <selection pane="bottomLeft" activeCell="A7" sqref="A7"/>
    </sheetView>
  </sheetViews>
  <sheetFormatPr defaultRowHeight="13.5"/>
  <cols>
    <col min="1" max="1" width="10.625" style="16" customWidth="1"/>
    <col min="2" max="2" width="25.75" style="16" bestFit="1" customWidth="1"/>
    <col min="3" max="3" width="34.5" style="16" bestFit="1" customWidth="1"/>
    <col min="4" max="6" width="10.25" style="16" bestFit="1" customWidth="1"/>
    <col min="7" max="7" width="5.25" style="16" customWidth="1"/>
    <col min="8" max="8" width="15.25" style="16" customWidth="1"/>
    <col min="9" max="9" width="5.25" style="16" customWidth="1"/>
    <col min="10" max="10" width="15.25" style="16" customWidth="1"/>
    <col min="11" max="11" width="5.25" style="16" customWidth="1"/>
    <col min="12" max="12" width="15.25" style="16" customWidth="1"/>
    <col min="13" max="13" width="5.25" style="16" customWidth="1"/>
    <col min="14" max="14" width="15.25" style="16" customWidth="1"/>
    <col min="15" max="15" width="5.25" style="16" customWidth="1"/>
    <col min="16" max="16" width="15.25" style="16" customWidth="1"/>
    <col min="17" max="17" width="5.25" style="16" customWidth="1"/>
    <col min="18" max="19" width="15.25" style="16" customWidth="1"/>
    <col min="20" max="22" width="15" style="16" customWidth="1"/>
    <col min="23" max="25" width="21.25" style="16" customWidth="1"/>
    <col min="26" max="26" width="2.375" style="16" bestFit="1" customWidth="1"/>
    <col min="27" max="27" width="15.25" style="16" customWidth="1"/>
    <col min="28" max="28" width="17.625" style="16" customWidth="1"/>
    <col min="29" max="29" width="7" style="16" bestFit="1" customWidth="1"/>
    <col min="30" max="16384" width="9" style="10"/>
  </cols>
  <sheetData>
    <row r="1" spans="1:29" ht="30" customHeight="1">
      <c r="A1" s="44" t="s">
        <v>26</v>
      </c>
      <c r="B1" s="45"/>
      <c r="C1" s="45"/>
      <c r="D1" s="45"/>
      <c r="E1" s="45"/>
      <c r="F1" s="45"/>
      <c r="G1" s="45"/>
      <c r="H1" s="45"/>
      <c r="I1" s="45"/>
      <c r="J1" s="45"/>
      <c r="K1" s="11"/>
      <c r="L1" s="11"/>
      <c r="M1" s="11"/>
      <c r="N1" s="11"/>
      <c r="O1" s="11"/>
      <c r="P1" s="11"/>
      <c r="Q1" s="11"/>
      <c r="R1" s="11"/>
      <c r="S1" s="11"/>
      <c r="T1" s="11"/>
      <c r="U1" s="17"/>
      <c r="V1" s="17"/>
      <c r="W1" s="17"/>
      <c r="X1" s="18"/>
      <c r="Y1" s="18"/>
      <c r="Z1" s="18"/>
      <c r="AA1" s="18"/>
      <c r="AB1" s="18"/>
      <c r="AC1" s="19"/>
    </row>
    <row r="2" spans="1:29" ht="30" customHeight="1">
      <c r="A2" s="46" t="s">
        <v>27</v>
      </c>
      <c r="B2" s="47"/>
      <c r="C2" s="47"/>
      <c r="D2" s="23"/>
      <c r="E2" s="23"/>
      <c r="F2" s="23"/>
      <c r="G2" s="23"/>
      <c r="H2" s="23"/>
      <c r="I2" s="23"/>
      <c r="J2" s="23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3"/>
    </row>
    <row r="3" spans="1:29" ht="14.1" customHeight="1">
      <c r="A3" s="30" t="s">
        <v>0</v>
      </c>
      <c r="B3" s="32" t="s">
        <v>7</v>
      </c>
      <c r="C3" s="32" t="s">
        <v>25</v>
      </c>
      <c r="D3" s="34" t="s">
        <v>1</v>
      </c>
      <c r="E3" s="35" t="s">
        <v>5</v>
      </c>
      <c r="F3" s="36"/>
      <c r="G3" s="28" t="s">
        <v>24</v>
      </c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34" t="s">
        <v>39</v>
      </c>
      <c r="T3" s="41" t="s">
        <v>23</v>
      </c>
      <c r="U3" s="42"/>
      <c r="V3" s="43"/>
      <c r="W3" s="41" t="s">
        <v>22</v>
      </c>
      <c r="X3" s="42"/>
      <c r="Y3" s="43"/>
      <c r="Z3" s="37" t="s">
        <v>21</v>
      </c>
      <c r="AA3" s="38"/>
      <c r="AB3" s="32" t="s">
        <v>28</v>
      </c>
      <c r="AC3" s="48" t="s">
        <v>20</v>
      </c>
    </row>
    <row r="4" spans="1:29" ht="9" customHeight="1">
      <c r="A4" s="31"/>
      <c r="B4" s="33"/>
      <c r="C4" s="33"/>
      <c r="D4" s="27"/>
      <c r="E4" s="37"/>
      <c r="F4" s="38"/>
      <c r="G4" s="50" t="s">
        <v>6</v>
      </c>
      <c r="H4" s="52" t="s">
        <v>34</v>
      </c>
      <c r="I4" s="50" t="s">
        <v>6</v>
      </c>
      <c r="J4" s="54" t="s">
        <v>35</v>
      </c>
      <c r="K4" s="53" t="s">
        <v>2</v>
      </c>
      <c r="L4" s="53"/>
      <c r="M4" s="50" t="s">
        <v>6</v>
      </c>
      <c r="N4" s="54" t="s">
        <v>37</v>
      </c>
      <c r="O4" s="53" t="s">
        <v>2</v>
      </c>
      <c r="P4" s="53"/>
      <c r="Q4" s="50" t="s">
        <v>6</v>
      </c>
      <c r="R4" s="52" t="s">
        <v>38</v>
      </c>
      <c r="S4" s="27"/>
      <c r="T4" s="34" t="s">
        <v>3</v>
      </c>
      <c r="U4" s="27" t="s">
        <v>19</v>
      </c>
      <c r="V4" s="27" t="s">
        <v>30</v>
      </c>
      <c r="W4" s="34" t="s">
        <v>3</v>
      </c>
      <c r="X4" s="27" t="s">
        <v>18</v>
      </c>
      <c r="Y4" s="27" t="s">
        <v>32</v>
      </c>
      <c r="Z4" s="37"/>
      <c r="AA4" s="38"/>
      <c r="AB4" s="33"/>
      <c r="AC4" s="49"/>
    </row>
    <row r="5" spans="1:29" ht="27" customHeight="1">
      <c r="A5" s="31"/>
      <c r="B5" s="33"/>
      <c r="C5" s="33"/>
      <c r="D5" s="27"/>
      <c r="E5" s="39"/>
      <c r="F5" s="40"/>
      <c r="G5" s="51"/>
      <c r="H5" s="40"/>
      <c r="I5" s="51"/>
      <c r="J5" s="55"/>
      <c r="K5" s="14" t="s">
        <v>17</v>
      </c>
      <c r="L5" s="15" t="s">
        <v>36</v>
      </c>
      <c r="M5" s="51"/>
      <c r="N5" s="55"/>
      <c r="O5" s="14" t="s">
        <v>17</v>
      </c>
      <c r="P5" s="15" t="s">
        <v>36</v>
      </c>
      <c r="Q5" s="51"/>
      <c r="R5" s="40"/>
      <c r="S5" s="27"/>
      <c r="T5" s="34"/>
      <c r="U5" s="27"/>
      <c r="V5" s="27"/>
      <c r="W5" s="34"/>
      <c r="X5" s="27"/>
      <c r="Y5" s="27"/>
      <c r="Z5" s="37"/>
      <c r="AA5" s="40"/>
      <c r="AB5" s="34"/>
      <c r="AC5" s="49"/>
    </row>
    <row r="6" spans="1:29" ht="36" customHeight="1">
      <c r="A6" s="24" t="s">
        <v>16</v>
      </c>
      <c r="B6" s="34"/>
      <c r="C6" s="34"/>
      <c r="D6" s="22" t="s">
        <v>4</v>
      </c>
      <c r="E6" s="25" t="s">
        <v>15</v>
      </c>
      <c r="F6" s="26"/>
      <c r="G6" s="14" t="s">
        <v>14</v>
      </c>
      <c r="H6" s="20" t="s">
        <v>40</v>
      </c>
      <c r="I6" s="14" t="s">
        <v>14</v>
      </c>
      <c r="J6" s="15" t="s">
        <v>41</v>
      </c>
      <c r="K6" s="14" t="s">
        <v>14</v>
      </c>
      <c r="L6" s="15" t="s">
        <v>42</v>
      </c>
      <c r="M6" s="14" t="s">
        <v>14</v>
      </c>
      <c r="N6" s="15" t="s">
        <v>43</v>
      </c>
      <c r="O6" s="14" t="s">
        <v>14</v>
      </c>
      <c r="P6" s="15" t="s">
        <v>42</v>
      </c>
      <c r="Q6" s="14" t="s">
        <v>14</v>
      </c>
      <c r="R6" s="15" t="s">
        <v>44</v>
      </c>
      <c r="S6" s="22" t="s">
        <v>45</v>
      </c>
      <c r="T6" s="22" t="s">
        <v>13</v>
      </c>
      <c r="U6" s="22" t="s">
        <v>12</v>
      </c>
      <c r="V6" s="22" t="s">
        <v>31</v>
      </c>
      <c r="W6" s="22" t="s">
        <v>11</v>
      </c>
      <c r="X6" s="22" t="s">
        <v>10</v>
      </c>
      <c r="Y6" s="22" t="s">
        <v>33</v>
      </c>
      <c r="Z6" s="25" t="s">
        <v>9</v>
      </c>
      <c r="AA6" s="26"/>
      <c r="AB6" s="15" t="s">
        <v>29</v>
      </c>
      <c r="AC6" s="21" t="s">
        <v>8</v>
      </c>
    </row>
    <row r="7" spans="1:29">
      <c r="A7" s="9" t="s">
        <v>46</v>
      </c>
      <c r="B7" s="8" t="s">
        <v>47</v>
      </c>
      <c r="C7" s="8" t="s">
        <v>48</v>
      </c>
      <c r="D7" s="8" t="s">
        <v>46</v>
      </c>
      <c r="E7" s="7" t="s">
        <v>49</v>
      </c>
      <c r="F7" s="7" t="s">
        <v>50</v>
      </c>
      <c r="G7" s="3" t="s">
        <v>51</v>
      </c>
      <c r="H7" s="6" t="s">
        <v>52</v>
      </c>
      <c r="I7" s="3" t="s">
        <v>53</v>
      </c>
      <c r="J7" s="6" t="s">
        <v>54</v>
      </c>
      <c r="K7" s="3"/>
      <c r="L7" s="6"/>
      <c r="M7" s="3" t="s">
        <v>55</v>
      </c>
      <c r="N7" s="6" t="s">
        <v>56</v>
      </c>
      <c r="O7" s="3"/>
      <c r="P7" s="6"/>
      <c r="Q7" s="3" t="s">
        <v>57</v>
      </c>
      <c r="R7" s="6" t="s">
        <v>58</v>
      </c>
      <c r="S7" s="5">
        <f>11480.11</f>
        <v>11480.11</v>
      </c>
      <c r="T7" s="4">
        <f>760</f>
        <v>760</v>
      </c>
      <c r="U7" s="4"/>
      <c r="V7" s="4">
        <v>8</v>
      </c>
      <c r="W7" s="4">
        <f>8755945000</f>
        <v>8755945000</v>
      </c>
      <c r="X7" s="4"/>
      <c r="Y7" s="4">
        <v>92222000</v>
      </c>
      <c r="Z7" s="3" t="s">
        <v>59</v>
      </c>
      <c r="AA7" s="2">
        <f>14</f>
        <v>14</v>
      </c>
      <c r="AB7" s="2" t="str">
        <f t="shared" ref="AB7:AB38" si="0">"－"</f>
        <v>－</v>
      </c>
      <c r="AC7" s="1">
        <f>18</f>
        <v>18</v>
      </c>
    </row>
    <row r="8" spans="1:29">
      <c r="A8" s="9" t="s">
        <v>46</v>
      </c>
      <c r="B8" s="8" t="s">
        <v>47</v>
      </c>
      <c r="C8" s="8" t="s">
        <v>48</v>
      </c>
      <c r="D8" s="8" t="s">
        <v>60</v>
      </c>
      <c r="E8" s="7" t="s">
        <v>61</v>
      </c>
      <c r="F8" s="7" t="s">
        <v>62</v>
      </c>
      <c r="G8" s="3" t="s">
        <v>51</v>
      </c>
      <c r="H8" s="6" t="s">
        <v>63</v>
      </c>
      <c r="I8" s="3" t="s">
        <v>64</v>
      </c>
      <c r="J8" s="6" t="s">
        <v>65</v>
      </c>
      <c r="K8" s="3"/>
      <c r="L8" s="6"/>
      <c r="M8" s="3" t="s">
        <v>55</v>
      </c>
      <c r="N8" s="6" t="s">
        <v>66</v>
      </c>
      <c r="O8" s="3"/>
      <c r="P8" s="6"/>
      <c r="Q8" s="3" t="s">
        <v>67</v>
      </c>
      <c r="R8" s="6" t="s">
        <v>68</v>
      </c>
      <c r="S8" s="5">
        <f>11516.48</f>
        <v>11516.48</v>
      </c>
      <c r="T8" s="4">
        <f>2207</f>
        <v>2207</v>
      </c>
      <c r="U8" s="4"/>
      <c r="V8" s="4">
        <v>79</v>
      </c>
      <c r="W8" s="4">
        <f>25472040000</f>
        <v>25472040000</v>
      </c>
      <c r="X8" s="4"/>
      <c r="Y8" s="4">
        <v>905995000</v>
      </c>
      <c r="Z8" s="3"/>
      <c r="AA8" s="2">
        <f>749</f>
        <v>749</v>
      </c>
      <c r="AB8" s="2" t="str">
        <f t="shared" si="0"/>
        <v>－</v>
      </c>
      <c r="AC8" s="1">
        <f>21</f>
        <v>21</v>
      </c>
    </row>
    <row r="9" spans="1:29">
      <c r="A9" s="9" t="s">
        <v>46</v>
      </c>
      <c r="B9" s="8" t="s">
        <v>47</v>
      </c>
      <c r="C9" s="8" t="s">
        <v>48</v>
      </c>
      <c r="D9" s="8" t="s">
        <v>69</v>
      </c>
      <c r="E9" s="7" t="s">
        <v>70</v>
      </c>
      <c r="F9" s="7" t="s">
        <v>71</v>
      </c>
      <c r="G9" s="3" t="s">
        <v>51</v>
      </c>
      <c r="H9" s="6" t="s">
        <v>72</v>
      </c>
      <c r="I9" s="3" t="s">
        <v>64</v>
      </c>
      <c r="J9" s="6" t="s">
        <v>73</v>
      </c>
      <c r="K9" s="3" t="s">
        <v>74</v>
      </c>
      <c r="L9" s="6" t="s">
        <v>75</v>
      </c>
      <c r="M9" s="3" t="s">
        <v>55</v>
      </c>
      <c r="N9" s="6" t="s">
        <v>76</v>
      </c>
      <c r="O9" s="3" t="s">
        <v>77</v>
      </c>
      <c r="P9" s="6" t="s">
        <v>78</v>
      </c>
      <c r="Q9" s="3" t="s">
        <v>67</v>
      </c>
      <c r="R9" s="6" t="s">
        <v>79</v>
      </c>
      <c r="S9" s="5">
        <f>11517.95</f>
        <v>11517.95</v>
      </c>
      <c r="T9" s="4">
        <f>3633</f>
        <v>3633</v>
      </c>
      <c r="U9" s="4">
        <v>3</v>
      </c>
      <c r="V9" s="4">
        <v>175</v>
      </c>
      <c r="W9" s="4">
        <f>41735479000</f>
        <v>41735479000</v>
      </c>
      <c r="X9" s="4">
        <v>35266000</v>
      </c>
      <c r="Y9" s="4">
        <v>2000347000</v>
      </c>
      <c r="Z9" s="3"/>
      <c r="AA9" s="2">
        <f>1658</f>
        <v>1658</v>
      </c>
      <c r="AB9" s="2" t="str">
        <f t="shared" si="0"/>
        <v>－</v>
      </c>
      <c r="AC9" s="1">
        <f>21</f>
        <v>21</v>
      </c>
    </row>
    <row r="10" spans="1:29">
      <c r="A10" s="9" t="s">
        <v>46</v>
      </c>
      <c r="B10" s="8" t="s">
        <v>47</v>
      </c>
      <c r="C10" s="8" t="s">
        <v>48</v>
      </c>
      <c r="D10" s="8" t="s">
        <v>80</v>
      </c>
      <c r="E10" s="7" t="s">
        <v>81</v>
      </c>
      <c r="F10" s="7" t="s">
        <v>82</v>
      </c>
      <c r="G10" s="3" t="s">
        <v>51</v>
      </c>
      <c r="H10" s="6" t="s">
        <v>72</v>
      </c>
      <c r="I10" s="3" t="s">
        <v>64</v>
      </c>
      <c r="J10" s="6" t="s">
        <v>73</v>
      </c>
      <c r="K10" s="3"/>
      <c r="L10" s="6"/>
      <c r="M10" s="3" t="s">
        <v>55</v>
      </c>
      <c r="N10" s="6" t="s">
        <v>83</v>
      </c>
      <c r="O10" s="3"/>
      <c r="P10" s="6"/>
      <c r="Q10" s="3" t="s">
        <v>67</v>
      </c>
      <c r="R10" s="6" t="s">
        <v>84</v>
      </c>
      <c r="S10" s="5">
        <f>11516.81</f>
        <v>11516.81</v>
      </c>
      <c r="T10" s="4">
        <f>9494</f>
        <v>9494</v>
      </c>
      <c r="U10" s="4"/>
      <c r="V10" s="4">
        <v>1143</v>
      </c>
      <c r="W10" s="4">
        <f>108916596000</f>
        <v>108916596000</v>
      </c>
      <c r="X10" s="4"/>
      <c r="Y10" s="4">
        <v>13113779000</v>
      </c>
      <c r="Z10" s="3"/>
      <c r="AA10" s="2">
        <f>2034</f>
        <v>2034</v>
      </c>
      <c r="AB10" s="2" t="str">
        <f t="shared" si="0"/>
        <v>－</v>
      </c>
      <c r="AC10" s="1">
        <f>21</f>
        <v>21</v>
      </c>
    </row>
    <row r="11" spans="1:29">
      <c r="A11" s="9" t="s">
        <v>46</v>
      </c>
      <c r="B11" s="8" t="s">
        <v>47</v>
      </c>
      <c r="C11" s="8" t="s">
        <v>48</v>
      </c>
      <c r="D11" s="8" t="s">
        <v>85</v>
      </c>
      <c r="E11" s="7" t="s">
        <v>86</v>
      </c>
      <c r="F11" s="7" t="s">
        <v>87</v>
      </c>
      <c r="G11" s="3" t="s">
        <v>51</v>
      </c>
      <c r="H11" s="6" t="s">
        <v>72</v>
      </c>
      <c r="I11" s="3" t="s">
        <v>64</v>
      </c>
      <c r="J11" s="6" t="s">
        <v>88</v>
      </c>
      <c r="K11" s="3" t="s">
        <v>89</v>
      </c>
      <c r="L11" s="6" t="s">
        <v>90</v>
      </c>
      <c r="M11" s="3" t="s">
        <v>55</v>
      </c>
      <c r="N11" s="6" t="s">
        <v>91</v>
      </c>
      <c r="O11" s="3" t="s">
        <v>55</v>
      </c>
      <c r="P11" s="6" t="s">
        <v>92</v>
      </c>
      <c r="Q11" s="3" t="s">
        <v>67</v>
      </c>
      <c r="R11" s="6" t="s">
        <v>93</v>
      </c>
      <c r="S11" s="5">
        <f>11517.24</f>
        <v>11517.24</v>
      </c>
      <c r="T11" s="4">
        <f>140608</f>
        <v>140608</v>
      </c>
      <c r="U11" s="4">
        <v>22</v>
      </c>
      <c r="V11" s="4">
        <v>6930</v>
      </c>
      <c r="W11" s="4">
        <f>1613748075000</f>
        <v>1613748075000</v>
      </c>
      <c r="X11" s="4">
        <v>257368000</v>
      </c>
      <c r="Y11" s="4">
        <v>79841296000</v>
      </c>
      <c r="Z11" s="3"/>
      <c r="AA11" s="2">
        <f>3999</f>
        <v>3999</v>
      </c>
      <c r="AB11" s="2" t="str">
        <f t="shared" si="0"/>
        <v>－</v>
      </c>
      <c r="AC11" s="1">
        <f>21</f>
        <v>21</v>
      </c>
    </row>
    <row r="12" spans="1:29">
      <c r="A12" s="9" t="s">
        <v>46</v>
      </c>
      <c r="B12" s="8" t="s">
        <v>47</v>
      </c>
      <c r="C12" s="8" t="s">
        <v>48</v>
      </c>
      <c r="D12" s="8" t="s">
        <v>94</v>
      </c>
      <c r="E12" s="7" t="s">
        <v>95</v>
      </c>
      <c r="F12" s="7" t="s">
        <v>96</v>
      </c>
      <c r="G12" s="3" t="s">
        <v>51</v>
      </c>
      <c r="H12" s="6" t="s">
        <v>97</v>
      </c>
      <c r="I12" s="3" t="s">
        <v>64</v>
      </c>
      <c r="J12" s="6" t="s">
        <v>88</v>
      </c>
      <c r="K12" s="3" t="s">
        <v>64</v>
      </c>
      <c r="L12" s="6" t="s">
        <v>98</v>
      </c>
      <c r="M12" s="3" t="s">
        <v>55</v>
      </c>
      <c r="N12" s="6" t="s">
        <v>99</v>
      </c>
      <c r="O12" s="3" t="s">
        <v>64</v>
      </c>
      <c r="P12" s="6" t="s">
        <v>100</v>
      </c>
      <c r="Q12" s="3" t="s">
        <v>67</v>
      </c>
      <c r="R12" s="6" t="s">
        <v>101</v>
      </c>
      <c r="S12" s="5">
        <f>11517.14</f>
        <v>11517.14</v>
      </c>
      <c r="T12" s="4">
        <f>1386650</f>
        <v>1386650</v>
      </c>
      <c r="U12" s="4">
        <v>52</v>
      </c>
      <c r="V12" s="4">
        <v>10023</v>
      </c>
      <c r="W12" s="4">
        <f>15971798280000</f>
        <v>15971798280000</v>
      </c>
      <c r="X12" s="4">
        <v>603325000</v>
      </c>
      <c r="Y12" s="4">
        <v>116287740000</v>
      </c>
      <c r="Z12" s="3"/>
      <c r="AA12" s="2">
        <f>27639</f>
        <v>27639</v>
      </c>
      <c r="AB12" s="2" t="str">
        <f t="shared" si="0"/>
        <v>－</v>
      </c>
      <c r="AC12" s="1">
        <f>21</f>
        <v>21</v>
      </c>
    </row>
    <row r="13" spans="1:29">
      <c r="A13" s="9" t="s">
        <v>46</v>
      </c>
      <c r="B13" s="8" t="s">
        <v>47</v>
      </c>
      <c r="C13" s="8" t="s">
        <v>48</v>
      </c>
      <c r="D13" s="8" t="s">
        <v>102</v>
      </c>
      <c r="E13" s="7" t="s">
        <v>103</v>
      </c>
      <c r="F13" s="7" t="s">
        <v>104</v>
      </c>
      <c r="G13" s="3" t="s">
        <v>105</v>
      </c>
      <c r="H13" s="6" t="s">
        <v>106</v>
      </c>
      <c r="I13" s="3" t="s">
        <v>67</v>
      </c>
      <c r="J13" s="6" t="s">
        <v>107</v>
      </c>
      <c r="K13" s="3" t="s">
        <v>108</v>
      </c>
      <c r="L13" s="6" t="s">
        <v>109</v>
      </c>
      <c r="M13" s="3" t="s">
        <v>105</v>
      </c>
      <c r="N13" s="6" t="s">
        <v>110</v>
      </c>
      <c r="O13" s="3" t="s">
        <v>108</v>
      </c>
      <c r="P13" s="6" t="s">
        <v>109</v>
      </c>
      <c r="Q13" s="3" t="s">
        <v>67</v>
      </c>
      <c r="R13" s="6" t="s">
        <v>101</v>
      </c>
      <c r="S13" s="5">
        <f>11684.67</f>
        <v>11684.67</v>
      </c>
      <c r="T13" s="4">
        <f>119353</f>
        <v>119353</v>
      </c>
      <c r="U13" s="4">
        <v>30</v>
      </c>
      <c r="V13" s="4">
        <v>4066</v>
      </c>
      <c r="W13" s="4">
        <f>1403367180000</f>
        <v>1403367180000</v>
      </c>
      <c r="X13" s="4">
        <v>348600000</v>
      </c>
      <c r="Y13" s="4">
        <v>47741814000</v>
      </c>
      <c r="Z13" s="3"/>
      <c r="AA13" s="2">
        <f>12271</f>
        <v>12271</v>
      </c>
      <c r="AB13" s="2" t="str">
        <f t="shared" si="0"/>
        <v>－</v>
      </c>
      <c r="AC13" s="1">
        <f>3</f>
        <v>3</v>
      </c>
    </row>
    <row r="14" spans="1:29">
      <c r="A14" s="9" t="s">
        <v>46</v>
      </c>
      <c r="B14" s="8" t="s">
        <v>111</v>
      </c>
      <c r="C14" s="8" t="s">
        <v>112</v>
      </c>
      <c r="D14" s="8" t="s">
        <v>46</v>
      </c>
      <c r="E14" s="7" t="s">
        <v>49</v>
      </c>
      <c r="F14" s="7" t="s">
        <v>113</v>
      </c>
      <c r="G14" s="3" t="s">
        <v>51</v>
      </c>
      <c r="H14" s="6" t="s">
        <v>114</v>
      </c>
      <c r="I14" s="3" t="s">
        <v>64</v>
      </c>
      <c r="J14" s="6" t="s">
        <v>115</v>
      </c>
      <c r="K14" s="3"/>
      <c r="L14" s="6"/>
      <c r="M14" s="3" t="s">
        <v>51</v>
      </c>
      <c r="N14" s="6" t="s">
        <v>114</v>
      </c>
      <c r="O14" s="3"/>
      <c r="P14" s="6"/>
      <c r="Q14" s="3" t="s">
        <v>53</v>
      </c>
      <c r="R14" s="6" t="s">
        <v>116</v>
      </c>
      <c r="S14" s="5">
        <f>11476.94</f>
        <v>11476.94</v>
      </c>
      <c r="T14" s="4">
        <f>213</f>
        <v>213</v>
      </c>
      <c r="U14" s="4"/>
      <c r="V14" s="4"/>
      <c r="W14" s="4">
        <f>239592950</f>
        <v>239592950</v>
      </c>
      <c r="X14" s="4"/>
      <c r="Y14" s="4"/>
      <c r="Z14" s="3" t="s">
        <v>59</v>
      </c>
      <c r="AA14" s="2">
        <f>253</f>
        <v>253</v>
      </c>
      <c r="AB14" s="2" t="str">
        <f t="shared" si="0"/>
        <v>－</v>
      </c>
      <c r="AC14" s="1">
        <f>16</f>
        <v>16</v>
      </c>
    </row>
    <row r="15" spans="1:29">
      <c r="A15" s="9" t="s">
        <v>46</v>
      </c>
      <c r="B15" s="8" t="s">
        <v>111</v>
      </c>
      <c r="C15" s="8" t="s">
        <v>112</v>
      </c>
      <c r="D15" s="8" t="s">
        <v>60</v>
      </c>
      <c r="E15" s="7" t="s">
        <v>61</v>
      </c>
      <c r="F15" s="7" t="s">
        <v>117</v>
      </c>
      <c r="G15" s="3" t="s">
        <v>51</v>
      </c>
      <c r="H15" s="6" t="s">
        <v>118</v>
      </c>
      <c r="I15" s="3" t="s">
        <v>67</v>
      </c>
      <c r="J15" s="6" t="s">
        <v>119</v>
      </c>
      <c r="K15" s="3"/>
      <c r="L15" s="6"/>
      <c r="M15" s="3" t="s">
        <v>55</v>
      </c>
      <c r="N15" s="6" t="s">
        <v>120</v>
      </c>
      <c r="O15" s="3"/>
      <c r="P15" s="6"/>
      <c r="Q15" s="3" t="s">
        <v>67</v>
      </c>
      <c r="R15" s="6" t="s">
        <v>121</v>
      </c>
      <c r="S15" s="5">
        <f>11516.48</f>
        <v>11516.48</v>
      </c>
      <c r="T15" s="4">
        <f>232</f>
        <v>232</v>
      </c>
      <c r="U15" s="4"/>
      <c r="V15" s="4"/>
      <c r="W15" s="4">
        <f>266594100</f>
        <v>266594100</v>
      </c>
      <c r="X15" s="4"/>
      <c r="Y15" s="4"/>
      <c r="Z15" s="3"/>
      <c r="AA15" s="2">
        <f>334</f>
        <v>334</v>
      </c>
      <c r="AB15" s="2" t="str">
        <f t="shared" si="0"/>
        <v>－</v>
      </c>
      <c r="AC15" s="1">
        <f>20</f>
        <v>20</v>
      </c>
    </row>
    <row r="16" spans="1:29">
      <c r="A16" s="9" t="s">
        <v>46</v>
      </c>
      <c r="B16" s="8" t="s">
        <v>111</v>
      </c>
      <c r="C16" s="8" t="s">
        <v>112</v>
      </c>
      <c r="D16" s="8" t="s">
        <v>69</v>
      </c>
      <c r="E16" s="7" t="s">
        <v>70</v>
      </c>
      <c r="F16" s="7" t="s">
        <v>122</v>
      </c>
      <c r="G16" s="3" t="s">
        <v>51</v>
      </c>
      <c r="H16" s="6" t="s">
        <v>123</v>
      </c>
      <c r="I16" s="3" t="s">
        <v>64</v>
      </c>
      <c r="J16" s="6" t="s">
        <v>124</v>
      </c>
      <c r="K16" s="3"/>
      <c r="L16" s="6"/>
      <c r="M16" s="3" t="s">
        <v>55</v>
      </c>
      <c r="N16" s="6" t="s">
        <v>125</v>
      </c>
      <c r="O16" s="3"/>
      <c r="P16" s="6"/>
      <c r="Q16" s="3" t="s">
        <v>67</v>
      </c>
      <c r="R16" s="6" t="s">
        <v>126</v>
      </c>
      <c r="S16" s="5">
        <f>11517.95</f>
        <v>11517.95</v>
      </c>
      <c r="T16" s="4">
        <f>1209</f>
        <v>1209</v>
      </c>
      <c r="U16" s="4"/>
      <c r="V16" s="4"/>
      <c r="W16" s="4">
        <f>1380463100</f>
        <v>1380463100</v>
      </c>
      <c r="X16" s="4"/>
      <c r="Y16" s="4"/>
      <c r="Z16" s="3"/>
      <c r="AA16" s="2">
        <f>640</f>
        <v>640</v>
      </c>
      <c r="AB16" s="2" t="str">
        <f t="shared" si="0"/>
        <v>－</v>
      </c>
      <c r="AC16" s="1">
        <f>21</f>
        <v>21</v>
      </c>
    </row>
    <row r="17" spans="1:29">
      <c r="A17" s="9" t="s">
        <v>46</v>
      </c>
      <c r="B17" s="8" t="s">
        <v>111</v>
      </c>
      <c r="C17" s="8" t="s">
        <v>112</v>
      </c>
      <c r="D17" s="8" t="s">
        <v>80</v>
      </c>
      <c r="E17" s="7" t="s">
        <v>81</v>
      </c>
      <c r="F17" s="7" t="s">
        <v>127</v>
      </c>
      <c r="G17" s="3" t="s">
        <v>51</v>
      </c>
      <c r="H17" s="6" t="s">
        <v>128</v>
      </c>
      <c r="I17" s="3" t="s">
        <v>64</v>
      </c>
      <c r="J17" s="6" t="s">
        <v>129</v>
      </c>
      <c r="K17" s="3"/>
      <c r="L17" s="6"/>
      <c r="M17" s="3" t="s">
        <v>51</v>
      </c>
      <c r="N17" s="6" t="s">
        <v>130</v>
      </c>
      <c r="O17" s="3"/>
      <c r="P17" s="6"/>
      <c r="Q17" s="3" t="s">
        <v>67</v>
      </c>
      <c r="R17" s="6" t="s">
        <v>131</v>
      </c>
      <c r="S17" s="5">
        <f>11516.81</f>
        <v>11516.81</v>
      </c>
      <c r="T17" s="4">
        <f>1083</f>
        <v>1083</v>
      </c>
      <c r="U17" s="4"/>
      <c r="V17" s="4"/>
      <c r="W17" s="4">
        <f>1241005050</f>
        <v>1241005050</v>
      </c>
      <c r="X17" s="4"/>
      <c r="Y17" s="4"/>
      <c r="Z17" s="3"/>
      <c r="AA17" s="2">
        <f>1600</f>
        <v>1600</v>
      </c>
      <c r="AB17" s="2" t="str">
        <f t="shared" si="0"/>
        <v>－</v>
      </c>
      <c r="AC17" s="1">
        <f>21</f>
        <v>21</v>
      </c>
    </row>
    <row r="18" spans="1:29">
      <c r="A18" s="9" t="s">
        <v>46</v>
      </c>
      <c r="B18" s="8" t="s">
        <v>111</v>
      </c>
      <c r="C18" s="8" t="s">
        <v>112</v>
      </c>
      <c r="D18" s="8" t="s">
        <v>85</v>
      </c>
      <c r="E18" s="7" t="s">
        <v>86</v>
      </c>
      <c r="F18" s="7" t="s">
        <v>132</v>
      </c>
      <c r="G18" s="3" t="s">
        <v>51</v>
      </c>
      <c r="H18" s="6" t="s">
        <v>133</v>
      </c>
      <c r="I18" s="3" t="s">
        <v>64</v>
      </c>
      <c r="J18" s="6" t="s">
        <v>134</v>
      </c>
      <c r="K18" s="3"/>
      <c r="L18" s="6"/>
      <c r="M18" s="3" t="s">
        <v>55</v>
      </c>
      <c r="N18" s="6" t="s">
        <v>135</v>
      </c>
      <c r="O18" s="3"/>
      <c r="P18" s="6"/>
      <c r="Q18" s="3" t="s">
        <v>67</v>
      </c>
      <c r="R18" s="6" t="s">
        <v>136</v>
      </c>
      <c r="S18" s="5">
        <f>11517.24</f>
        <v>11517.24</v>
      </c>
      <c r="T18" s="4">
        <f>6714</f>
        <v>6714</v>
      </c>
      <c r="U18" s="4"/>
      <c r="V18" s="4"/>
      <c r="W18" s="4">
        <f>7729173750</f>
        <v>7729173750</v>
      </c>
      <c r="X18" s="4"/>
      <c r="Y18" s="4"/>
      <c r="Z18" s="3"/>
      <c r="AA18" s="2">
        <f>2465</f>
        <v>2465</v>
      </c>
      <c r="AB18" s="2" t="str">
        <f t="shared" si="0"/>
        <v>－</v>
      </c>
      <c r="AC18" s="1">
        <f>21</f>
        <v>21</v>
      </c>
    </row>
    <row r="19" spans="1:29">
      <c r="A19" s="9" t="s">
        <v>46</v>
      </c>
      <c r="B19" s="8" t="s">
        <v>111</v>
      </c>
      <c r="C19" s="8" t="s">
        <v>112</v>
      </c>
      <c r="D19" s="8" t="s">
        <v>94</v>
      </c>
      <c r="E19" s="7" t="s">
        <v>95</v>
      </c>
      <c r="F19" s="7" t="s">
        <v>137</v>
      </c>
      <c r="G19" s="3" t="s">
        <v>51</v>
      </c>
      <c r="H19" s="6" t="s">
        <v>138</v>
      </c>
      <c r="I19" s="3" t="s">
        <v>64</v>
      </c>
      <c r="J19" s="6" t="s">
        <v>139</v>
      </c>
      <c r="K19" s="3" t="s">
        <v>140</v>
      </c>
      <c r="L19" s="6" t="s">
        <v>141</v>
      </c>
      <c r="M19" s="3" t="s">
        <v>55</v>
      </c>
      <c r="N19" s="6" t="s">
        <v>142</v>
      </c>
      <c r="O19" s="3" t="s">
        <v>143</v>
      </c>
      <c r="P19" s="6" t="s">
        <v>144</v>
      </c>
      <c r="Q19" s="3" t="s">
        <v>67</v>
      </c>
      <c r="R19" s="6" t="s">
        <v>145</v>
      </c>
      <c r="S19" s="5">
        <f>11517.14</f>
        <v>11517.14</v>
      </c>
      <c r="T19" s="4">
        <f>251102</f>
        <v>251102</v>
      </c>
      <c r="U19" s="4">
        <v>43</v>
      </c>
      <c r="V19" s="4">
        <v>2</v>
      </c>
      <c r="W19" s="4">
        <f>289813680050</f>
        <v>289813680050</v>
      </c>
      <c r="X19" s="4">
        <v>48758000</v>
      </c>
      <c r="Y19" s="4">
        <v>2362850</v>
      </c>
      <c r="Z19" s="3"/>
      <c r="AA19" s="2">
        <f>4391</f>
        <v>4391</v>
      </c>
      <c r="AB19" s="2" t="str">
        <f t="shared" si="0"/>
        <v>－</v>
      </c>
      <c r="AC19" s="1">
        <f>21</f>
        <v>21</v>
      </c>
    </row>
    <row r="20" spans="1:29">
      <c r="A20" s="9" t="s">
        <v>46</v>
      </c>
      <c r="B20" s="8" t="s">
        <v>111</v>
      </c>
      <c r="C20" s="8" t="s">
        <v>112</v>
      </c>
      <c r="D20" s="8" t="s">
        <v>102</v>
      </c>
      <c r="E20" s="7" t="s">
        <v>103</v>
      </c>
      <c r="F20" s="7" t="s">
        <v>146</v>
      </c>
      <c r="G20" s="3" t="s">
        <v>105</v>
      </c>
      <c r="H20" s="6" t="s">
        <v>147</v>
      </c>
      <c r="I20" s="3" t="s">
        <v>67</v>
      </c>
      <c r="J20" s="6" t="s">
        <v>148</v>
      </c>
      <c r="K20" s="3"/>
      <c r="L20" s="6"/>
      <c r="M20" s="3" t="s">
        <v>105</v>
      </c>
      <c r="N20" s="6" t="s">
        <v>149</v>
      </c>
      <c r="O20" s="3"/>
      <c r="P20" s="6"/>
      <c r="Q20" s="3" t="s">
        <v>67</v>
      </c>
      <c r="R20" s="6" t="s">
        <v>150</v>
      </c>
      <c r="S20" s="5">
        <f>11684.67</f>
        <v>11684.67</v>
      </c>
      <c r="T20" s="4">
        <f>28107</f>
        <v>28107</v>
      </c>
      <c r="U20" s="4"/>
      <c r="V20" s="4">
        <v>2</v>
      </c>
      <c r="W20" s="4">
        <f>33018084650</f>
        <v>33018084650</v>
      </c>
      <c r="X20" s="4"/>
      <c r="Y20" s="4">
        <v>2363050</v>
      </c>
      <c r="Z20" s="3"/>
      <c r="AA20" s="2">
        <f>2523</f>
        <v>2523</v>
      </c>
      <c r="AB20" s="2" t="str">
        <f t="shared" si="0"/>
        <v>－</v>
      </c>
      <c r="AC20" s="1">
        <f>3</f>
        <v>3</v>
      </c>
    </row>
    <row r="21" spans="1:29">
      <c r="A21" s="9" t="s">
        <v>46</v>
      </c>
      <c r="B21" s="8" t="s">
        <v>151</v>
      </c>
      <c r="C21" s="8" t="s">
        <v>152</v>
      </c>
      <c r="D21" s="8" t="s">
        <v>153</v>
      </c>
      <c r="E21" s="7" t="s">
        <v>153</v>
      </c>
      <c r="F21" s="7" t="s">
        <v>153</v>
      </c>
      <c r="G21" s="3" t="s">
        <v>51</v>
      </c>
      <c r="H21" s="6" t="s">
        <v>154</v>
      </c>
      <c r="I21" s="3" t="s">
        <v>64</v>
      </c>
      <c r="J21" s="6" t="s">
        <v>155</v>
      </c>
      <c r="K21" s="3" t="s">
        <v>156</v>
      </c>
      <c r="L21" s="6" t="s">
        <v>157</v>
      </c>
      <c r="M21" s="3" t="s">
        <v>55</v>
      </c>
      <c r="N21" s="6" t="s">
        <v>158</v>
      </c>
      <c r="O21" s="3" t="s">
        <v>159</v>
      </c>
      <c r="P21" s="6" t="s">
        <v>160</v>
      </c>
      <c r="Q21" s="3" t="s">
        <v>67</v>
      </c>
      <c r="R21" s="6" t="s">
        <v>161</v>
      </c>
      <c r="S21" s="5">
        <f>11515.52</f>
        <v>11515.52</v>
      </c>
      <c r="T21" s="4">
        <f>382608</f>
        <v>382608</v>
      </c>
      <c r="U21" s="4">
        <v>106</v>
      </c>
      <c r="V21" s="4"/>
      <c r="W21" s="4">
        <f>442072397300</f>
        <v>442072397300</v>
      </c>
      <c r="X21" s="4">
        <v>123017500</v>
      </c>
      <c r="Y21" s="4"/>
      <c r="Z21" s="3"/>
      <c r="AA21" s="2">
        <f>101653</f>
        <v>101653</v>
      </c>
      <c r="AB21" s="2" t="str">
        <f t="shared" si="0"/>
        <v>－</v>
      </c>
      <c r="AC21" s="1">
        <f>21</f>
        <v>21</v>
      </c>
    </row>
    <row r="22" spans="1:29">
      <c r="A22" s="9" t="s">
        <v>46</v>
      </c>
      <c r="B22" s="8" t="s">
        <v>162</v>
      </c>
      <c r="C22" s="8" t="s">
        <v>163</v>
      </c>
      <c r="D22" s="8" t="s">
        <v>46</v>
      </c>
      <c r="E22" s="7" t="s">
        <v>49</v>
      </c>
      <c r="F22" s="7" t="s">
        <v>50</v>
      </c>
      <c r="G22" s="3" t="s">
        <v>51</v>
      </c>
      <c r="H22" s="6" t="s">
        <v>164</v>
      </c>
      <c r="I22" s="3" t="s">
        <v>77</v>
      </c>
      <c r="J22" s="6" t="s">
        <v>165</v>
      </c>
      <c r="K22" s="3"/>
      <c r="L22" s="6"/>
      <c r="M22" s="3" t="s">
        <v>51</v>
      </c>
      <c r="N22" s="6" t="s">
        <v>164</v>
      </c>
      <c r="O22" s="3"/>
      <c r="P22" s="6"/>
      <c r="Q22" s="3" t="s">
        <v>89</v>
      </c>
      <c r="R22" s="6" t="s">
        <v>165</v>
      </c>
      <c r="S22" s="5">
        <f>134.5</f>
        <v>134.5</v>
      </c>
      <c r="T22" s="4">
        <f>49</f>
        <v>49</v>
      </c>
      <c r="U22" s="4"/>
      <c r="V22" s="4"/>
      <c r="W22" s="4">
        <f>64459000</f>
        <v>64459000</v>
      </c>
      <c r="X22" s="4"/>
      <c r="Y22" s="4"/>
      <c r="Z22" s="3" t="s">
        <v>59</v>
      </c>
      <c r="AA22" s="2">
        <f>27</f>
        <v>27</v>
      </c>
      <c r="AB22" s="2" t="str">
        <f t="shared" si="0"/>
        <v>－</v>
      </c>
      <c r="AC22" s="1">
        <f>5</f>
        <v>5</v>
      </c>
    </row>
    <row r="23" spans="1:29">
      <c r="A23" s="9" t="s">
        <v>46</v>
      </c>
      <c r="B23" s="8" t="s">
        <v>162</v>
      </c>
      <c r="C23" s="8" t="s">
        <v>163</v>
      </c>
      <c r="D23" s="8" t="s">
        <v>60</v>
      </c>
      <c r="E23" s="7" t="s">
        <v>61</v>
      </c>
      <c r="F23" s="7" t="s">
        <v>62</v>
      </c>
      <c r="G23" s="3" t="s">
        <v>51</v>
      </c>
      <c r="H23" s="6" t="s">
        <v>166</v>
      </c>
      <c r="I23" s="3" t="s">
        <v>57</v>
      </c>
      <c r="J23" s="6" t="s">
        <v>167</v>
      </c>
      <c r="K23" s="3"/>
      <c r="L23" s="6"/>
      <c r="M23" s="3" t="s">
        <v>51</v>
      </c>
      <c r="N23" s="6" t="s">
        <v>166</v>
      </c>
      <c r="O23" s="3"/>
      <c r="P23" s="6"/>
      <c r="Q23" s="3" t="s">
        <v>57</v>
      </c>
      <c r="R23" s="6" t="s">
        <v>167</v>
      </c>
      <c r="S23" s="5">
        <f>135.66</f>
        <v>135.66</v>
      </c>
      <c r="T23" s="4">
        <f>5</f>
        <v>5</v>
      </c>
      <c r="U23" s="4"/>
      <c r="V23" s="4"/>
      <c r="W23" s="4">
        <f>19476000</f>
        <v>19476000</v>
      </c>
      <c r="X23" s="4"/>
      <c r="Y23" s="4"/>
      <c r="Z23" s="3"/>
      <c r="AA23" s="2">
        <f>17</f>
        <v>17</v>
      </c>
      <c r="AB23" s="2" t="str">
        <f t="shared" si="0"/>
        <v>－</v>
      </c>
      <c r="AC23" s="1">
        <f>4</f>
        <v>4</v>
      </c>
    </row>
    <row r="24" spans="1:29">
      <c r="A24" s="9" t="s">
        <v>46</v>
      </c>
      <c r="B24" s="8" t="s">
        <v>162</v>
      </c>
      <c r="C24" s="8" t="s">
        <v>163</v>
      </c>
      <c r="D24" s="8" t="s">
        <v>69</v>
      </c>
      <c r="E24" s="7" t="s">
        <v>70</v>
      </c>
      <c r="F24" s="7" t="s">
        <v>71</v>
      </c>
      <c r="G24" s="3" t="s">
        <v>55</v>
      </c>
      <c r="H24" s="6" t="s">
        <v>168</v>
      </c>
      <c r="I24" s="3" t="s">
        <v>77</v>
      </c>
      <c r="J24" s="6" t="s">
        <v>169</v>
      </c>
      <c r="K24" s="3"/>
      <c r="L24" s="6"/>
      <c r="M24" s="3" t="s">
        <v>55</v>
      </c>
      <c r="N24" s="6" t="s">
        <v>168</v>
      </c>
      <c r="O24" s="3"/>
      <c r="P24" s="6"/>
      <c r="Q24" s="3" t="s">
        <v>77</v>
      </c>
      <c r="R24" s="6" t="s">
        <v>169</v>
      </c>
      <c r="S24" s="5">
        <f>135.51</f>
        <v>135.51</v>
      </c>
      <c r="T24" s="4">
        <f>7</f>
        <v>7</v>
      </c>
      <c r="U24" s="4"/>
      <c r="V24" s="4"/>
      <c r="W24" s="4">
        <f>28494000</f>
        <v>28494000</v>
      </c>
      <c r="X24" s="4"/>
      <c r="Y24" s="4"/>
      <c r="Z24" s="3"/>
      <c r="AA24" s="2">
        <f>51</f>
        <v>51</v>
      </c>
      <c r="AB24" s="2" t="str">
        <f t="shared" si="0"/>
        <v>－</v>
      </c>
      <c r="AC24" s="1">
        <f>4</f>
        <v>4</v>
      </c>
    </row>
    <row r="25" spans="1:29">
      <c r="A25" s="9" t="s">
        <v>46</v>
      </c>
      <c r="B25" s="8" t="s">
        <v>162</v>
      </c>
      <c r="C25" s="8" t="s">
        <v>163</v>
      </c>
      <c r="D25" s="8" t="s">
        <v>80</v>
      </c>
      <c r="E25" s="7" t="s">
        <v>81</v>
      </c>
      <c r="F25" s="7" t="s">
        <v>82</v>
      </c>
      <c r="G25" s="3" t="s">
        <v>77</v>
      </c>
      <c r="H25" s="6" t="s">
        <v>165</v>
      </c>
      <c r="I25" s="3" t="s">
        <v>77</v>
      </c>
      <c r="J25" s="6" t="s">
        <v>169</v>
      </c>
      <c r="K25" s="3"/>
      <c r="L25" s="6"/>
      <c r="M25" s="3" t="s">
        <v>77</v>
      </c>
      <c r="N25" s="6" t="s">
        <v>165</v>
      </c>
      <c r="O25" s="3"/>
      <c r="P25" s="6"/>
      <c r="Q25" s="3" t="s">
        <v>77</v>
      </c>
      <c r="R25" s="6" t="s">
        <v>169</v>
      </c>
      <c r="S25" s="5">
        <f>135.33</f>
        <v>135.33000000000001</v>
      </c>
      <c r="T25" s="4">
        <f>4</f>
        <v>4</v>
      </c>
      <c r="U25" s="4"/>
      <c r="V25" s="4"/>
      <c r="W25" s="4">
        <f>16830000</f>
        <v>16830000</v>
      </c>
      <c r="X25" s="4"/>
      <c r="Y25" s="4"/>
      <c r="Z25" s="3"/>
      <c r="AA25" s="2">
        <f>23</f>
        <v>23</v>
      </c>
      <c r="AB25" s="2" t="str">
        <f t="shared" si="0"/>
        <v>－</v>
      </c>
      <c r="AC25" s="1">
        <f>1</f>
        <v>1</v>
      </c>
    </row>
    <row r="26" spans="1:29">
      <c r="A26" s="9" t="s">
        <v>46</v>
      </c>
      <c r="B26" s="8" t="s">
        <v>162</v>
      </c>
      <c r="C26" s="8" t="s">
        <v>163</v>
      </c>
      <c r="D26" s="8" t="s">
        <v>85</v>
      </c>
      <c r="E26" s="7" t="s">
        <v>86</v>
      </c>
      <c r="F26" s="7" t="s">
        <v>87</v>
      </c>
      <c r="G26" s="3" t="s">
        <v>51</v>
      </c>
      <c r="H26" s="6" t="s">
        <v>170</v>
      </c>
      <c r="I26" s="3" t="s">
        <v>156</v>
      </c>
      <c r="J26" s="6" t="s">
        <v>169</v>
      </c>
      <c r="K26" s="3"/>
      <c r="L26" s="6"/>
      <c r="M26" s="3" t="s">
        <v>51</v>
      </c>
      <c r="N26" s="6" t="s">
        <v>170</v>
      </c>
      <c r="O26" s="3"/>
      <c r="P26" s="6"/>
      <c r="Q26" s="3" t="s">
        <v>156</v>
      </c>
      <c r="R26" s="6" t="s">
        <v>169</v>
      </c>
      <c r="S26" s="5">
        <f>135.38</f>
        <v>135.38</v>
      </c>
      <c r="T26" s="4">
        <f>19</f>
        <v>19</v>
      </c>
      <c r="U26" s="4"/>
      <c r="V26" s="4"/>
      <c r="W26" s="4">
        <f>77040000</f>
        <v>77040000</v>
      </c>
      <c r="X26" s="4"/>
      <c r="Y26" s="4"/>
      <c r="Z26" s="3"/>
      <c r="AA26" s="2">
        <f>21</f>
        <v>21</v>
      </c>
      <c r="AB26" s="2" t="str">
        <f t="shared" si="0"/>
        <v>－</v>
      </c>
      <c r="AC26" s="1">
        <f>8</f>
        <v>8</v>
      </c>
    </row>
    <row r="27" spans="1:29">
      <c r="A27" s="9" t="s">
        <v>46</v>
      </c>
      <c r="B27" s="8" t="s">
        <v>162</v>
      </c>
      <c r="C27" s="8" t="s">
        <v>163</v>
      </c>
      <c r="D27" s="8" t="s">
        <v>94</v>
      </c>
      <c r="E27" s="7" t="s">
        <v>95</v>
      </c>
      <c r="F27" s="7" t="s">
        <v>96</v>
      </c>
      <c r="G27" s="3" t="s">
        <v>51</v>
      </c>
      <c r="H27" s="6" t="s">
        <v>171</v>
      </c>
      <c r="I27" s="3" t="s">
        <v>172</v>
      </c>
      <c r="J27" s="6" t="s">
        <v>173</v>
      </c>
      <c r="K27" s="3"/>
      <c r="L27" s="6"/>
      <c r="M27" s="3" t="s">
        <v>55</v>
      </c>
      <c r="N27" s="6" t="s">
        <v>174</v>
      </c>
      <c r="O27" s="3"/>
      <c r="P27" s="6"/>
      <c r="Q27" s="3" t="s">
        <v>67</v>
      </c>
      <c r="R27" s="6" t="s">
        <v>175</v>
      </c>
      <c r="S27" s="5">
        <f>136.05</f>
        <v>136.05000000000001</v>
      </c>
      <c r="T27" s="4">
        <f>133</f>
        <v>133</v>
      </c>
      <c r="U27" s="4"/>
      <c r="V27" s="4"/>
      <c r="W27" s="4">
        <f>546543000</f>
        <v>546543000</v>
      </c>
      <c r="X27" s="4"/>
      <c r="Y27" s="4"/>
      <c r="Z27" s="3"/>
      <c r="AA27" s="2">
        <f>65</f>
        <v>65</v>
      </c>
      <c r="AB27" s="2" t="str">
        <f t="shared" si="0"/>
        <v>－</v>
      </c>
      <c r="AC27" s="1">
        <f>20</f>
        <v>20</v>
      </c>
    </row>
    <row r="28" spans="1:29">
      <c r="A28" s="9" t="s">
        <v>46</v>
      </c>
      <c r="B28" s="8" t="s">
        <v>162</v>
      </c>
      <c r="C28" s="8" t="s">
        <v>163</v>
      </c>
      <c r="D28" s="8" t="s">
        <v>102</v>
      </c>
      <c r="E28" s="7" t="s">
        <v>103</v>
      </c>
      <c r="F28" s="7" t="s">
        <v>104</v>
      </c>
      <c r="G28" s="3" t="s">
        <v>108</v>
      </c>
      <c r="H28" s="6" t="s">
        <v>176</v>
      </c>
      <c r="I28" s="3" t="s">
        <v>108</v>
      </c>
      <c r="J28" s="6" t="s">
        <v>177</v>
      </c>
      <c r="K28" s="3"/>
      <c r="L28" s="6"/>
      <c r="M28" s="3" t="s">
        <v>67</v>
      </c>
      <c r="N28" s="6" t="s">
        <v>178</v>
      </c>
      <c r="O28" s="3"/>
      <c r="P28" s="6"/>
      <c r="Q28" s="3" t="s">
        <v>67</v>
      </c>
      <c r="R28" s="6" t="s">
        <v>178</v>
      </c>
      <c r="S28" s="5">
        <f>136.87</f>
        <v>136.87</v>
      </c>
      <c r="T28" s="4">
        <f>17</f>
        <v>17</v>
      </c>
      <c r="U28" s="4"/>
      <c r="V28" s="4"/>
      <c r="W28" s="4">
        <f>70101000</f>
        <v>70101000</v>
      </c>
      <c r="X28" s="4"/>
      <c r="Y28" s="4"/>
      <c r="Z28" s="3"/>
      <c r="AA28" s="2">
        <f>17</f>
        <v>17</v>
      </c>
      <c r="AB28" s="2" t="str">
        <f t="shared" si="0"/>
        <v>－</v>
      </c>
      <c r="AC28" s="1">
        <f>2</f>
        <v>2</v>
      </c>
    </row>
    <row r="29" spans="1:29">
      <c r="A29" s="9" t="s">
        <v>46</v>
      </c>
      <c r="B29" s="8" t="s">
        <v>179</v>
      </c>
      <c r="C29" s="8" t="s">
        <v>180</v>
      </c>
      <c r="D29" s="8" t="s">
        <v>46</v>
      </c>
      <c r="E29" s="7" t="s">
        <v>49</v>
      </c>
      <c r="F29" s="7" t="s">
        <v>50</v>
      </c>
      <c r="G29" s="3" t="s">
        <v>51</v>
      </c>
      <c r="H29" s="6" t="s">
        <v>181</v>
      </c>
      <c r="I29" s="3" t="s">
        <v>156</v>
      </c>
      <c r="J29" s="6" t="s">
        <v>182</v>
      </c>
      <c r="K29" s="3"/>
      <c r="L29" s="6"/>
      <c r="M29" s="3" t="s">
        <v>55</v>
      </c>
      <c r="N29" s="6" t="s">
        <v>183</v>
      </c>
      <c r="O29" s="3"/>
      <c r="P29" s="6"/>
      <c r="Q29" s="3" t="s">
        <v>57</v>
      </c>
      <c r="R29" s="6" t="s">
        <v>184</v>
      </c>
      <c r="S29" s="5">
        <f>4618.17</f>
        <v>4618.17</v>
      </c>
      <c r="T29" s="4">
        <f>2651</f>
        <v>2651</v>
      </c>
      <c r="U29" s="4"/>
      <c r="V29" s="4">
        <v>62</v>
      </c>
      <c r="W29" s="4">
        <f>6103838500</f>
        <v>6103838500</v>
      </c>
      <c r="X29" s="4"/>
      <c r="Y29" s="4">
        <v>144184000</v>
      </c>
      <c r="Z29" s="3" t="s">
        <v>59</v>
      </c>
      <c r="AA29" s="2">
        <f>1146</f>
        <v>1146</v>
      </c>
      <c r="AB29" s="2" t="str">
        <f t="shared" si="0"/>
        <v>－</v>
      </c>
      <c r="AC29" s="1">
        <f>18</f>
        <v>18</v>
      </c>
    </row>
    <row r="30" spans="1:29">
      <c r="A30" s="9" t="s">
        <v>46</v>
      </c>
      <c r="B30" s="8" t="s">
        <v>179</v>
      </c>
      <c r="C30" s="8" t="s">
        <v>180</v>
      </c>
      <c r="D30" s="8" t="s">
        <v>60</v>
      </c>
      <c r="E30" s="7" t="s">
        <v>61</v>
      </c>
      <c r="F30" s="7" t="s">
        <v>62</v>
      </c>
      <c r="G30" s="3" t="s">
        <v>51</v>
      </c>
      <c r="H30" s="6" t="s">
        <v>185</v>
      </c>
      <c r="I30" s="3" t="s">
        <v>156</v>
      </c>
      <c r="J30" s="6" t="s">
        <v>186</v>
      </c>
      <c r="K30" s="3"/>
      <c r="L30" s="6"/>
      <c r="M30" s="3" t="s">
        <v>55</v>
      </c>
      <c r="N30" s="6" t="s">
        <v>187</v>
      </c>
      <c r="O30" s="3"/>
      <c r="P30" s="6"/>
      <c r="Q30" s="3" t="s">
        <v>67</v>
      </c>
      <c r="R30" s="6" t="s">
        <v>188</v>
      </c>
      <c r="S30" s="5">
        <f>4633.86</f>
        <v>4633.8599999999997</v>
      </c>
      <c r="T30" s="4">
        <f>1778</f>
        <v>1778</v>
      </c>
      <c r="U30" s="4"/>
      <c r="V30" s="4">
        <v>176</v>
      </c>
      <c r="W30" s="4">
        <f>4135273500</f>
        <v>4135273500</v>
      </c>
      <c r="X30" s="4"/>
      <c r="Y30" s="4">
        <v>408538000</v>
      </c>
      <c r="Z30" s="3"/>
      <c r="AA30" s="2">
        <f>622</f>
        <v>622</v>
      </c>
      <c r="AB30" s="2" t="str">
        <f t="shared" si="0"/>
        <v>－</v>
      </c>
      <c r="AC30" s="1">
        <f>21</f>
        <v>21</v>
      </c>
    </row>
    <row r="31" spans="1:29">
      <c r="A31" s="9" t="s">
        <v>46</v>
      </c>
      <c r="B31" s="8" t="s">
        <v>179</v>
      </c>
      <c r="C31" s="8" t="s">
        <v>180</v>
      </c>
      <c r="D31" s="8" t="s">
        <v>69</v>
      </c>
      <c r="E31" s="7" t="s">
        <v>70</v>
      </c>
      <c r="F31" s="7" t="s">
        <v>71</v>
      </c>
      <c r="G31" s="3" t="s">
        <v>51</v>
      </c>
      <c r="H31" s="6" t="s">
        <v>189</v>
      </c>
      <c r="I31" s="3" t="s">
        <v>156</v>
      </c>
      <c r="J31" s="6" t="s">
        <v>190</v>
      </c>
      <c r="K31" s="3"/>
      <c r="L31" s="6"/>
      <c r="M31" s="3" t="s">
        <v>55</v>
      </c>
      <c r="N31" s="6" t="s">
        <v>191</v>
      </c>
      <c r="O31" s="3"/>
      <c r="P31" s="6"/>
      <c r="Q31" s="3" t="s">
        <v>67</v>
      </c>
      <c r="R31" s="6" t="s">
        <v>192</v>
      </c>
      <c r="S31" s="5">
        <f>4633.57</f>
        <v>4633.57</v>
      </c>
      <c r="T31" s="4">
        <f>2601</f>
        <v>2601</v>
      </c>
      <c r="U31" s="4"/>
      <c r="V31" s="4">
        <v>204</v>
      </c>
      <c r="W31" s="4">
        <f>6009682500</f>
        <v>6009682500</v>
      </c>
      <c r="X31" s="4"/>
      <c r="Y31" s="4">
        <v>473347000</v>
      </c>
      <c r="Z31" s="3"/>
      <c r="AA31" s="2">
        <f>1089</f>
        <v>1089</v>
      </c>
      <c r="AB31" s="2" t="str">
        <f t="shared" si="0"/>
        <v>－</v>
      </c>
      <c r="AC31" s="1">
        <f>21</f>
        <v>21</v>
      </c>
    </row>
    <row r="32" spans="1:29">
      <c r="A32" s="9" t="s">
        <v>46</v>
      </c>
      <c r="B32" s="8" t="s">
        <v>179</v>
      </c>
      <c r="C32" s="8" t="s">
        <v>180</v>
      </c>
      <c r="D32" s="8" t="s">
        <v>80</v>
      </c>
      <c r="E32" s="7" t="s">
        <v>81</v>
      </c>
      <c r="F32" s="7" t="s">
        <v>82</v>
      </c>
      <c r="G32" s="3" t="s">
        <v>51</v>
      </c>
      <c r="H32" s="6" t="s">
        <v>193</v>
      </c>
      <c r="I32" s="3" t="s">
        <v>156</v>
      </c>
      <c r="J32" s="6" t="s">
        <v>194</v>
      </c>
      <c r="K32" s="3" t="s">
        <v>156</v>
      </c>
      <c r="L32" s="6" t="s">
        <v>195</v>
      </c>
      <c r="M32" s="3" t="s">
        <v>55</v>
      </c>
      <c r="N32" s="6" t="s">
        <v>196</v>
      </c>
      <c r="O32" s="3" t="s">
        <v>156</v>
      </c>
      <c r="P32" s="6" t="s">
        <v>195</v>
      </c>
      <c r="Q32" s="3" t="s">
        <v>67</v>
      </c>
      <c r="R32" s="6" t="s">
        <v>197</v>
      </c>
      <c r="S32" s="5">
        <f>4630.19</f>
        <v>4630.1899999999996</v>
      </c>
      <c r="T32" s="4">
        <f>4936</f>
        <v>4936</v>
      </c>
      <c r="U32" s="4">
        <v>5</v>
      </c>
      <c r="V32" s="4">
        <v>573</v>
      </c>
      <c r="W32" s="4">
        <f>11399058500</f>
        <v>11399058500</v>
      </c>
      <c r="X32" s="4">
        <v>12075000</v>
      </c>
      <c r="Y32" s="4">
        <v>1319649000</v>
      </c>
      <c r="Z32" s="3"/>
      <c r="AA32" s="2">
        <f>1615</f>
        <v>1615</v>
      </c>
      <c r="AB32" s="2" t="str">
        <f t="shared" si="0"/>
        <v>－</v>
      </c>
      <c r="AC32" s="1">
        <f>21</f>
        <v>21</v>
      </c>
    </row>
    <row r="33" spans="1:29">
      <c r="A33" s="9" t="s">
        <v>46</v>
      </c>
      <c r="B33" s="8" t="s">
        <v>179</v>
      </c>
      <c r="C33" s="8" t="s">
        <v>180</v>
      </c>
      <c r="D33" s="8" t="s">
        <v>85</v>
      </c>
      <c r="E33" s="7" t="s">
        <v>86</v>
      </c>
      <c r="F33" s="7" t="s">
        <v>87</v>
      </c>
      <c r="G33" s="3" t="s">
        <v>51</v>
      </c>
      <c r="H33" s="6" t="s">
        <v>198</v>
      </c>
      <c r="I33" s="3" t="s">
        <v>156</v>
      </c>
      <c r="J33" s="6" t="s">
        <v>199</v>
      </c>
      <c r="K33" s="3"/>
      <c r="L33" s="6"/>
      <c r="M33" s="3" t="s">
        <v>55</v>
      </c>
      <c r="N33" s="6" t="s">
        <v>200</v>
      </c>
      <c r="O33" s="3"/>
      <c r="P33" s="6"/>
      <c r="Q33" s="3" t="s">
        <v>67</v>
      </c>
      <c r="R33" s="6" t="s">
        <v>201</v>
      </c>
      <c r="S33" s="5">
        <f>4632.62</f>
        <v>4632.62</v>
      </c>
      <c r="T33" s="4">
        <f>20962</f>
        <v>20962</v>
      </c>
      <c r="U33" s="4"/>
      <c r="V33" s="4">
        <v>3493</v>
      </c>
      <c r="W33" s="4">
        <f>48451671000</f>
        <v>48451671000</v>
      </c>
      <c r="X33" s="4"/>
      <c r="Y33" s="4">
        <v>8094560000</v>
      </c>
      <c r="Z33" s="3"/>
      <c r="AA33" s="2">
        <f>3127</f>
        <v>3127</v>
      </c>
      <c r="AB33" s="2" t="str">
        <f t="shared" si="0"/>
        <v>－</v>
      </c>
      <c r="AC33" s="1">
        <f>21</f>
        <v>21</v>
      </c>
    </row>
    <row r="34" spans="1:29">
      <c r="A34" s="9" t="s">
        <v>46</v>
      </c>
      <c r="B34" s="8" t="s">
        <v>179</v>
      </c>
      <c r="C34" s="8" t="s">
        <v>180</v>
      </c>
      <c r="D34" s="8" t="s">
        <v>94</v>
      </c>
      <c r="E34" s="7" t="s">
        <v>95</v>
      </c>
      <c r="F34" s="7" t="s">
        <v>96</v>
      </c>
      <c r="G34" s="3" t="s">
        <v>51</v>
      </c>
      <c r="H34" s="6" t="s">
        <v>202</v>
      </c>
      <c r="I34" s="3" t="s">
        <v>156</v>
      </c>
      <c r="J34" s="6" t="s">
        <v>203</v>
      </c>
      <c r="K34" s="3" t="s">
        <v>156</v>
      </c>
      <c r="L34" s="6" t="s">
        <v>204</v>
      </c>
      <c r="M34" s="3" t="s">
        <v>55</v>
      </c>
      <c r="N34" s="6" t="s">
        <v>196</v>
      </c>
      <c r="O34" s="3" t="s">
        <v>172</v>
      </c>
      <c r="P34" s="6" t="s">
        <v>205</v>
      </c>
      <c r="Q34" s="3" t="s">
        <v>67</v>
      </c>
      <c r="R34" s="6" t="s">
        <v>206</v>
      </c>
      <c r="S34" s="5">
        <f>4638.29</f>
        <v>4638.29</v>
      </c>
      <c r="T34" s="4">
        <f>247069</f>
        <v>247069</v>
      </c>
      <c r="U34" s="4">
        <v>168</v>
      </c>
      <c r="V34" s="4">
        <v>5086</v>
      </c>
      <c r="W34" s="4">
        <f>575289507000</f>
        <v>575289507000</v>
      </c>
      <c r="X34" s="4">
        <v>401172000</v>
      </c>
      <c r="Y34" s="4">
        <v>11819845000</v>
      </c>
      <c r="Z34" s="3"/>
      <c r="AA34" s="2">
        <f>15032</f>
        <v>15032</v>
      </c>
      <c r="AB34" s="2" t="str">
        <f t="shared" si="0"/>
        <v>－</v>
      </c>
      <c r="AC34" s="1">
        <f>21</f>
        <v>21</v>
      </c>
    </row>
    <row r="35" spans="1:29">
      <c r="A35" s="9" t="s">
        <v>46</v>
      </c>
      <c r="B35" s="8" t="s">
        <v>179</v>
      </c>
      <c r="C35" s="8" t="s">
        <v>180</v>
      </c>
      <c r="D35" s="8" t="s">
        <v>102</v>
      </c>
      <c r="E35" s="7" t="s">
        <v>103</v>
      </c>
      <c r="F35" s="7" t="s">
        <v>104</v>
      </c>
      <c r="G35" s="3" t="s">
        <v>105</v>
      </c>
      <c r="H35" s="6" t="s">
        <v>207</v>
      </c>
      <c r="I35" s="3" t="s">
        <v>67</v>
      </c>
      <c r="J35" s="6" t="s">
        <v>208</v>
      </c>
      <c r="K35" s="3"/>
      <c r="L35" s="6"/>
      <c r="M35" s="3" t="s">
        <v>108</v>
      </c>
      <c r="N35" s="6" t="s">
        <v>209</v>
      </c>
      <c r="O35" s="3"/>
      <c r="P35" s="6"/>
      <c r="Q35" s="3" t="s">
        <v>67</v>
      </c>
      <c r="R35" s="6" t="s">
        <v>210</v>
      </c>
      <c r="S35" s="5">
        <f>4643.67</f>
        <v>4643.67</v>
      </c>
      <c r="T35" s="4">
        <f>21985</f>
        <v>21985</v>
      </c>
      <c r="U35" s="4"/>
      <c r="V35" s="4">
        <v>2062</v>
      </c>
      <c r="W35" s="4">
        <f>51348263000</f>
        <v>51348263000</v>
      </c>
      <c r="X35" s="4"/>
      <c r="Y35" s="4">
        <v>4804111500</v>
      </c>
      <c r="Z35" s="3"/>
      <c r="AA35" s="2">
        <f>4273</f>
        <v>4273</v>
      </c>
      <c r="AB35" s="2" t="str">
        <f t="shared" si="0"/>
        <v>－</v>
      </c>
      <c r="AC35" s="1">
        <f>3</f>
        <v>3</v>
      </c>
    </row>
    <row r="36" spans="1:29">
      <c r="A36" s="9" t="s">
        <v>46</v>
      </c>
      <c r="B36" s="8" t="s">
        <v>211</v>
      </c>
      <c r="C36" s="8" t="s">
        <v>212</v>
      </c>
      <c r="D36" s="8" t="s">
        <v>46</v>
      </c>
      <c r="E36" s="7" t="s">
        <v>49</v>
      </c>
      <c r="F36" s="7" t="s">
        <v>113</v>
      </c>
      <c r="G36" s="3" t="s">
        <v>51</v>
      </c>
      <c r="H36" s="6" t="s">
        <v>213</v>
      </c>
      <c r="I36" s="3" t="s">
        <v>156</v>
      </c>
      <c r="J36" s="6" t="s">
        <v>214</v>
      </c>
      <c r="K36" s="3"/>
      <c r="L36" s="6"/>
      <c r="M36" s="3" t="s">
        <v>51</v>
      </c>
      <c r="N36" s="6" t="s">
        <v>215</v>
      </c>
      <c r="O36" s="3"/>
      <c r="P36" s="6"/>
      <c r="Q36" s="3" t="s">
        <v>53</v>
      </c>
      <c r="R36" s="6" t="s">
        <v>216</v>
      </c>
      <c r="S36" s="5">
        <f>4624.94</f>
        <v>4624.9399999999996</v>
      </c>
      <c r="T36" s="4">
        <f>442</f>
        <v>442</v>
      </c>
      <c r="U36" s="4"/>
      <c r="V36" s="4"/>
      <c r="W36" s="4">
        <f>204724700</f>
        <v>204724700</v>
      </c>
      <c r="X36" s="4"/>
      <c r="Y36" s="4"/>
      <c r="Z36" s="3" t="s">
        <v>59</v>
      </c>
      <c r="AA36" s="2">
        <f>14</f>
        <v>14</v>
      </c>
      <c r="AB36" s="2" t="str">
        <f t="shared" si="0"/>
        <v>－</v>
      </c>
      <c r="AC36" s="1">
        <f>15</f>
        <v>15</v>
      </c>
    </row>
    <row r="37" spans="1:29">
      <c r="A37" s="9" t="s">
        <v>46</v>
      </c>
      <c r="B37" s="8" t="s">
        <v>211</v>
      </c>
      <c r="C37" s="8" t="s">
        <v>212</v>
      </c>
      <c r="D37" s="8" t="s">
        <v>60</v>
      </c>
      <c r="E37" s="7" t="s">
        <v>61</v>
      </c>
      <c r="F37" s="7" t="s">
        <v>117</v>
      </c>
      <c r="G37" s="3" t="s">
        <v>55</v>
      </c>
      <c r="H37" s="6" t="s">
        <v>217</v>
      </c>
      <c r="I37" s="3" t="s">
        <v>156</v>
      </c>
      <c r="J37" s="6" t="s">
        <v>218</v>
      </c>
      <c r="K37" s="3"/>
      <c r="L37" s="6"/>
      <c r="M37" s="3" t="s">
        <v>55</v>
      </c>
      <c r="N37" s="6" t="s">
        <v>219</v>
      </c>
      <c r="O37" s="3"/>
      <c r="P37" s="6"/>
      <c r="Q37" s="3" t="s">
        <v>67</v>
      </c>
      <c r="R37" s="6" t="s">
        <v>220</v>
      </c>
      <c r="S37" s="5">
        <f>4633.86</f>
        <v>4633.8599999999997</v>
      </c>
      <c r="T37" s="4">
        <f>169</f>
        <v>169</v>
      </c>
      <c r="U37" s="4"/>
      <c r="V37" s="4"/>
      <c r="W37" s="4">
        <f>78416500</f>
        <v>78416500</v>
      </c>
      <c r="X37" s="4"/>
      <c r="Y37" s="4"/>
      <c r="Z37" s="3"/>
      <c r="AA37" s="2">
        <f>102</f>
        <v>102</v>
      </c>
      <c r="AB37" s="2" t="str">
        <f t="shared" si="0"/>
        <v>－</v>
      </c>
      <c r="AC37" s="1">
        <f>16</f>
        <v>16</v>
      </c>
    </row>
    <row r="38" spans="1:29">
      <c r="A38" s="9" t="s">
        <v>46</v>
      </c>
      <c r="B38" s="8" t="s">
        <v>211</v>
      </c>
      <c r="C38" s="8" t="s">
        <v>212</v>
      </c>
      <c r="D38" s="8" t="s">
        <v>69</v>
      </c>
      <c r="E38" s="7" t="s">
        <v>70</v>
      </c>
      <c r="F38" s="7" t="s">
        <v>122</v>
      </c>
      <c r="G38" s="3" t="s">
        <v>51</v>
      </c>
      <c r="H38" s="6" t="s">
        <v>221</v>
      </c>
      <c r="I38" s="3" t="s">
        <v>156</v>
      </c>
      <c r="J38" s="6" t="s">
        <v>222</v>
      </c>
      <c r="K38" s="3"/>
      <c r="L38" s="6"/>
      <c r="M38" s="3" t="s">
        <v>51</v>
      </c>
      <c r="N38" s="6" t="s">
        <v>221</v>
      </c>
      <c r="O38" s="3"/>
      <c r="P38" s="6"/>
      <c r="Q38" s="3" t="s">
        <v>67</v>
      </c>
      <c r="R38" s="6" t="s">
        <v>223</v>
      </c>
      <c r="S38" s="5">
        <f>4633.57</f>
        <v>4633.57</v>
      </c>
      <c r="T38" s="4">
        <f>192</f>
        <v>192</v>
      </c>
      <c r="U38" s="4"/>
      <c r="V38" s="4"/>
      <c r="W38" s="4">
        <f>89208750</f>
        <v>89208750</v>
      </c>
      <c r="X38" s="4"/>
      <c r="Y38" s="4"/>
      <c r="Z38" s="3"/>
      <c r="AA38" s="2">
        <f>138</f>
        <v>138</v>
      </c>
      <c r="AB38" s="2" t="str">
        <f t="shared" si="0"/>
        <v>－</v>
      </c>
      <c r="AC38" s="1">
        <f>18</f>
        <v>18</v>
      </c>
    </row>
    <row r="39" spans="1:29">
      <c r="A39" s="9" t="s">
        <v>46</v>
      </c>
      <c r="B39" s="8" t="s">
        <v>211</v>
      </c>
      <c r="C39" s="8" t="s">
        <v>212</v>
      </c>
      <c r="D39" s="8" t="s">
        <v>80</v>
      </c>
      <c r="E39" s="7" t="s">
        <v>81</v>
      </c>
      <c r="F39" s="7" t="s">
        <v>127</v>
      </c>
      <c r="G39" s="3" t="s">
        <v>51</v>
      </c>
      <c r="H39" s="6" t="s">
        <v>224</v>
      </c>
      <c r="I39" s="3" t="s">
        <v>156</v>
      </c>
      <c r="J39" s="6" t="s">
        <v>225</v>
      </c>
      <c r="K39" s="3"/>
      <c r="L39" s="6"/>
      <c r="M39" s="3" t="s">
        <v>55</v>
      </c>
      <c r="N39" s="6" t="s">
        <v>226</v>
      </c>
      <c r="O39" s="3"/>
      <c r="P39" s="6"/>
      <c r="Q39" s="3" t="s">
        <v>67</v>
      </c>
      <c r="R39" s="6" t="s">
        <v>227</v>
      </c>
      <c r="S39" s="5">
        <f>4630.19</f>
        <v>4630.1899999999996</v>
      </c>
      <c r="T39" s="4">
        <f>344</f>
        <v>344</v>
      </c>
      <c r="U39" s="4"/>
      <c r="V39" s="4"/>
      <c r="W39" s="4">
        <f>159634700</f>
        <v>159634700</v>
      </c>
      <c r="X39" s="4"/>
      <c r="Y39" s="4"/>
      <c r="Z39" s="3"/>
      <c r="AA39" s="2">
        <f>315</f>
        <v>315</v>
      </c>
      <c r="AB39" s="2" t="str">
        <f t="shared" ref="AB39:AB70" si="1">"－"</f>
        <v>－</v>
      </c>
      <c r="AC39" s="1">
        <f>21</f>
        <v>21</v>
      </c>
    </row>
    <row r="40" spans="1:29">
      <c r="A40" s="9" t="s">
        <v>46</v>
      </c>
      <c r="B40" s="8" t="s">
        <v>211</v>
      </c>
      <c r="C40" s="8" t="s">
        <v>212</v>
      </c>
      <c r="D40" s="8" t="s">
        <v>85</v>
      </c>
      <c r="E40" s="7" t="s">
        <v>86</v>
      </c>
      <c r="F40" s="7" t="s">
        <v>132</v>
      </c>
      <c r="G40" s="3" t="s">
        <v>51</v>
      </c>
      <c r="H40" s="6" t="s">
        <v>228</v>
      </c>
      <c r="I40" s="3" t="s">
        <v>156</v>
      </c>
      <c r="J40" s="6" t="s">
        <v>229</v>
      </c>
      <c r="K40" s="3"/>
      <c r="L40" s="6"/>
      <c r="M40" s="3" t="s">
        <v>55</v>
      </c>
      <c r="N40" s="6" t="s">
        <v>230</v>
      </c>
      <c r="O40" s="3"/>
      <c r="P40" s="6"/>
      <c r="Q40" s="3" t="s">
        <v>67</v>
      </c>
      <c r="R40" s="6" t="s">
        <v>231</v>
      </c>
      <c r="S40" s="5">
        <f>4632.62</f>
        <v>4632.62</v>
      </c>
      <c r="T40" s="4">
        <f>981</f>
        <v>981</v>
      </c>
      <c r="U40" s="4"/>
      <c r="V40" s="4"/>
      <c r="W40" s="4">
        <f>457198050</f>
        <v>457198050</v>
      </c>
      <c r="X40" s="4"/>
      <c r="Y40" s="4"/>
      <c r="Z40" s="3"/>
      <c r="AA40" s="2">
        <f>434</f>
        <v>434</v>
      </c>
      <c r="AB40" s="2" t="str">
        <f t="shared" si="1"/>
        <v>－</v>
      </c>
      <c r="AC40" s="1">
        <f>21</f>
        <v>21</v>
      </c>
    </row>
    <row r="41" spans="1:29">
      <c r="A41" s="9" t="s">
        <v>46</v>
      </c>
      <c r="B41" s="8" t="s">
        <v>211</v>
      </c>
      <c r="C41" s="8" t="s">
        <v>212</v>
      </c>
      <c r="D41" s="8" t="s">
        <v>94</v>
      </c>
      <c r="E41" s="7" t="s">
        <v>95</v>
      </c>
      <c r="F41" s="7" t="s">
        <v>137</v>
      </c>
      <c r="G41" s="3" t="s">
        <v>51</v>
      </c>
      <c r="H41" s="6" t="s">
        <v>232</v>
      </c>
      <c r="I41" s="3" t="s">
        <v>156</v>
      </c>
      <c r="J41" s="6" t="s">
        <v>233</v>
      </c>
      <c r="K41" s="3" t="s">
        <v>156</v>
      </c>
      <c r="L41" s="6" t="s">
        <v>234</v>
      </c>
      <c r="M41" s="3" t="s">
        <v>55</v>
      </c>
      <c r="N41" s="6" t="s">
        <v>235</v>
      </c>
      <c r="O41" s="3" t="s">
        <v>156</v>
      </c>
      <c r="P41" s="6" t="s">
        <v>234</v>
      </c>
      <c r="Q41" s="3" t="s">
        <v>67</v>
      </c>
      <c r="R41" s="6" t="s">
        <v>236</v>
      </c>
      <c r="S41" s="5">
        <f>4638.29</f>
        <v>4638.29</v>
      </c>
      <c r="T41" s="4">
        <f>20056</f>
        <v>20056</v>
      </c>
      <c r="U41" s="4">
        <v>80</v>
      </c>
      <c r="V41" s="4"/>
      <c r="W41" s="4">
        <f>9331042150</f>
        <v>9331042150</v>
      </c>
      <c r="X41" s="4">
        <v>38676000</v>
      </c>
      <c r="Y41" s="4"/>
      <c r="Z41" s="3"/>
      <c r="AA41" s="2">
        <f>727</f>
        <v>727</v>
      </c>
      <c r="AB41" s="2" t="str">
        <f t="shared" si="1"/>
        <v>－</v>
      </c>
      <c r="AC41" s="1">
        <f>21</f>
        <v>21</v>
      </c>
    </row>
    <row r="42" spans="1:29">
      <c r="A42" s="9" t="s">
        <v>46</v>
      </c>
      <c r="B42" s="8" t="s">
        <v>211</v>
      </c>
      <c r="C42" s="8" t="s">
        <v>212</v>
      </c>
      <c r="D42" s="8" t="s">
        <v>102</v>
      </c>
      <c r="E42" s="7" t="s">
        <v>103</v>
      </c>
      <c r="F42" s="7" t="s">
        <v>146</v>
      </c>
      <c r="G42" s="3" t="s">
        <v>105</v>
      </c>
      <c r="H42" s="6" t="s">
        <v>237</v>
      </c>
      <c r="I42" s="3" t="s">
        <v>67</v>
      </c>
      <c r="J42" s="6" t="s">
        <v>238</v>
      </c>
      <c r="K42" s="3"/>
      <c r="L42" s="6"/>
      <c r="M42" s="3" t="s">
        <v>108</v>
      </c>
      <c r="N42" s="6" t="s">
        <v>239</v>
      </c>
      <c r="O42" s="3"/>
      <c r="P42" s="6"/>
      <c r="Q42" s="3" t="s">
        <v>67</v>
      </c>
      <c r="R42" s="6" t="s">
        <v>240</v>
      </c>
      <c r="S42" s="5">
        <f>4643.67</f>
        <v>4643.67</v>
      </c>
      <c r="T42" s="4">
        <f>1631</f>
        <v>1631</v>
      </c>
      <c r="U42" s="4"/>
      <c r="V42" s="4"/>
      <c r="W42" s="4">
        <f>760171050</f>
        <v>760171050</v>
      </c>
      <c r="X42" s="4"/>
      <c r="Y42" s="4"/>
      <c r="Z42" s="3"/>
      <c r="AA42" s="2">
        <f>302</f>
        <v>302</v>
      </c>
      <c r="AB42" s="2" t="str">
        <f t="shared" si="1"/>
        <v>－</v>
      </c>
      <c r="AC42" s="1">
        <f>3</f>
        <v>3</v>
      </c>
    </row>
    <row r="43" spans="1:29">
      <c r="A43" s="9" t="s">
        <v>46</v>
      </c>
      <c r="B43" s="8" t="s">
        <v>241</v>
      </c>
      <c r="C43" s="8" t="s">
        <v>242</v>
      </c>
      <c r="D43" s="8" t="s">
        <v>153</v>
      </c>
      <c r="E43" s="7" t="s">
        <v>153</v>
      </c>
      <c r="F43" s="7" t="s">
        <v>153</v>
      </c>
      <c r="G43" s="3" t="s">
        <v>51</v>
      </c>
      <c r="H43" s="6" t="s">
        <v>243</v>
      </c>
      <c r="I43" s="3" t="s">
        <v>156</v>
      </c>
      <c r="J43" s="6" t="s">
        <v>244</v>
      </c>
      <c r="K43" s="3" t="s">
        <v>156</v>
      </c>
      <c r="L43" s="6" t="s">
        <v>245</v>
      </c>
      <c r="M43" s="3" t="s">
        <v>55</v>
      </c>
      <c r="N43" s="6" t="s">
        <v>246</v>
      </c>
      <c r="O43" s="3" t="s">
        <v>156</v>
      </c>
      <c r="P43" s="6" t="s">
        <v>245</v>
      </c>
      <c r="Q43" s="3" t="s">
        <v>67</v>
      </c>
      <c r="R43" s="6" t="s">
        <v>247</v>
      </c>
      <c r="S43" s="5">
        <f>4630.95</f>
        <v>4630.95</v>
      </c>
      <c r="T43" s="4">
        <f>183219</f>
        <v>183219</v>
      </c>
      <c r="U43" s="4">
        <v>120</v>
      </c>
      <c r="V43" s="4"/>
      <c r="W43" s="4">
        <f>85193305600</f>
        <v>85193305600</v>
      </c>
      <c r="X43" s="4">
        <v>58224000</v>
      </c>
      <c r="Y43" s="4"/>
      <c r="Z43" s="3"/>
      <c r="AA43" s="2">
        <f>42734</f>
        <v>42734</v>
      </c>
      <c r="AB43" s="2" t="str">
        <f t="shared" si="1"/>
        <v>－</v>
      </c>
      <c r="AC43" s="1">
        <f>21</f>
        <v>21</v>
      </c>
    </row>
    <row r="44" spans="1:29">
      <c r="A44" s="9" t="s">
        <v>46</v>
      </c>
      <c r="B44" s="8" t="s">
        <v>248</v>
      </c>
      <c r="C44" s="8" t="s">
        <v>249</v>
      </c>
      <c r="D44" s="8" t="s">
        <v>46</v>
      </c>
      <c r="E44" s="7" t="s">
        <v>49</v>
      </c>
      <c r="F44" s="7" t="s">
        <v>50</v>
      </c>
      <c r="G44" s="3"/>
      <c r="H44" s="6" t="s">
        <v>153</v>
      </c>
      <c r="I44" s="3"/>
      <c r="J44" s="6" t="s">
        <v>153</v>
      </c>
      <c r="K44" s="3"/>
      <c r="L44" s="6"/>
      <c r="M44" s="3"/>
      <c r="N44" s="6" t="s">
        <v>153</v>
      </c>
      <c r="O44" s="3"/>
      <c r="P44" s="6"/>
      <c r="Q44" s="3"/>
      <c r="R44" s="6" t="s">
        <v>153</v>
      </c>
      <c r="S44" s="5">
        <f>5096.11</f>
        <v>5096.1099999999997</v>
      </c>
      <c r="T44" s="4" t="str">
        <f t="shared" ref="T44:T57" si="2">"－"</f>
        <v>－</v>
      </c>
      <c r="U44" s="4"/>
      <c r="V44" s="4"/>
      <c r="W44" s="4" t="str">
        <f t="shared" ref="W44:W57" si="3">"－"</f>
        <v>－</v>
      </c>
      <c r="X44" s="4"/>
      <c r="Y44" s="4"/>
      <c r="Z44" s="3" t="s">
        <v>59</v>
      </c>
      <c r="AA44" s="2" t="str">
        <f t="shared" ref="AA44:AA50" si="4">"－"</f>
        <v>－</v>
      </c>
      <c r="AB44" s="2" t="str">
        <f t="shared" si="1"/>
        <v>－</v>
      </c>
      <c r="AC44" s="1" t="str">
        <f t="shared" ref="AC44:AC57" si="5">"－"</f>
        <v>－</v>
      </c>
    </row>
    <row r="45" spans="1:29">
      <c r="A45" s="9" t="s">
        <v>46</v>
      </c>
      <c r="B45" s="8" t="s">
        <v>248</v>
      </c>
      <c r="C45" s="8" t="s">
        <v>249</v>
      </c>
      <c r="D45" s="8" t="s">
        <v>60</v>
      </c>
      <c r="E45" s="7" t="s">
        <v>61</v>
      </c>
      <c r="F45" s="7" t="s">
        <v>62</v>
      </c>
      <c r="G45" s="3"/>
      <c r="H45" s="6" t="s">
        <v>153</v>
      </c>
      <c r="I45" s="3"/>
      <c r="J45" s="6" t="s">
        <v>153</v>
      </c>
      <c r="K45" s="3"/>
      <c r="L45" s="6"/>
      <c r="M45" s="3"/>
      <c r="N45" s="6" t="s">
        <v>153</v>
      </c>
      <c r="O45" s="3"/>
      <c r="P45" s="6"/>
      <c r="Q45" s="3"/>
      <c r="R45" s="6" t="s">
        <v>153</v>
      </c>
      <c r="S45" s="5">
        <f>5082.38</f>
        <v>5082.38</v>
      </c>
      <c r="T45" s="4" t="str">
        <f t="shared" si="2"/>
        <v>－</v>
      </c>
      <c r="U45" s="4"/>
      <c r="V45" s="4"/>
      <c r="W45" s="4" t="str">
        <f t="shared" si="3"/>
        <v>－</v>
      </c>
      <c r="X45" s="4"/>
      <c r="Y45" s="4"/>
      <c r="Z45" s="3"/>
      <c r="AA45" s="2" t="str">
        <f t="shared" si="4"/>
        <v>－</v>
      </c>
      <c r="AB45" s="2" t="str">
        <f t="shared" si="1"/>
        <v>－</v>
      </c>
      <c r="AC45" s="1" t="str">
        <f t="shared" si="5"/>
        <v>－</v>
      </c>
    </row>
    <row r="46" spans="1:29">
      <c r="A46" s="9" t="s">
        <v>46</v>
      </c>
      <c r="B46" s="8" t="s">
        <v>248</v>
      </c>
      <c r="C46" s="8" t="s">
        <v>249</v>
      </c>
      <c r="D46" s="8" t="s">
        <v>69</v>
      </c>
      <c r="E46" s="7" t="s">
        <v>70</v>
      </c>
      <c r="F46" s="7" t="s">
        <v>71</v>
      </c>
      <c r="G46" s="3"/>
      <c r="H46" s="6" t="s">
        <v>153</v>
      </c>
      <c r="I46" s="3"/>
      <c r="J46" s="6" t="s">
        <v>153</v>
      </c>
      <c r="K46" s="3"/>
      <c r="L46" s="6"/>
      <c r="M46" s="3"/>
      <c r="N46" s="6" t="s">
        <v>153</v>
      </c>
      <c r="O46" s="3"/>
      <c r="P46" s="6"/>
      <c r="Q46" s="3"/>
      <c r="R46" s="6" t="s">
        <v>153</v>
      </c>
      <c r="S46" s="5">
        <f>5082.38</f>
        <v>5082.38</v>
      </c>
      <c r="T46" s="4" t="str">
        <f t="shared" si="2"/>
        <v>－</v>
      </c>
      <c r="U46" s="4"/>
      <c r="V46" s="4"/>
      <c r="W46" s="4" t="str">
        <f t="shared" si="3"/>
        <v>－</v>
      </c>
      <c r="X46" s="4"/>
      <c r="Y46" s="4"/>
      <c r="Z46" s="3"/>
      <c r="AA46" s="2" t="str">
        <f t="shared" si="4"/>
        <v>－</v>
      </c>
      <c r="AB46" s="2" t="str">
        <f t="shared" si="1"/>
        <v>－</v>
      </c>
      <c r="AC46" s="1" t="str">
        <f t="shared" si="5"/>
        <v>－</v>
      </c>
    </row>
    <row r="47" spans="1:29">
      <c r="A47" s="9" t="s">
        <v>46</v>
      </c>
      <c r="B47" s="8" t="s">
        <v>248</v>
      </c>
      <c r="C47" s="8" t="s">
        <v>249</v>
      </c>
      <c r="D47" s="8" t="s">
        <v>80</v>
      </c>
      <c r="E47" s="7" t="s">
        <v>81</v>
      </c>
      <c r="F47" s="7" t="s">
        <v>82</v>
      </c>
      <c r="G47" s="3"/>
      <c r="H47" s="6" t="s">
        <v>153</v>
      </c>
      <c r="I47" s="3"/>
      <c r="J47" s="6" t="s">
        <v>153</v>
      </c>
      <c r="K47" s="3"/>
      <c r="L47" s="6"/>
      <c r="M47" s="3"/>
      <c r="N47" s="6" t="s">
        <v>153</v>
      </c>
      <c r="O47" s="3"/>
      <c r="P47" s="6"/>
      <c r="Q47" s="3"/>
      <c r="R47" s="6" t="s">
        <v>153</v>
      </c>
      <c r="S47" s="5">
        <f>5082.38</f>
        <v>5082.38</v>
      </c>
      <c r="T47" s="4" t="str">
        <f t="shared" si="2"/>
        <v>－</v>
      </c>
      <c r="U47" s="4"/>
      <c r="V47" s="4"/>
      <c r="W47" s="4" t="str">
        <f t="shared" si="3"/>
        <v>－</v>
      </c>
      <c r="X47" s="4"/>
      <c r="Y47" s="4"/>
      <c r="Z47" s="3"/>
      <c r="AA47" s="2" t="str">
        <f t="shared" si="4"/>
        <v>－</v>
      </c>
      <c r="AB47" s="2" t="str">
        <f t="shared" si="1"/>
        <v>－</v>
      </c>
      <c r="AC47" s="1" t="str">
        <f t="shared" si="5"/>
        <v>－</v>
      </c>
    </row>
    <row r="48" spans="1:29">
      <c r="A48" s="9" t="s">
        <v>46</v>
      </c>
      <c r="B48" s="8" t="s">
        <v>248</v>
      </c>
      <c r="C48" s="8" t="s">
        <v>249</v>
      </c>
      <c r="D48" s="8" t="s">
        <v>85</v>
      </c>
      <c r="E48" s="7" t="s">
        <v>86</v>
      </c>
      <c r="F48" s="7" t="s">
        <v>87</v>
      </c>
      <c r="G48" s="3"/>
      <c r="H48" s="6" t="s">
        <v>153</v>
      </c>
      <c r="I48" s="3"/>
      <c r="J48" s="6" t="s">
        <v>153</v>
      </c>
      <c r="K48" s="3"/>
      <c r="L48" s="6"/>
      <c r="M48" s="3"/>
      <c r="N48" s="6" t="s">
        <v>153</v>
      </c>
      <c r="O48" s="3"/>
      <c r="P48" s="6"/>
      <c r="Q48" s="3"/>
      <c r="R48" s="6" t="s">
        <v>153</v>
      </c>
      <c r="S48" s="5">
        <f>5082.38</f>
        <v>5082.38</v>
      </c>
      <c r="T48" s="4" t="str">
        <f t="shared" si="2"/>
        <v>－</v>
      </c>
      <c r="U48" s="4"/>
      <c r="V48" s="4"/>
      <c r="W48" s="4" t="str">
        <f t="shared" si="3"/>
        <v>－</v>
      </c>
      <c r="X48" s="4"/>
      <c r="Y48" s="4"/>
      <c r="Z48" s="3"/>
      <c r="AA48" s="2" t="str">
        <f t="shared" si="4"/>
        <v>－</v>
      </c>
      <c r="AB48" s="2" t="str">
        <f t="shared" si="1"/>
        <v>－</v>
      </c>
      <c r="AC48" s="1" t="str">
        <f t="shared" si="5"/>
        <v>－</v>
      </c>
    </row>
    <row r="49" spans="1:29">
      <c r="A49" s="9" t="s">
        <v>46</v>
      </c>
      <c r="B49" s="8" t="s">
        <v>248</v>
      </c>
      <c r="C49" s="8" t="s">
        <v>249</v>
      </c>
      <c r="D49" s="8" t="s">
        <v>94</v>
      </c>
      <c r="E49" s="7" t="s">
        <v>95</v>
      </c>
      <c r="F49" s="7" t="s">
        <v>96</v>
      </c>
      <c r="G49" s="3"/>
      <c r="H49" s="6" t="s">
        <v>153</v>
      </c>
      <c r="I49" s="3"/>
      <c r="J49" s="6" t="s">
        <v>153</v>
      </c>
      <c r="K49" s="3"/>
      <c r="L49" s="6"/>
      <c r="M49" s="3"/>
      <c r="N49" s="6" t="s">
        <v>153</v>
      </c>
      <c r="O49" s="3"/>
      <c r="P49" s="6"/>
      <c r="Q49" s="3"/>
      <c r="R49" s="6" t="s">
        <v>153</v>
      </c>
      <c r="S49" s="5">
        <f>5082.38</f>
        <v>5082.38</v>
      </c>
      <c r="T49" s="4" t="str">
        <f t="shared" si="2"/>
        <v>－</v>
      </c>
      <c r="U49" s="4"/>
      <c r="V49" s="4"/>
      <c r="W49" s="4" t="str">
        <f t="shared" si="3"/>
        <v>－</v>
      </c>
      <c r="X49" s="4"/>
      <c r="Y49" s="4"/>
      <c r="Z49" s="3"/>
      <c r="AA49" s="2" t="str">
        <f t="shared" si="4"/>
        <v>－</v>
      </c>
      <c r="AB49" s="2" t="str">
        <f t="shared" si="1"/>
        <v>－</v>
      </c>
      <c r="AC49" s="1" t="str">
        <f t="shared" si="5"/>
        <v>－</v>
      </c>
    </row>
    <row r="50" spans="1:29">
      <c r="A50" s="9" t="s">
        <v>46</v>
      </c>
      <c r="B50" s="8" t="s">
        <v>248</v>
      </c>
      <c r="C50" s="8" t="s">
        <v>249</v>
      </c>
      <c r="D50" s="8" t="s">
        <v>102</v>
      </c>
      <c r="E50" s="7" t="s">
        <v>103</v>
      </c>
      <c r="F50" s="7" t="s">
        <v>104</v>
      </c>
      <c r="G50" s="3"/>
      <c r="H50" s="6" t="s">
        <v>153</v>
      </c>
      <c r="I50" s="3"/>
      <c r="J50" s="6" t="s">
        <v>153</v>
      </c>
      <c r="K50" s="3"/>
      <c r="L50" s="6"/>
      <c r="M50" s="3"/>
      <c r="N50" s="6" t="s">
        <v>153</v>
      </c>
      <c r="O50" s="3"/>
      <c r="P50" s="6"/>
      <c r="Q50" s="3"/>
      <c r="R50" s="6" t="s">
        <v>153</v>
      </c>
      <c r="S50" s="5">
        <f>5000</f>
        <v>5000</v>
      </c>
      <c r="T50" s="4" t="str">
        <f t="shared" si="2"/>
        <v>－</v>
      </c>
      <c r="U50" s="4"/>
      <c r="V50" s="4"/>
      <c r="W50" s="4" t="str">
        <f t="shared" si="3"/>
        <v>－</v>
      </c>
      <c r="X50" s="4"/>
      <c r="Y50" s="4"/>
      <c r="Z50" s="3"/>
      <c r="AA50" s="2" t="str">
        <f t="shared" si="4"/>
        <v>－</v>
      </c>
      <c r="AB50" s="2" t="str">
        <f t="shared" si="1"/>
        <v>－</v>
      </c>
      <c r="AC50" s="1" t="str">
        <f t="shared" si="5"/>
        <v>－</v>
      </c>
    </row>
    <row r="51" spans="1:29">
      <c r="A51" s="9" t="s">
        <v>46</v>
      </c>
      <c r="B51" s="8" t="s">
        <v>250</v>
      </c>
      <c r="C51" s="8" t="s">
        <v>251</v>
      </c>
      <c r="D51" s="8" t="s">
        <v>46</v>
      </c>
      <c r="E51" s="7" t="s">
        <v>252</v>
      </c>
      <c r="F51" s="7" t="s">
        <v>253</v>
      </c>
      <c r="G51" s="3"/>
      <c r="H51" s="6" t="s">
        <v>153</v>
      </c>
      <c r="I51" s="3"/>
      <c r="J51" s="6" t="s">
        <v>153</v>
      </c>
      <c r="K51" s="3"/>
      <c r="L51" s="6"/>
      <c r="M51" s="3"/>
      <c r="N51" s="6" t="s">
        <v>153</v>
      </c>
      <c r="O51" s="3"/>
      <c r="P51" s="6"/>
      <c r="Q51" s="3"/>
      <c r="R51" s="6" t="s">
        <v>153</v>
      </c>
      <c r="S51" s="5">
        <f>207.65</f>
        <v>207.65</v>
      </c>
      <c r="T51" s="4" t="str">
        <f t="shared" si="2"/>
        <v>－</v>
      </c>
      <c r="U51" s="4"/>
      <c r="V51" s="4"/>
      <c r="W51" s="4" t="str">
        <f t="shared" si="3"/>
        <v>－</v>
      </c>
      <c r="X51" s="4"/>
      <c r="Y51" s="4"/>
      <c r="Z51" s="3" t="s">
        <v>59</v>
      </c>
      <c r="AA51" s="2">
        <f>6</f>
        <v>6</v>
      </c>
      <c r="AB51" s="2" t="str">
        <f t="shared" si="1"/>
        <v>－</v>
      </c>
      <c r="AC51" s="1" t="str">
        <f t="shared" si="5"/>
        <v>－</v>
      </c>
    </row>
    <row r="52" spans="1:29">
      <c r="A52" s="9" t="s">
        <v>46</v>
      </c>
      <c r="B52" s="8" t="s">
        <v>250</v>
      </c>
      <c r="C52" s="8" t="s">
        <v>251</v>
      </c>
      <c r="D52" s="8" t="s">
        <v>254</v>
      </c>
      <c r="E52" s="7" t="s">
        <v>255</v>
      </c>
      <c r="F52" s="7" t="s">
        <v>256</v>
      </c>
      <c r="G52" s="3"/>
      <c r="H52" s="6" t="s">
        <v>153</v>
      </c>
      <c r="I52" s="3"/>
      <c r="J52" s="6" t="s">
        <v>153</v>
      </c>
      <c r="K52" s="3"/>
      <c r="L52" s="6"/>
      <c r="M52" s="3"/>
      <c r="N52" s="6" t="s">
        <v>153</v>
      </c>
      <c r="O52" s="3"/>
      <c r="P52" s="6"/>
      <c r="Q52" s="3"/>
      <c r="R52" s="6" t="s">
        <v>153</v>
      </c>
      <c r="S52" s="5">
        <f>209.31</f>
        <v>209.31</v>
      </c>
      <c r="T52" s="4" t="str">
        <f t="shared" si="2"/>
        <v>－</v>
      </c>
      <c r="U52" s="4"/>
      <c r="V52" s="4"/>
      <c r="W52" s="4" t="str">
        <f t="shared" si="3"/>
        <v>－</v>
      </c>
      <c r="X52" s="4"/>
      <c r="Y52" s="4"/>
      <c r="Z52" s="3"/>
      <c r="AA52" s="2" t="str">
        <f t="shared" ref="AA52:AA57" si="6">"－"</f>
        <v>－</v>
      </c>
      <c r="AB52" s="2" t="str">
        <f t="shared" si="1"/>
        <v>－</v>
      </c>
      <c r="AC52" s="1" t="str">
        <f t="shared" si="5"/>
        <v>－</v>
      </c>
    </row>
    <row r="53" spans="1:29">
      <c r="A53" s="9" t="s">
        <v>46</v>
      </c>
      <c r="B53" s="8" t="s">
        <v>250</v>
      </c>
      <c r="C53" s="8" t="s">
        <v>251</v>
      </c>
      <c r="D53" s="8" t="s">
        <v>60</v>
      </c>
      <c r="E53" s="7" t="s">
        <v>257</v>
      </c>
      <c r="F53" s="7" t="s">
        <v>258</v>
      </c>
      <c r="G53" s="3"/>
      <c r="H53" s="6" t="s">
        <v>153</v>
      </c>
      <c r="I53" s="3"/>
      <c r="J53" s="6" t="s">
        <v>153</v>
      </c>
      <c r="K53" s="3"/>
      <c r="L53" s="6"/>
      <c r="M53" s="3"/>
      <c r="N53" s="6" t="s">
        <v>153</v>
      </c>
      <c r="O53" s="3"/>
      <c r="P53" s="6"/>
      <c r="Q53" s="3"/>
      <c r="R53" s="6" t="s">
        <v>153</v>
      </c>
      <c r="S53" s="5">
        <f>207.59</f>
        <v>207.59</v>
      </c>
      <c r="T53" s="4" t="str">
        <f t="shared" si="2"/>
        <v>－</v>
      </c>
      <c r="U53" s="4"/>
      <c r="V53" s="4"/>
      <c r="W53" s="4" t="str">
        <f t="shared" si="3"/>
        <v>－</v>
      </c>
      <c r="X53" s="4"/>
      <c r="Y53" s="4"/>
      <c r="Z53" s="3"/>
      <c r="AA53" s="2" t="str">
        <f t="shared" si="6"/>
        <v>－</v>
      </c>
      <c r="AB53" s="2" t="str">
        <f t="shared" si="1"/>
        <v>－</v>
      </c>
      <c r="AC53" s="1" t="str">
        <f t="shared" si="5"/>
        <v>－</v>
      </c>
    </row>
    <row r="54" spans="1:29">
      <c r="A54" s="9" t="s">
        <v>46</v>
      </c>
      <c r="B54" s="8" t="s">
        <v>250</v>
      </c>
      <c r="C54" s="8" t="s">
        <v>251</v>
      </c>
      <c r="D54" s="8" t="s">
        <v>259</v>
      </c>
      <c r="E54" s="7" t="s">
        <v>260</v>
      </c>
      <c r="F54" s="7" t="s">
        <v>261</v>
      </c>
      <c r="G54" s="3"/>
      <c r="H54" s="6" t="s">
        <v>153</v>
      </c>
      <c r="I54" s="3"/>
      <c r="J54" s="6" t="s">
        <v>153</v>
      </c>
      <c r="K54" s="3"/>
      <c r="L54" s="6"/>
      <c r="M54" s="3"/>
      <c r="N54" s="6" t="s">
        <v>153</v>
      </c>
      <c r="O54" s="3"/>
      <c r="P54" s="6"/>
      <c r="Q54" s="3"/>
      <c r="R54" s="6" t="s">
        <v>153</v>
      </c>
      <c r="S54" s="5">
        <f>205.6</f>
        <v>205.6</v>
      </c>
      <c r="T54" s="4" t="str">
        <f t="shared" si="2"/>
        <v>－</v>
      </c>
      <c r="U54" s="4"/>
      <c r="V54" s="4"/>
      <c r="W54" s="4" t="str">
        <f t="shared" si="3"/>
        <v>－</v>
      </c>
      <c r="X54" s="4"/>
      <c r="Y54" s="4"/>
      <c r="Z54" s="3"/>
      <c r="AA54" s="2" t="str">
        <f t="shared" si="6"/>
        <v>－</v>
      </c>
      <c r="AB54" s="2" t="str">
        <f t="shared" si="1"/>
        <v>－</v>
      </c>
      <c r="AC54" s="1" t="str">
        <f t="shared" si="5"/>
        <v>－</v>
      </c>
    </row>
    <row r="55" spans="1:29">
      <c r="A55" s="9" t="s">
        <v>46</v>
      </c>
      <c r="B55" s="8" t="s">
        <v>250</v>
      </c>
      <c r="C55" s="8" t="s">
        <v>251</v>
      </c>
      <c r="D55" s="8" t="s">
        <v>69</v>
      </c>
      <c r="E55" s="7" t="s">
        <v>262</v>
      </c>
      <c r="F55" s="7" t="s">
        <v>263</v>
      </c>
      <c r="G55" s="3"/>
      <c r="H55" s="6" t="s">
        <v>153</v>
      </c>
      <c r="I55" s="3"/>
      <c r="J55" s="6" t="s">
        <v>153</v>
      </c>
      <c r="K55" s="3"/>
      <c r="L55" s="6"/>
      <c r="M55" s="3"/>
      <c r="N55" s="6" t="s">
        <v>153</v>
      </c>
      <c r="O55" s="3"/>
      <c r="P55" s="6"/>
      <c r="Q55" s="3"/>
      <c r="R55" s="6" t="s">
        <v>153</v>
      </c>
      <c r="S55" s="5">
        <f>203.43</f>
        <v>203.43</v>
      </c>
      <c r="T55" s="4" t="str">
        <f t="shared" si="2"/>
        <v>－</v>
      </c>
      <c r="U55" s="4"/>
      <c r="V55" s="4"/>
      <c r="W55" s="4" t="str">
        <f t="shared" si="3"/>
        <v>－</v>
      </c>
      <c r="X55" s="4"/>
      <c r="Y55" s="4"/>
      <c r="Z55" s="3"/>
      <c r="AA55" s="2" t="str">
        <f t="shared" si="6"/>
        <v>－</v>
      </c>
      <c r="AB55" s="2" t="str">
        <f t="shared" si="1"/>
        <v>－</v>
      </c>
      <c r="AC55" s="1" t="str">
        <f t="shared" si="5"/>
        <v>－</v>
      </c>
    </row>
    <row r="56" spans="1:29">
      <c r="A56" s="9" t="s">
        <v>46</v>
      </c>
      <c r="B56" s="8" t="s">
        <v>250</v>
      </c>
      <c r="C56" s="8" t="s">
        <v>251</v>
      </c>
      <c r="D56" s="8" t="s">
        <v>264</v>
      </c>
      <c r="E56" s="7" t="s">
        <v>265</v>
      </c>
      <c r="F56" s="7" t="s">
        <v>266</v>
      </c>
      <c r="G56" s="3"/>
      <c r="H56" s="6" t="s">
        <v>153</v>
      </c>
      <c r="I56" s="3"/>
      <c r="J56" s="6" t="s">
        <v>153</v>
      </c>
      <c r="K56" s="3"/>
      <c r="L56" s="6"/>
      <c r="M56" s="3"/>
      <c r="N56" s="6" t="s">
        <v>153</v>
      </c>
      <c r="O56" s="3"/>
      <c r="P56" s="6"/>
      <c r="Q56" s="3"/>
      <c r="R56" s="6" t="s">
        <v>153</v>
      </c>
      <c r="S56" s="5">
        <f>199.29</f>
        <v>199.29</v>
      </c>
      <c r="T56" s="4" t="str">
        <f t="shared" si="2"/>
        <v>－</v>
      </c>
      <c r="U56" s="4"/>
      <c r="V56" s="4"/>
      <c r="W56" s="4" t="str">
        <f t="shared" si="3"/>
        <v>－</v>
      </c>
      <c r="X56" s="4"/>
      <c r="Y56" s="4"/>
      <c r="Z56" s="3"/>
      <c r="AA56" s="2" t="str">
        <f t="shared" si="6"/>
        <v>－</v>
      </c>
      <c r="AB56" s="2" t="str">
        <f t="shared" si="1"/>
        <v>－</v>
      </c>
      <c r="AC56" s="1" t="str">
        <f t="shared" si="5"/>
        <v>－</v>
      </c>
    </row>
    <row r="57" spans="1:29">
      <c r="A57" s="9" t="s">
        <v>46</v>
      </c>
      <c r="B57" s="8" t="s">
        <v>250</v>
      </c>
      <c r="C57" s="8" t="s">
        <v>251</v>
      </c>
      <c r="D57" s="8" t="s">
        <v>80</v>
      </c>
      <c r="E57" s="7" t="s">
        <v>267</v>
      </c>
      <c r="F57" s="7" t="s">
        <v>268</v>
      </c>
      <c r="G57" s="3"/>
      <c r="H57" s="6" t="s">
        <v>153</v>
      </c>
      <c r="I57" s="3"/>
      <c r="J57" s="6" t="s">
        <v>153</v>
      </c>
      <c r="K57" s="3"/>
      <c r="L57" s="6"/>
      <c r="M57" s="3"/>
      <c r="N57" s="6" t="s">
        <v>153</v>
      </c>
      <c r="O57" s="3"/>
      <c r="P57" s="6"/>
      <c r="Q57" s="3"/>
      <c r="R57" s="6" t="s">
        <v>153</v>
      </c>
      <c r="S57" s="5">
        <f>197.17</f>
        <v>197.17</v>
      </c>
      <c r="T57" s="4" t="str">
        <f t="shared" si="2"/>
        <v>－</v>
      </c>
      <c r="U57" s="4"/>
      <c r="V57" s="4"/>
      <c r="W57" s="4" t="str">
        <f t="shared" si="3"/>
        <v>－</v>
      </c>
      <c r="X57" s="4"/>
      <c r="Y57" s="4"/>
      <c r="Z57" s="3"/>
      <c r="AA57" s="2" t="str">
        <f t="shared" si="6"/>
        <v>－</v>
      </c>
      <c r="AB57" s="2" t="str">
        <f t="shared" si="1"/>
        <v>－</v>
      </c>
      <c r="AC57" s="1" t="str">
        <f t="shared" si="5"/>
        <v>－</v>
      </c>
    </row>
    <row r="58" spans="1:29">
      <c r="A58" s="9" t="s">
        <v>46</v>
      </c>
      <c r="B58" s="8" t="s">
        <v>269</v>
      </c>
      <c r="C58" s="8" t="s">
        <v>270</v>
      </c>
      <c r="D58" s="8" t="s">
        <v>46</v>
      </c>
      <c r="E58" s="7" t="s">
        <v>271</v>
      </c>
      <c r="F58" s="7" t="s">
        <v>113</v>
      </c>
      <c r="G58" s="3" t="s">
        <v>51</v>
      </c>
      <c r="H58" s="6" t="s">
        <v>272</v>
      </c>
      <c r="I58" s="3" t="s">
        <v>273</v>
      </c>
      <c r="J58" s="6" t="s">
        <v>274</v>
      </c>
      <c r="K58" s="3" t="s">
        <v>275</v>
      </c>
      <c r="L58" s="6" t="s">
        <v>276</v>
      </c>
      <c r="M58" s="3" t="s">
        <v>89</v>
      </c>
      <c r="N58" s="6" t="s">
        <v>277</v>
      </c>
      <c r="O58" s="3" t="s">
        <v>172</v>
      </c>
      <c r="P58" s="6" t="s">
        <v>278</v>
      </c>
      <c r="Q58" s="3" t="s">
        <v>172</v>
      </c>
      <c r="R58" s="6" t="s">
        <v>279</v>
      </c>
      <c r="S58" s="5">
        <f>336.08</f>
        <v>336.08</v>
      </c>
      <c r="T58" s="4">
        <f>555</f>
        <v>555</v>
      </c>
      <c r="U58" s="4">
        <v>185</v>
      </c>
      <c r="V58" s="4">
        <v>131</v>
      </c>
      <c r="W58" s="4">
        <f>931355500</f>
        <v>931355500</v>
      </c>
      <c r="X58" s="4">
        <v>310595500</v>
      </c>
      <c r="Y58" s="4">
        <v>219645000</v>
      </c>
      <c r="Z58" s="3" t="s">
        <v>59</v>
      </c>
      <c r="AA58" s="2">
        <f>380</f>
        <v>380</v>
      </c>
      <c r="AB58" s="2" t="str">
        <f t="shared" si="1"/>
        <v>－</v>
      </c>
      <c r="AC58" s="1">
        <f>16</f>
        <v>16</v>
      </c>
    </row>
    <row r="59" spans="1:29">
      <c r="A59" s="9" t="s">
        <v>46</v>
      </c>
      <c r="B59" s="8" t="s">
        <v>269</v>
      </c>
      <c r="C59" s="8" t="s">
        <v>270</v>
      </c>
      <c r="D59" s="8" t="s">
        <v>254</v>
      </c>
      <c r="E59" s="7" t="s">
        <v>280</v>
      </c>
      <c r="F59" s="7" t="s">
        <v>281</v>
      </c>
      <c r="G59" s="3" t="s">
        <v>51</v>
      </c>
      <c r="H59" s="6" t="s">
        <v>282</v>
      </c>
      <c r="I59" s="3" t="s">
        <v>159</v>
      </c>
      <c r="J59" s="6" t="s">
        <v>283</v>
      </c>
      <c r="K59" s="3"/>
      <c r="L59" s="6"/>
      <c r="M59" s="3" t="s">
        <v>108</v>
      </c>
      <c r="N59" s="6" t="s">
        <v>284</v>
      </c>
      <c r="O59" s="3"/>
      <c r="P59" s="6"/>
      <c r="Q59" s="3" t="s">
        <v>67</v>
      </c>
      <c r="R59" s="6" t="s">
        <v>285</v>
      </c>
      <c r="S59" s="5">
        <f>327.77</f>
        <v>327.77</v>
      </c>
      <c r="T59" s="4">
        <f>830</f>
        <v>830</v>
      </c>
      <c r="U59" s="4"/>
      <c r="V59" s="4">
        <v>406</v>
      </c>
      <c r="W59" s="4">
        <f>1359108000</f>
        <v>1359108000</v>
      </c>
      <c r="X59" s="4"/>
      <c r="Y59" s="4">
        <v>663670000</v>
      </c>
      <c r="Z59" s="3"/>
      <c r="AA59" s="2">
        <f>663</f>
        <v>663</v>
      </c>
      <c r="AB59" s="2" t="str">
        <f t="shared" si="1"/>
        <v>－</v>
      </c>
      <c r="AC59" s="1">
        <f>21</f>
        <v>21</v>
      </c>
    </row>
    <row r="60" spans="1:29">
      <c r="A60" s="9" t="s">
        <v>46</v>
      </c>
      <c r="B60" s="8" t="s">
        <v>269</v>
      </c>
      <c r="C60" s="8" t="s">
        <v>270</v>
      </c>
      <c r="D60" s="8" t="s">
        <v>60</v>
      </c>
      <c r="E60" s="7" t="s">
        <v>286</v>
      </c>
      <c r="F60" s="7" t="s">
        <v>117</v>
      </c>
      <c r="G60" s="3" t="s">
        <v>51</v>
      </c>
      <c r="H60" s="6" t="s">
        <v>287</v>
      </c>
      <c r="I60" s="3" t="s">
        <v>159</v>
      </c>
      <c r="J60" s="6" t="s">
        <v>288</v>
      </c>
      <c r="K60" s="3"/>
      <c r="L60" s="6"/>
      <c r="M60" s="3" t="s">
        <v>108</v>
      </c>
      <c r="N60" s="6" t="s">
        <v>289</v>
      </c>
      <c r="O60" s="3"/>
      <c r="P60" s="6"/>
      <c r="Q60" s="3" t="s">
        <v>67</v>
      </c>
      <c r="R60" s="6" t="s">
        <v>290</v>
      </c>
      <c r="S60" s="5">
        <f>323.21</f>
        <v>323.20999999999998</v>
      </c>
      <c r="T60" s="4">
        <f>587</f>
        <v>587</v>
      </c>
      <c r="U60" s="4"/>
      <c r="V60" s="4">
        <v>210</v>
      </c>
      <c r="W60" s="4">
        <f>950659000</f>
        <v>950659000</v>
      </c>
      <c r="X60" s="4"/>
      <c r="Y60" s="4">
        <v>340760500</v>
      </c>
      <c r="Z60" s="3"/>
      <c r="AA60" s="2">
        <f>663</f>
        <v>663</v>
      </c>
      <c r="AB60" s="2" t="str">
        <f t="shared" si="1"/>
        <v>－</v>
      </c>
      <c r="AC60" s="1">
        <f>21</f>
        <v>21</v>
      </c>
    </row>
    <row r="61" spans="1:29">
      <c r="A61" s="9" t="s">
        <v>46</v>
      </c>
      <c r="B61" s="8" t="s">
        <v>269</v>
      </c>
      <c r="C61" s="8" t="s">
        <v>270</v>
      </c>
      <c r="D61" s="8" t="s">
        <v>259</v>
      </c>
      <c r="E61" s="7" t="s">
        <v>291</v>
      </c>
      <c r="F61" s="7" t="s">
        <v>292</v>
      </c>
      <c r="G61" s="3" t="s">
        <v>51</v>
      </c>
      <c r="H61" s="6" t="s">
        <v>293</v>
      </c>
      <c r="I61" s="3" t="s">
        <v>159</v>
      </c>
      <c r="J61" s="6" t="s">
        <v>272</v>
      </c>
      <c r="K61" s="3" t="s">
        <v>51</v>
      </c>
      <c r="L61" s="6" t="s">
        <v>294</v>
      </c>
      <c r="M61" s="3" t="s">
        <v>108</v>
      </c>
      <c r="N61" s="6" t="s">
        <v>295</v>
      </c>
      <c r="O61" s="3" t="s">
        <v>140</v>
      </c>
      <c r="P61" s="6" t="s">
        <v>296</v>
      </c>
      <c r="Q61" s="3" t="s">
        <v>67</v>
      </c>
      <c r="R61" s="6" t="s">
        <v>297</v>
      </c>
      <c r="S61" s="5">
        <f>321</f>
        <v>321</v>
      </c>
      <c r="T61" s="4">
        <f>1659</f>
        <v>1659</v>
      </c>
      <c r="U61" s="4">
        <v>3</v>
      </c>
      <c r="V61" s="4">
        <v>765</v>
      </c>
      <c r="W61" s="4">
        <f>2647872000</f>
        <v>2647872000</v>
      </c>
      <c r="X61" s="4">
        <v>4835000</v>
      </c>
      <c r="Y61" s="4">
        <v>1223287000</v>
      </c>
      <c r="Z61" s="3"/>
      <c r="AA61" s="2">
        <f>390</f>
        <v>390</v>
      </c>
      <c r="AB61" s="2" t="str">
        <f t="shared" si="1"/>
        <v>－</v>
      </c>
      <c r="AC61" s="1">
        <f>21</f>
        <v>21</v>
      </c>
    </row>
    <row r="62" spans="1:29">
      <c r="A62" s="9" t="s">
        <v>46</v>
      </c>
      <c r="B62" s="8" t="s">
        <v>269</v>
      </c>
      <c r="C62" s="8" t="s">
        <v>270</v>
      </c>
      <c r="D62" s="8" t="s">
        <v>69</v>
      </c>
      <c r="E62" s="7" t="s">
        <v>298</v>
      </c>
      <c r="F62" s="7" t="s">
        <v>122</v>
      </c>
      <c r="G62" s="3" t="s">
        <v>51</v>
      </c>
      <c r="H62" s="6" t="s">
        <v>299</v>
      </c>
      <c r="I62" s="3" t="s">
        <v>159</v>
      </c>
      <c r="J62" s="6" t="s">
        <v>300</v>
      </c>
      <c r="K62" s="3"/>
      <c r="L62" s="6"/>
      <c r="M62" s="3" t="s">
        <v>108</v>
      </c>
      <c r="N62" s="6" t="s">
        <v>301</v>
      </c>
      <c r="O62" s="3"/>
      <c r="P62" s="6"/>
      <c r="Q62" s="3" t="s">
        <v>67</v>
      </c>
      <c r="R62" s="6" t="s">
        <v>302</v>
      </c>
      <c r="S62" s="5">
        <f>319.51</f>
        <v>319.51</v>
      </c>
      <c r="T62" s="4">
        <f>8680</f>
        <v>8680</v>
      </c>
      <c r="U62" s="4"/>
      <c r="V62" s="4">
        <v>3888</v>
      </c>
      <c r="W62" s="4">
        <f>13986535000</f>
        <v>13986535000</v>
      </c>
      <c r="X62" s="4"/>
      <c r="Y62" s="4">
        <v>6260561500</v>
      </c>
      <c r="Z62" s="3"/>
      <c r="AA62" s="2">
        <f>1338</f>
        <v>1338</v>
      </c>
      <c r="AB62" s="2" t="str">
        <f t="shared" si="1"/>
        <v>－</v>
      </c>
      <c r="AC62" s="1">
        <f>21</f>
        <v>21</v>
      </c>
    </row>
    <row r="63" spans="1:29">
      <c r="A63" s="9" t="s">
        <v>46</v>
      </c>
      <c r="B63" s="8" t="s">
        <v>269</v>
      </c>
      <c r="C63" s="8" t="s">
        <v>270</v>
      </c>
      <c r="D63" s="8" t="s">
        <v>264</v>
      </c>
      <c r="E63" s="7" t="s">
        <v>303</v>
      </c>
      <c r="F63" s="7" t="s">
        <v>304</v>
      </c>
      <c r="G63" s="3" t="s">
        <v>51</v>
      </c>
      <c r="H63" s="6" t="s">
        <v>305</v>
      </c>
      <c r="I63" s="3" t="s">
        <v>159</v>
      </c>
      <c r="J63" s="6" t="s">
        <v>306</v>
      </c>
      <c r="K63" s="3" t="s">
        <v>307</v>
      </c>
      <c r="L63" s="6" t="s">
        <v>308</v>
      </c>
      <c r="M63" s="3" t="s">
        <v>108</v>
      </c>
      <c r="N63" s="6" t="s">
        <v>309</v>
      </c>
      <c r="O63" s="3" t="s">
        <v>67</v>
      </c>
      <c r="P63" s="6" t="s">
        <v>310</v>
      </c>
      <c r="Q63" s="3" t="s">
        <v>67</v>
      </c>
      <c r="R63" s="6" t="s">
        <v>311</v>
      </c>
      <c r="S63" s="5">
        <f>317.56</f>
        <v>317.56</v>
      </c>
      <c r="T63" s="4">
        <f>20119</f>
        <v>20119</v>
      </c>
      <c r="U63" s="4">
        <v>17</v>
      </c>
      <c r="V63" s="4">
        <v>6407</v>
      </c>
      <c r="W63" s="4">
        <f>31935549000</f>
        <v>31935549000</v>
      </c>
      <c r="X63" s="4">
        <v>27564000</v>
      </c>
      <c r="Y63" s="4">
        <v>10088887500</v>
      </c>
      <c r="Z63" s="3"/>
      <c r="AA63" s="2">
        <f>3100</f>
        <v>3100</v>
      </c>
      <c r="AB63" s="2" t="str">
        <f t="shared" si="1"/>
        <v>－</v>
      </c>
      <c r="AC63" s="1">
        <f>21</f>
        <v>21</v>
      </c>
    </row>
    <row r="64" spans="1:29">
      <c r="A64" s="9" t="s">
        <v>46</v>
      </c>
      <c r="B64" s="8" t="s">
        <v>269</v>
      </c>
      <c r="C64" s="8" t="s">
        <v>270</v>
      </c>
      <c r="D64" s="8" t="s">
        <v>80</v>
      </c>
      <c r="E64" s="7" t="s">
        <v>312</v>
      </c>
      <c r="F64" s="7" t="s">
        <v>127</v>
      </c>
      <c r="G64" s="3" t="s">
        <v>51</v>
      </c>
      <c r="H64" s="6" t="s">
        <v>313</v>
      </c>
      <c r="I64" s="3" t="s">
        <v>159</v>
      </c>
      <c r="J64" s="6" t="s">
        <v>314</v>
      </c>
      <c r="K64" s="3"/>
      <c r="L64" s="6"/>
      <c r="M64" s="3" t="s">
        <v>105</v>
      </c>
      <c r="N64" s="6" t="s">
        <v>315</v>
      </c>
      <c r="O64" s="3"/>
      <c r="P64" s="6"/>
      <c r="Q64" s="3" t="s">
        <v>67</v>
      </c>
      <c r="R64" s="6" t="s">
        <v>316</v>
      </c>
      <c r="S64" s="5">
        <f>315.79</f>
        <v>315.79000000000002</v>
      </c>
      <c r="T64" s="4">
        <f>4632</f>
        <v>4632</v>
      </c>
      <c r="U64" s="4"/>
      <c r="V64" s="4">
        <v>2937</v>
      </c>
      <c r="W64" s="4">
        <f>7139684500</f>
        <v>7139684500</v>
      </c>
      <c r="X64" s="4"/>
      <c r="Y64" s="4">
        <v>4501285000</v>
      </c>
      <c r="Z64" s="3"/>
      <c r="AA64" s="2">
        <f>2003</f>
        <v>2003</v>
      </c>
      <c r="AB64" s="2" t="str">
        <f t="shared" si="1"/>
        <v>－</v>
      </c>
      <c r="AC64" s="1">
        <f>21</f>
        <v>21</v>
      </c>
    </row>
    <row r="65" spans="1:29">
      <c r="A65" s="9" t="s">
        <v>46</v>
      </c>
      <c r="B65" s="8" t="s">
        <v>269</v>
      </c>
      <c r="C65" s="8" t="s">
        <v>270</v>
      </c>
      <c r="D65" s="8" t="s">
        <v>317</v>
      </c>
      <c r="E65" s="7" t="s">
        <v>318</v>
      </c>
      <c r="F65" s="7" t="s">
        <v>319</v>
      </c>
      <c r="G65" s="3" t="s">
        <v>55</v>
      </c>
      <c r="H65" s="6" t="s">
        <v>320</v>
      </c>
      <c r="I65" s="3" t="s">
        <v>159</v>
      </c>
      <c r="J65" s="6" t="s">
        <v>321</v>
      </c>
      <c r="K65" s="3"/>
      <c r="L65" s="6"/>
      <c r="M65" s="3" t="s">
        <v>105</v>
      </c>
      <c r="N65" s="6" t="s">
        <v>322</v>
      </c>
      <c r="O65" s="3"/>
      <c r="P65" s="6"/>
      <c r="Q65" s="3" t="s">
        <v>67</v>
      </c>
      <c r="R65" s="6" t="s">
        <v>297</v>
      </c>
      <c r="S65" s="5">
        <f>314.3</f>
        <v>314.3</v>
      </c>
      <c r="T65" s="4">
        <f>164</f>
        <v>164</v>
      </c>
      <c r="U65" s="4"/>
      <c r="V65" s="4">
        <v>34</v>
      </c>
      <c r="W65" s="4">
        <f>254111500</f>
        <v>254111500</v>
      </c>
      <c r="X65" s="4"/>
      <c r="Y65" s="4">
        <v>52350500</v>
      </c>
      <c r="Z65" s="3"/>
      <c r="AA65" s="2">
        <f>66</f>
        <v>66</v>
      </c>
      <c r="AB65" s="2" t="str">
        <f t="shared" si="1"/>
        <v>－</v>
      </c>
      <c r="AC65" s="1">
        <f>9</f>
        <v>9</v>
      </c>
    </row>
    <row r="66" spans="1:29">
      <c r="A66" s="9" t="s">
        <v>46</v>
      </c>
      <c r="B66" s="8" t="s">
        <v>269</v>
      </c>
      <c r="C66" s="8" t="s">
        <v>270</v>
      </c>
      <c r="D66" s="8" t="s">
        <v>85</v>
      </c>
      <c r="E66" s="7" t="s">
        <v>323</v>
      </c>
      <c r="F66" s="7" t="s">
        <v>132</v>
      </c>
      <c r="G66" s="3" t="s">
        <v>275</v>
      </c>
      <c r="H66" s="6" t="s">
        <v>324</v>
      </c>
      <c r="I66" s="3" t="s">
        <v>275</v>
      </c>
      <c r="J66" s="6" t="s">
        <v>324</v>
      </c>
      <c r="K66" s="3"/>
      <c r="L66" s="6"/>
      <c r="M66" s="3" t="s">
        <v>156</v>
      </c>
      <c r="N66" s="6" t="s">
        <v>325</v>
      </c>
      <c r="O66" s="3"/>
      <c r="P66" s="6"/>
      <c r="Q66" s="3" t="s">
        <v>156</v>
      </c>
      <c r="R66" s="6" t="s">
        <v>326</v>
      </c>
      <c r="S66" s="5">
        <f>314.58</f>
        <v>314.58</v>
      </c>
      <c r="T66" s="4">
        <f>4</f>
        <v>4</v>
      </c>
      <c r="U66" s="4"/>
      <c r="V66" s="4"/>
      <c r="W66" s="4">
        <f>6295500</f>
        <v>6295500</v>
      </c>
      <c r="X66" s="4"/>
      <c r="Y66" s="4"/>
      <c r="Z66" s="3"/>
      <c r="AA66" s="2">
        <f>4</f>
        <v>4</v>
      </c>
      <c r="AB66" s="2" t="str">
        <f t="shared" si="1"/>
        <v>－</v>
      </c>
      <c r="AC66" s="1">
        <f>2</f>
        <v>2</v>
      </c>
    </row>
    <row r="67" spans="1:29">
      <c r="A67" s="9" t="s">
        <v>46</v>
      </c>
      <c r="B67" s="8" t="s">
        <v>269</v>
      </c>
      <c r="C67" s="8" t="s">
        <v>270</v>
      </c>
      <c r="D67" s="8" t="s">
        <v>327</v>
      </c>
      <c r="E67" s="7" t="s">
        <v>328</v>
      </c>
      <c r="F67" s="7" t="s">
        <v>329</v>
      </c>
      <c r="G67" s="3"/>
      <c r="H67" s="6" t="s">
        <v>153</v>
      </c>
      <c r="I67" s="3"/>
      <c r="J67" s="6" t="s">
        <v>153</v>
      </c>
      <c r="K67" s="3"/>
      <c r="L67" s="6"/>
      <c r="M67" s="3"/>
      <c r="N67" s="6" t="s">
        <v>153</v>
      </c>
      <c r="O67" s="3"/>
      <c r="P67" s="6"/>
      <c r="Q67" s="3"/>
      <c r="R67" s="6" t="s">
        <v>153</v>
      </c>
      <c r="S67" s="5">
        <f>314.52</f>
        <v>314.52</v>
      </c>
      <c r="T67" s="4" t="str">
        <f>"－"</f>
        <v>－</v>
      </c>
      <c r="U67" s="4"/>
      <c r="V67" s="4"/>
      <c r="W67" s="4" t="str">
        <f>"－"</f>
        <v>－</v>
      </c>
      <c r="X67" s="4"/>
      <c r="Y67" s="4"/>
      <c r="Z67" s="3"/>
      <c r="AA67" s="2">
        <f>7</f>
        <v>7</v>
      </c>
      <c r="AB67" s="2" t="str">
        <f t="shared" si="1"/>
        <v>－</v>
      </c>
      <c r="AC67" s="1" t="str">
        <f>"－"</f>
        <v>－</v>
      </c>
    </row>
    <row r="68" spans="1:29">
      <c r="A68" s="9" t="s">
        <v>46</v>
      </c>
      <c r="B68" s="8" t="s">
        <v>269</v>
      </c>
      <c r="C68" s="8" t="s">
        <v>270</v>
      </c>
      <c r="D68" s="8" t="s">
        <v>94</v>
      </c>
      <c r="E68" s="7" t="s">
        <v>330</v>
      </c>
      <c r="F68" s="7" t="s">
        <v>137</v>
      </c>
      <c r="G68" s="3" t="s">
        <v>51</v>
      </c>
      <c r="H68" s="6" t="s">
        <v>277</v>
      </c>
      <c r="I68" s="3" t="s">
        <v>51</v>
      </c>
      <c r="J68" s="6" t="s">
        <v>277</v>
      </c>
      <c r="K68" s="3"/>
      <c r="L68" s="6"/>
      <c r="M68" s="3" t="s">
        <v>51</v>
      </c>
      <c r="N68" s="6" t="s">
        <v>331</v>
      </c>
      <c r="O68" s="3"/>
      <c r="P68" s="6"/>
      <c r="Q68" s="3" t="s">
        <v>51</v>
      </c>
      <c r="R68" s="6" t="s">
        <v>331</v>
      </c>
      <c r="S68" s="5">
        <f>314.7</f>
        <v>314.7</v>
      </c>
      <c r="T68" s="4">
        <f>2</f>
        <v>2</v>
      </c>
      <c r="U68" s="4"/>
      <c r="V68" s="4"/>
      <c r="W68" s="4">
        <f>3249000</f>
        <v>3249000</v>
      </c>
      <c r="X68" s="4"/>
      <c r="Y68" s="4"/>
      <c r="Z68" s="3"/>
      <c r="AA68" s="2">
        <f>8</f>
        <v>8</v>
      </c>
      <c r="AB68" s="2" t="str">
        <f t="shared" si="1"/>
        <v>－</v>
      </c>
      <c r="AC68" s="1">
        <f>1</f>
        <v>1</v>
      </c>
    </row>
    <row r="69" spans="1:29">
      <c r="A69" s="9" t="s">
        <v>46</v>
      </c>
      <c r="B69" s="8" t="s">
        <v>269</v>
      </c>
      <c r="C69" s="8" t="s">
        <v>270</v>
      </c>
      <c r="D69" s="8" t="s">
        <v>332</v>
      </c>
      <c r="E69" s="7" t="s">
        <v>333</v>
      </c>
      <c r="F69" s="7" t="s">
        <v>334</v>
      </c>
      <c r="G69" s="3" t="s">
        <v>156</v>
      </c>
      <c r="H69" s="6" t="s">
        <v>335</v>
      </c>
      <c r="I69" s="3" t="s">
        <v>156</v>
      </c>
      <c r="J69" s="6" t="s">
        <v>335</v>
      </c>
      <c r="K69" s="3"/>
      <c r="L69" s="6"/>
      <c r="M69" s="3" t="s">
        <v>67</v>
      </c>
      <c r="N69" s="6" t="s">
        <v>336</v>
      </c>
      <c r="O69" s="3"/>
      <c r="P69" s="6"/>
      <c r="Q69" s="3" t="s">
        <v>67</v>
      </c>
      <c r="R69" s="6" t="s">
        <v>336</v>
      </c>
      <c r="S69" s="5">
        <f>315.32</f>
        <v>315.32</v>
      </c>
      <c r="T69" s="4">
        <f>6</f>
        <v>6</v>
      </c>
      <c r="U69" s="4"/>
      <c r="V69" s="4"/>
      <c r="W69" s="4">
        <f>9322500</f>
        <v>9322500</v>
      </c>
      <c r="X69" s="4"/>
      <c r="Y69" s="4"/>
      <c r="Z69" s="3"/>
      <c r="AA69" s="2">
        <f>7</f>
        <v>7</v>
      </c>
      <c r="AB69" s="2" t="str">
        <f t="shared" si="1"/>
        <v>－</v>
      </c>
      <c r="AC69" s="1">
        <f>4</f>
        <v>4</v>
      </c>
    </row>
    <row r="70" spans="1:29">
      <c r="A70" s="9" t="s">
        <v>46</v>
      </c>
      <c r="B70" s="8" t="s">
        <v>269</v>
      </c>
      <c r="C70" s="8" t="s">
        <v>270</v>
      </c>
      <c r="D70" s="8" t="s">
        <v>102</v>
      </c>
      <c r="E70" s="7" t="s">
        <v>50</v>
      </c>
      <c r="F70" s="7" t="s">
        <v>146</v>
      </c>
      <c r="G70" s="3" t="s">
        <v>108</v>
      </c>
      <c r="H70" s="6" t="s">
        <v>337</v>
      </c>
      <c r="I70" s="3" t="s">
        <v>108</v>
      </c>
      <c r="J70" s="6" t="s">
        <v>337</v>
      </c>
      <c r="K70" s="3"/>
      <c r="L70" s="6"/>
      <c r="M70" s="3" t="s">
        <v>108</v>
      </c>
      <c r="N70" s="6" t="s">
        <v>337</v>
      </c>
      <c r="O70" s="3"/>
      <c r="P70" s="6"/>
      <c r="Q70" s="3" t="s">
        <v>67</v>
      </c>
      <c r="R70" s="6" t="s">
        <v>337</v>
      </c>
      <c r="S70" s="5">
        <f>301.35</f>
        <v>301.35000000000002</v>
      </c>
      <c r="T70" s="4">
        <f>4</f>
        <v>4</v>
      </c>
      <c r="U70" s="4"/>
      <c r="V70" s="4"/>
      <c r="W70" s="4">
        <f>6024000</f>
        <v>6024000</v>
      </c>
      <c r="X70" s="4"/>
      <c r="Y70" s="4"/>
      <c r="Z70" s="3"/>
      <c r="AA70" s="2">
        <f>2</f>
        <v>2</v>
      </c>
      <c r="AB70" s="2" t="str">
        <f t="shared" si="1"/>
        <v>－</v>
      </c>
      <c r="AC70" s="1">
        <f>2</f>
        <v>2</v>
      </c>
    </row>
    <row r="71" spans="1:29">
      <c r="A71" s="9" t="s">
        <v>46</v>
      </c>
      <c r="B71" s="8" t="s">
        <v>338</v>
      </c>
      <c r="C71" s="8" t="s">
        <v>339</v>
      </c>
      <c r="D71" s="8" t="s">
        <v>254</v>
      </c>
      <c r="E71" s="7" t="s">
        <v>340</v>
      </c>
      <c r="F71" s="7" t="s">
        <v>341</v>
      </c>
      <c r="G71" s="3"/>
      <c r="H71" s="6" t="s">
        <v>153</v>
      </c>
      <c r="I71" s="3"/>
      <c r="J71" s="6" t="s">
        <v>153</v>
      </c>
      <c r="K71" s="3"/>
      <c r="L71" s="6"/>
      <c r="M71" s="3"/>
      <c r="N71" s="6" t="s">
        <v>153</v>
      </c>
      <c r="O71" s="3"/>
      <c r="P71" s="6"/>
      <c r="Q71" s="3"/>
      <c r="R71" s="6" t="s">
        <v>153</v>
      </c>
      <c r="S71" s="5">
        <f>251.62</f>
        <v>251.62</v>
      </c>
      <c r="T71" s="4" t="str">
        <f>"－"</f>
        <v>－</v>
      </c>
      <c r="U71" s="4"/>
      <c r="V71" s="4"/>
      <c r="W71" s="4" t="str">
        <f>"－"</f>
        <v>－</v>
      </c>
      <c r="X71" s="4"/>
      <c r="Y71" s="4"/>
      <c r="Z71" s="3" t="s">
        <v>59</v>
      </c>
      <c r="AA71" s="2" t="str">
        <f t="shared" ref="AA71:AA82" si="7">"－"</f>
        <v>－</v>
      </c>
      <c r="AB71" s="2" t="str">
        <f t="shared" ref="AB71:AB103" si="8">"－"</f>
        <v>－</v>
      </c>
      <c r="AC71" s="1" t="str">
        <f>"－"</f>
        <v>－</v>
      </c>
    </row>
    <row r="72" spans="1:29">
      <c r="A72" s="9" t="s">
        <v>46</v>
      </c>
      <c r="B72" s="8" t="s">
        <v>338</v>
      </c>
      <c r="C72" s="8" t="s">
        <v>339</v>
      </c>
      <c r="D72" s="8" t="s">
        <v>60</v>
      </c>
      <c r="E72" s="7" t="s">
        <v>342</v>
      </c>
      <c r="F72" s="7" t="s">
        <v>343</v>
      </c>
      <c r="G72" s="3"/>
      <c r="H72" s="6" t="s">
        <v>153</v>
      </c>
      <c r="I72" s="3"/>
      <c r="J72" s="6" t="s">
        <v>153</v>
      </c>
      <c r="K72" s="3"/>
      <c r="L72" s="6"/>
      <c r="M72" s="3"/>
      <c r="N72" s="6" t="s">
        <v>153</v>
      </c>
      <c r="O72" s="3"/>
      <c r="P72" s="6"/>
      <c r="Q72" s="3"/>
      <c r="R72" s="6" t="s">
        <v>153</v>
      </c>
      <c r="S72" s="5">
        <f>251.86</f>
        <v>251.86</v>
      </c>
      <c r="T72" s="4" t="str">
        <f>"－"</f>
        <v>－</v>
      </c>
      <c r="U72" s="4"/>
      <c r="V72" s="4"/>
      <c r="W72" s="4" t="str">
        <f>"－"</f>
        <v>－</v>
      </c>
      <c r="X72" s="4"/>
      <c r="Y72" s="4"/>
      <c r="Z72" s="3"/>
      <c r="AA72" s="2" t="str">
        <f t="shared" si="7"/>
        <v>－</v>
      </c>
      <c r="AB72" s="2" t="str">
        <f t="shared" si="8"/>
        <v>－</v>
      </c>
      <c r="AC72" s="1" t="str">
        <f>"－"</f>
        <v>－</v>
      </c>
    </row>
    <row r="73" spans="1:29">
      <c r="A73" s="9" t="s">
        <v>46</v>
      </c>
      <c r="B73" s="8" t="s">
        <v>338</v>
      </c>
      <c r="C73" s="8" t="s">
        <v>339</v>
      </c>
      <c r="D73" s="8" t="s">
        <v>259</v>
      </c>
      <c r="E73" s="7" t="s">
        <v>344</v>
      </c>
      <c r="F73" s="7" t="s">
        <v>345</v>
      </c>
      <c r="G73" s="3" t="s">
        <v>57</v>
      </c>
      <c r="H73" s="6" t="s">
        <v>346</v>
      </c>
      <c r="I73" s="3" t="s">
        <v>57</v>
      </c>
      <c r="J73" s="6" t="s">
        <v>346</v>
      </c>
      <c r="K73" s="3"/>
      <c r="L73" s="6"/>
      <c r="M73" s="3" t="s">
        <v>57</v>
      </c>
      <c r="N73" s="6" t="s">
        <v>346</v>
      </c>
      <c r="O73" s="3"/>
      <c r="P73" s="6"/>
      <c r="Q73" s="3" t="s">
        <v>57</v>
      </c>
      <c r="R73" s="6" t="s">
        <v>346</v>
      </c>
      <c r="S73" s="5">
        <f>251.86</f>
        <v>251.86</v>
      </c>
      <c r="T73" s="4">
        <f>3</f>
        <v>3</v>
      </c>
      <c r="U73" s="4"/>
      <c r="V73" s="4"/>
      <c r="W73" s="4">
        <f>3735000</f>
        <v>3735000</v>
      </c>
      <c r="X73" s="4"/>
      <c r="Y73" s="4"/>
      <c r="Z73" s="3"/>
      <c r="AA73" s="2" t="str">
        <f t="shared" si="7"/>
        <v>－</v>
      </c>
      <c r="AB73" s="2" t="str">
        <f t="shared" si="8"/>
        <v>－</v>
      </c>
      <c r="AC73" s="1">
        <f>1</f>
        <v>1</v>
      </c>
    </row>
    <row r="74" spans="1:29">
      <c r="A74" s="9" t="s">
        <v>46</v>
      </c>
      <c r="B74" s="8" t="s">
        <v>338</v>
      </c>
      <c r="C74" s="8" t="s">
        <v>339</v>
      </c>
      <c r="D74" s="8" t="s">
        <v>69</v>
      </c>
      <c r="E74" s="7" t="s">
        <v>347</v>
      </c>
      <c r="F74" s="7" t="s">
        <v>348</v>
      </c>
      <c r="G74" s="3" t="s">
        <v>57</v>
      </c>
      <c r="H74" s="6" t="s">
        <v>349</v>
      </c>
      <c r="I74" s="3" t="s">
        <v>57</v>
      </c>
      <c r="J74" s="6" t="s">
        <v>349</v>
      </c>
      <c r="K74" s="3"/>
      <c r="L74" s="6"/>
      <c r="M74" s="3" t="s">
        <v>57</v>
      </c>
      <c r="N74" s="6" t="s">
        <v>350</v>
      </c>
      <c r="O74" s="3"/>
      <c r="P74" s="6"/>
      <c r="Q74" s="3" t="s">
        <v>57</v>
      </c>
      <c r="R74" s="6" t="s">
        <v>350</v>
      </c>
      <c r="S74" s="5">
        <f>252.5</f>
        <v>252.5</v>
      </c>
      <c r="T74" s="4">
        <f>6</f>
        <v>6</v>
      </c>
      <c r="U74" s="4"/>
      <c r="V74" s="4"/>
      <c r="W74" s="4">
        <f>7497000</f>
        <v>7497000</v>
      </c>
      <c r="X74" s="4"/>
      <c r="Y74" s="4"/>
      <c r="Z74" s="3"/>
      <c r="AA74" s="2" t="str">
        <f t="shared" si="7"/>
        <v>－</v>
      </c>
      <c r="AB74" s="2" t="str">
        <f t="shared" si="8"/>
        <v>－</v>
      </c>
      <c r="AC74" s="1">
        <f>1</f>
        <v>1</v>
      </c>
    </row>
    <row r="75" spans="1:29">
      <c r="A75" s="9" t="s">
        <v>46</v>
      </c>
      <c r="B75" s="8" t="s">
        <v>338</v>
      </c>
      <c r="C75" s="8" t="s">
        <v>339</v>
      </c>
      <c r="D75" s="8" t="s">
        <v>264</v>
      </c>
      <c r="E75" s="7" t="s">
        <v>351</v>
      </c>
      <c r="F75" s="7" t="s">
        <v>352</v>
      </c>
      <c r="G75" s="3"/>
      <c r="H75" s="6" t="s">
        <v>153</v>
      </c>
      <c r="I75" s="3"/>
      <c r="J75" s="6" t="s">
        <v>153</v>
      </c>
      <c r="K75" s="3"/>
      <c r="L75" s="6"/>
      <c r="M75" s="3"/>
      <c r="N75" s="6" t="s">
        <v>153</v>
      </c>
      <c r="O75" s="3"/>
      <c r="P75" s="6"/>
      <c r="Q75" s="3"/>
      <c r="R75" s="6" t="s">
        <v>153</v>
      </c>
      <c r="S75" s="5">
        <f>252.9</f>
        <v>252.9</v>
      </c>
      <c r="T75" s="4" t="str">
        <f t="shared" ref="T75:T82" si="9">"－"</f>
        <v>－</v>
      </c>
      <c r="U75" s="4"/>
      <c r="V75" s="4"/>
      <c r="W75" s="4" t="str">
        <f t="shared" ref="W75:W82" si="10">"－"</f>
        <v>－</v>
      </c>
      <c r="X75" s="4"/>
      <c r="Y75" s="4"/>
      <c r="Z75" s="3"/>
      <c r="AA75" s="2" t="str">
        <f t="shared" si="7"/>
        <v>－</v>
      </c>
      <c r="AB75" s="2" t="str">
        <f t="shared" si="8"/>
        <v>－</v>
      </c>
      <c r="AC75" s="1" t="str">
        <f t="shared" ref="AC75:AC82" si="11">"－"</f>
        <v>－</v>
      </c>
    </row>
    <row r="76" spans="1:29">
      <c r="A76" s="9" t="s">
        <v>46</v>
      </c>
      <c r="B76" s="8" t="s">
        <v>338</v>
      </c>
      <c r="C76" s="8" t="s">
        <v>339</v>
      </c>
      <c r="D76" s="8" t="s">
        <v>80</v>
      </c>
      <c r="E76" s="7" t="s">
        <v>353</v>
      </c>
      <c r="F76" s="7" t="s">
        <v>354</v>
      </c>
      <c r="G76" s="3"/>
      <c r="H76" s="6" t="s">
        <v>153</v>
      </c>
      <c r="I76" s="3"/>
      <c r="J76" s="6" t="s">
        <v>153</v>
      </c>
      <c r="K76" s="3"/>
      <c r="L76" s="6"/>
      <c r="M76" s="3"/>
      <c r="N76" s="6" t="s">
        <v>153</v>
      </c>
      <c r="O76" s="3"/>
      <c r="P76" s="6"/>
      <c r="Q76" s="3"/>
      <c r="R76" s="6" t="s">
        <v>153</v>
      </c>
      <c r="S76" s="5">
        <f>252.9</f>
        <v>252.9</v>
      </c>
      <c r="T76" s="4" t="str">
        <f t="shared" si="9"/>
        <v>－</v>
      </c>
      <c r="U76" s="4"/>
      <c r="V76" s="4"/>
      <c r="W76" s="4" t="str">
        <f t="shared" si="10"/>
        <v>－</v>
      </c>
      <c r="X76" s="4"/>
      <c r="Y76" s="4"/>
      <c r="Z76" s="3"/>
      <c r="AA76" s="2" t="str">
        <f t="shared" si="7"/>
        <v>－</v>
      </c>
      <c r="AB76" s="2" t="str">
        <f t="shared" si="8"/>
        <v>－</v>
      </c>
      <c r="AC76" s="1" t="str">
        <f t="shared" si="11"/>
        <v>－</v>
      </c>
    </row>
    <row r="77" spans="1:29">
      <c r="A77" s="9" t="s">
        <v>46</v>
      </c>
      <c r="B77" s="8" t="s">
        <v>338</v>
      </c>
      <c r="C77" s="8" t="s">
        <v>339</v>
      </c>
      <c r="D77" s="8" t="s">
        <v>317</v>
      </c>
      <c r="E77" s="7" t="s">
        <v>355</v>
      </c>
      <c r="F77" s="7" t="s">
        <v>356</v>
      </c>
      <c r="G77" s="3"/>
      <c r="H77" s="6" t="s">
        <v>153</v>
      </c>
      <c r="I77" s="3"/>
      <c r="J77" s="6" t="s">
        <v>153</v>
      </c>
      <c r="K77" s="3"/>
      <c r="L77" s="6"/>
      <c r="M77" s="3"/>
      <c r="N77" s="6" t="s">
        <v>153</v>
      </c>
      <c r="O77" s="3"/>
      <c r="P77" s="6"/>
      <c r="Q77" s="3"/>
      <c r="R77" s="6" t="s">
        <v>153</v>
      </c>
      <c r="S77" s="5">
        <f>252.9</f>
        <v>252.9</v>
      </c>
      <c r="T77" s="4" t="str">
        <f t="shared" si="9"/>
        <v>－</v>
      </c>
      <c r="U77" s="4"/>
      <c r="V77" s="4"/>
      <c r="W77" s="4" t="str">
        <f t="shared" si="10"/>
        <v>－</v>
      </c>
      <c r="X77" s="4"/>
      <c r="Y77" s="4"/>
      <c r="Z77" s="3"/>
      <c r="AA77" s="2" t="str">
        <f t="shared" si="7"/>
        <v>－</v>
      </c>
      <c r="AB77" s="2" t="str">
        <f t="shared" si="8"/>
        <v>－</v>
      </c>
      <c r="AC77" s="1" t="str">
        <f t="shared" si="11"/>
        <v>－</v>
      </c>
    </row>
    <row r="78" spans="1:29">
      <c r="A78" s="9" t="s">
        <v>46</v>
      </c>
      <c r="B78" s="8" t="s">
        <v>338</v>
      </c>
      <c r="C78" s="8" t="s">
        <v>339</v>
      </c>
      <c r="D78" s="8" t="s">
        <v>85</v>
      </c>
      <c r="E78" s="7" t="s">
        <v>357</v>
      </c>
      <c r="F78" s="7" t="s">
        <v>358</v>
      </c>
      <c r="G78" s="3"/>
      <c r="H78" s="6" t="s">
        <v>153</v>
      </c>
      <c r="I78" s="3"/>
      <c r="J78" s="6" t="s">
        <v>153</v>
      </c>
      <c r="K78" s="3"/>
      <c r="L78" s="6"/>
      <c r="M78" s="3"/>
      <c r="N78" s="6" t="s">
        <v>153</v>
      </c>
      <c r="O78" s="3"/>
      <c r="P78" s="6"/>
      <c r="Q78" s="3"/>
      <c r="R78" s="6" t="s">
        <v>153</v>
      </c>
      <c r="S78" s="5">
        <f>252.9</f>
        <v>252.9</v>
      </c>
      <c r="T78" s="4" t="str">
        <f t="shared" si="9"/>
        <v>－</v>
      </c>
      <c r="U78" s="4"/>
      <c r="V78" s="4"/>
      <c r="W78" s="4" t="str">
        <f t="shared" si="10"/>
        <v>－</v>
      </c>
      <c r="X78" s="4"/>
      <c r="Y78" s="4"/>
      <c r="Z78" s="3"/>
      <c r="AA78" s="2" t="str">
        <f t="shared" si="7"/>
        <v>－</v>
      </c>
      <c r="AB78" s="2" t="str">
        <f t="shared" si="8"/>
        <v>－</v>
      </c>
      <c r="AC78" s="1" t="str">
        <f t="shared" si="11"/>
        <v>－</v>
      </c>
    </row>
    <row r="79" spans="1:29">
      <c r="A79" s="9" t="s">
        <v>46</v>
      </c>
      <c r="B79" s="8" t="s">
        <v>338</v>
      </c>
      <c r="C79" s="8" t="s">
        <v>339</v>
      </c>
      <c r="D79" s="8" t="s">
        <v>327</v>
      </c>
      <c r="E79" s="7" t="s">
        <v>359</v>
      </c>
      <c r="F79" s="7" t="s">
        <v>360</v>
      </c>
      <c r="G79" s="3"/>
      <c r="H79" s="6" t="s">
        <v>153</v>
      </c>
      <c r="I79" s="3"/>
      <c r="J79" s="6" t="s">
        <v>153</v>
      </c>
      <c r="K79" s="3"/>
      <c r="L79" s="6"/>
      <c r="M79" s="3"/>
      <c r="N79" s="6" t="s">
        <v>153</v>
      </c>
      <c r="O79" s="3"/>
      <c r="P79" s="6"/>
      <c r="Q79" s="3"/>
      <c r="R79" s="6" t="s">
        <v>153</v>
      </c>
      <c r="S79" s="5">
        <f>253.9</f>
        <v>253.9</v>
      </c>
      <c r="T79" s="4" t="str">
        <f t="shared" si="9"/>
        <v>－</v>
      </c>
      <c r="U79" s="4"/>
      <c r="V79" s="4"/>
      <c r="W79" s="4" t="str">
        <f t="shared" si="10"/>
        <v>－</v>
      </c>
      <c r="X79" s="4"/>
      <c r="Y79" s="4"/>
      <c r="Z79" s="3"/>
      <c r="AA79" s="2" t="str">
        <f t="shared" si="7"/>
        <v>－</v>
      </c>
      <c r="AB79" s="2" t="str">
        <f t="shared" si="8"/>
        <v>－</v>
      </c>
      <c r="AC79" s="1" t="str">
        <f t="shared" si="11"/>
        <v>－</v>
      </c>
    </row>
    <row r="80" spans="1:29">
      <c r="A80" s="9" t="s">
        <v>46</v>
      </c>
      <c r="B80" s="8" t="s">
        <v>338</v>
      </c>
      <c r="C80" s="8" t="s">
        <v>339</v>
      </c>
      <c r="D80" s="8" t="s">
        <v>94</v>
      </c>
      <c r="E80" s="7" t="s">
        <v>361</v>
      </c>
      <c r="F80" s="7" t="s">
        <v>362</v>
      </c>
      <c r="G80" s="3"/>
      <c r="H80" s="6" t="s">
        <v>153</v>
      </c>
      <c r="I80" s="3"/>
      <c r="J80" s="6" t="s">
        <v>153</v>
      </c>
      <c r="K80" s="3"/>
      <c r="L80" s="6"/>
      <c r="M80" s="3"/>
      <c r="N80" s="6" t="s">
        <v>153</v>
      </c>
      <c r="O80" s="3"/>
      <c r="P80" s="6"/>
      <c r="Q80" s="3"/>
      <c r="R80" s="6" t="s">
        <v>153</v>
      </c>
      <c r="S80" s="5">
        <f>253.9</f>
        <v>253.9</v>
      </c>
      <c r="T80" s="4" t="str">
        <f t="shared" si="9"/>
        <v>－</v>
      </c>
      <c r="U80" s="4"/>
      <c r="V80" s="4"/>
      <c r="W80" s="4" t="str">
        <f t="shared" si="10"/>
        <v>－</v>
      </c>
      <c r="X80" s="4"/>
      <c r="Y80" s="4"/>
      <c r="Z80" s="3"/>
      <c r="AA80" s="2" t="str">
        <f t="shared" si="7"/>
        <v>－</v>
      </c>
      <c r="AB80" s="2" t="str">
        <f t="shared" si="8"/>
        <v>－</v>
      </c>
      <c r="AC80" s="1" t="str">
        <f t="shared" si="11"/>
        <v>－</v>
      </c>
    </row>
    <row r="81" spans="1:29">
      <c r="A81" s="9" t="s">
        <v>46</v>
      </c>
      <c r="B81" s="8" t="s">
        <v>338</v>
      </c>
      <c r="C81" s="8" t="s">
        <v>339</v>
      </c>
      <c r="D81" s="8" t="s">
        <v>332</v>
      </c>
      <c r="E81" s="7" t="s">
        <v>363</v>
      </c>
      <c r="F81" s="7" t="s">
        <v>364</v>
      </c>
      <c r="G81" s="3"/>
      <c r="H81" s="6" t="s">
        <v>153</v>
      </c>
      <c r="I81" s="3"/>
      <c r="J81" s="6" t="s">
        <v>153</v>
      </c>
      <c r="K81" s="3"/>
      <c r="L81" s="6"/>
      <c r="M81" s="3"/>
      <c r="N81" s="6" t="s">
        <v>153</v>
      </c>
      <c r="O81" s="3"/>
      <c r="P81" s="6"/>
      <c r="Q81" s="3"/>
      <c r="R81" s="6" t="s">
        <v>153</v>
      </c>
      <c r="S81" s="5">
        <f>253.9</f>
        <v>253.9</v>
      </c>
      <c r="T81" s="4" t="str">
        <f t="shared" si="9"/>
        <v>－</v>
      </c>
      <c r="U81" s="4"/>
      <c r="V81" s="4"/>
      <c r="W81" s="4" t="str">
        <f t="shared" si="10"/>
        <v>－</v>
      </c>
      <c r="X81" s="4"/>
      <c r="Y81" s="4"/>
      <c r="Z81" s="3"/>
      <c r="AA81" s="2" t="str">
        <f t="shared" si="7"/>
        <v>－</v>
      </c>
      <c r="AB81" s="2" t="str">
        <f t="shared" si="8"/>
        <v>－</v>
      </c>
      <c r="AC81" s="1" t="str">
        <f t="shared" si="11"/>
        <v>－</v>
      </c>
    </row>
    <row r="82" spans="1:29">
      <c r="A82" s="9" t="s">
        <v>46</v>
      </c>
      <c r="B82" s="8" t="s">
        <v>338</v>
      </c>
      <c r="C82" s="8" t="s">
        <v>339</v>
      </c>
      <c r="D82" s="8" t="s">
        <v>102</v>
      </c>
      <c r="E82" s="7" t="s">
        <v>253</v>
      </c>
      <c r="F82" s="7" t="s">
        <v>365</v>
      </c>
      <c r="G82" s="3"/>
      <c r="H82" s="6" t="s">
        <v>153</v>
      </c>
      <c r="I82" s="3"/>
      <c r="J82" s="6" t="s">
        <v>153</v>
      </c>
      <c r="K82" s="3"/>
      <c r="L82" s="6"/>
      <c r="M82" s="3"/>
      <c r="N82" s="6" t="s">
        <v>153</v>
      </c>
      <c r="O82" s="3"/>
      <c r="P82" s="6"/>
      <c r="Q82" s="3"/>
      <c r="R82" s="6" t="s">
        <v>153</v>
      </c>
      <c r="S82" s="5">
        <f>253.9</f>
        <v>253.9</v>
      </c>
      <c r="T82" s="4" t="str">
        <f t="shared" si="9"/>
        <v>－</v>
      </c>
      <c r="U82" s="4"/>
      <c r="V82" s="4"/>
      <c r="W82" s="4" t="str">
        <f t="shared" si="10"/>
        <v>－</v>
      </c>
      <c r="X82" s="4"/>
      <c r="Y82" s="4"/>
      <c r="Z82" s="3"/>
      <c r="AA82" s="2" t="str">
        <f t="shared" si="7"/>
        <v>－</v>
      </c>
      <c r="AB82" s="2" t="str">
        <f t="shared" si="8"/>
        <v>－</v>
      </c>
      <c r="AC82" s="1" t="str">
        <f t="shared" si="11"/>
        <v>－</v>
      </c>
    </row>
    <row r="83" spans="1:29">
      <c r="A83" s="9" t="s">
        <v>46</v>
      </c>
      <c r="B83" s="8" t="s">
        <v>366</v>
      </c>
      <c r="C83" s="8" t="s">
        <v>367</v>
      </c>
      <c r="D83" s="8" t="s">
        <v>254</v>
      </c>
      <c r="E83" s="7" t="s">
        <v>368</v>
      </c>
      <c r="F83" s="7" t="s">
        <v>369</v>
      </c>
      <c r="G83" s="3" t="s">
        <v>51</v>
      </c>
      <c r="H83" s="6" t="s">
        <v>370</v>
      </c>
      <c r="I83" s="3" t="s">
        <v>51</v>
      </c>
      <c r="J83" s="6" t="s">
        <v>370</v>
      </c>
      <c r="K83" s="3" t="s">
        <v>77</v>
      </c>
      <c r="L83" s="6" t="s">
        <v>371</v>
      </c>
      <c r="M83" s="3" t="s">
        <v>55</v>
      </c>
      <c r="N83" s="6" t="s">
        <v>372</v>
      </c>
      <c r="O83" s="3" t="s">
        <v>77</v>
      </c>
      <c r="P83" s="6" t="s">
        <v>371</v>
      </c>
      <c r="Q83" s="3" t="s">
        <v>55</v>
      </c>
      <c r="R83" s="6" t="s">
        <v>372</v>
      </c>
      <c r="S83" s="5">
        <f>31990.91</f>
        <v>31990.91</v>
      </c>
      <c r="T83" s="4">
        <f>169</f>
        <v>169</v>
      </c>
      <c r="U83" s="4">
        <v>139</v>
      </c>
      <c r="V83" s="4"/>
      <c r="W83" s="4">
        <f>269169000</f>
        <v>269169000</v>
      </c>
      <c r="X83" s="4">
        <v>220593000</v>
      </c>
      <c r="Y83" s="4"/>
      <c r="Z83" s="3" t="s">
        <v>59</v>
      </c>
      <c r="AA83" s="2">
        <f>24</f>
        <v>24</v>
      </c>
      <c r="AB83" s="2" t="str">
        <f t="shared" si="8"/>
        <v>－</v>
      </c>
      <c r="AC83" s="1">
        <f>2</f>
        <v>2</v>
      </c>
    </row>
    <row r="84" spans="1:29">
      <c r="A84" s="9" t="s">
        <v>46</v>
      </c>
      <c r="B84" s="8" t="s">
        <v>366</v>
      </c>
      <c r="C84" s="8" t="s">
        <v>367</v>
      </c>
      <c r="D84" s="8" t="s">
        <v>259</v>
      </c>
      <c r="E84" s="7" t="s">
        <v>373</v>
      </c>
      <c r="F84" s="7" t="s">
        <v>374</v>
      </c>
      <c r="G84" s="3" t="s">
        <v>51</v>
      </c>
      <c r="H84" s="6" t="s">
        <v>375</v>
      </c>
      <c r="I84" s="3" t="s">
        <v>74</v>
      </c>
      <c r="J84" s="6" t="s">
        <v>376</v>
      </c>
      <c r="K84" s="3"/>
      <c r="L84" s="6"/>
      <c r="M84" s="3" t="s">
        <v>159</v>
      </c>
      <c r="N84" s="6" t="s">
        <v>377</v>
      </c>
      <c r="O84" s="3"/>
      <c r="P84" s="6"/>
      <c r="Q84" s="3" t="s">
        <v>53</v>
      </c>
      <c r="R84" s="6" t="s">
        <v>378</v>
      </c>
      <c r="S84" s="5">
        <f>37288.57</f>
        <v>37288.57</v>
      </c>
      <c r="T84" s="4">
        <f>55</f>
        <v>55</v>
      </c>
      <c r="U84" s="4"/>
      <c r="V84" s="4"/>
      <c r="W84" s="4">
        <f>101058500</f>
        <v>101058500</v>
      </c>
      <c r="X84" s="4"/>
      <c r="Y84" s="4"/>
      <c r="Z84" s="3"/>
      <c r="AA84" s="2">
        <f>116</f>
        <v>116</v>
      </c>
      <c r="AB84" s="2" t="str">
        <f t="shared" si="8"/>
        <v>－</v>
      </c>
      <c r="AC84" s="1">
        <f>10</f>
        <v>10</v>
      </c>
    </row>
    <row r="85" spans="1:29">
      <c r="A85" s="9" t="s">
        <v>46</v>
      </c>
      <c r="B85" s="8" t="s">
        <v>366</v>
      </c>
      <c r="C85" s="8" t="s">
        <v>367</v>
      </c>
      <c r="D85" s="8" t="s">
        <v>264</v>
      </c>
      <c r="E85" s="7" t="s">
        <v>379</v>
      </c>
      <c r="F85" s="7" t="s">
        <v>380</v>
      </c>
      <c r="G85" s="3" t="s">
        <v>381</v>
      </c>
      <c r="H85" s="6" t="s">
        <v>382</v>
      </c>
      <c r="I85" s="3" t="s">
        <v>105</v>
      </c>
      <c r="J85" s="6" t="s">
        <v>383</v>
      </c>
      <c r="K85" s="3"/>
      <c r="L85" s="6"/>
      <c r="M85" s="3" t="s">
        <v>381</v>
      </c>
      <c r="N85" s="6" t="s">
        <v>382</v>
      </c>
      <c r="O85" s="3"/>
      <c r="P85" s="6"/>
      <c r="Q85" s="3" t="s">
        <v>105</v>
      </c>
      <c r="R85" s="6" t="s">
        <v>383</v>
      </c>
      <c r="S85" s="5">
        <f>38947.62</f>
        <v>38947.620000000003</v>
      </c>
      <c r="T85" s="4">
        <f>7</f>
        <v>7</v>
      </c>
      <c r="U85" s="4"/>
      <c r="V85" s="4"/>
      <c r="W85" s="4">
        <f>13632500</f>
        <v>13632500</v>
      </c>
      <c r="X85" s="4"/>
      <c r="Y85" s="4"/>
      <c r="Z85" s="3"/>
      <c r="AA85" s="2">
        <f>150</f>
        <v>150</v>
      </c>
      <c r="AB85" s="2" t="str">
        <f t="shared" si="8"/>
        <v>－</v>
      </c>
      <c r="AC85" s="1">
        <f>6</f>
        <v>6</v>
      </c>
    </row>
    <row r="86" spans="1:29">
      <c r="A86" s="9" t="s">
        <v>46</v>
      </c>
      <c r="B86" s="8" t="s">
        <v>366</v>
      </c>
      <c r="C86" s="8" t="s">
        <v>367</v>
      </c>
      <c r="D86" s="8" t="s">
        <v>317</v>
      </c>
      <c r="E86" s="7" t="s">
        <v>384</v>
      </c>
      <c r="F86" s="7" t="s">
        <v>385</v>
      </c>
      <c r="G86" s="3" t="s">
        <v>51</v>
      </c>
      <c r="H86" s="6" t="s">
        <v>386</v>
      </c>
      <c r="I86" s="3" t="s">
        <v>67</v>
      </c>
      <c r="J86" s="6" t="s">
        <v>387</v>
      </c>
      <c r="K86" s="3"/>
      <c r="L86" s="6"/>
      <c r="M86" s="3" t="s">
        <v>55</v>
      </c>
      <c r="N86" s="6" t="s">
        <v>388</v>
      </c>
      <c r="O86" s="3"/>
      <c r="P86" s="6"/>
      <c r="Q86" s="3" t="s">
        <v>67</v>
      </c>
      <c r="R86" s="6" t="s">
        <v>389</v>
      </c>
      <c r="S86" s="5">
        <f>37685.71</f>
        <v>37685.71</v>
      </c>
      <c r="T86" s="4">
        <f>170</f>
        <v>170</v>
      </c>
      <c r="U86" s="4"/>
      <c r="V86" s="4"/>
      <c r="W86" s="4">
        <f>320211500</f>
        <v>320211500</v>
      </c>
      <c r="X86" s="4"/>
      <c r="Y86" s="4"/>
      <c r="Z86" s="3"/>
      <c r="AA86" s="2">
        <f>726</f>
        <v>726</v>
      </c>
      <c r="AB86" s="2" t="str">
        <f t="shared" si="8"/>
        <v>－</v>
      </c>
      <c r="AC86" s="1">
        <f>18</f>
        <v>18</v>
      </c>
    </row>
    <row r="87" spans="1:29">
      <c r="A87" s="9" t="s">
        <v>46</v>
      </c>
      <c r="B87" s="8" t="s">
        <v>366</v>
      </c>
      <c r="C87" s="8" t="s">
        <v>367</v>
      </c>
      <c r="D87" s="8" t="s">
        <v>327</v>
      </c>
      <c r="E87" s="7" t="s">
        <v>390</v>
      </c>
      <c r="F87" s="7" t="s">
        <v>391</v>
      </c>
      <c r="G87" s="3" t="s">
        <v>51</v>
      </c>
      <c r="H87" s="6" t="s">
        <v>392</v>
      </c>
      <c r="I87" s="3" t="s">
        <v>67</v>
      </c>
      <c r="J87" s="6" t="s">
        <v>393</v>
      </c>
      <c r="K87" s="3"/>
      <c r="L87" s="6"/>
      <c r="M87" s="3" t="s">
        <v>53</v>
      </c>
      <c r="N87" s="6" t="s">
        <v>394</v>
      </c>
      <c r="O87" s="3"/>
      <c r="P87" s="6"/>
      <c r="Q87" s="3" t="s">
        <v>67</v>
      </c>
      <c r="R87" s="6" t="s">
        <v>395</v>
      </c>
      <c r="S87" s="5">
        <f>38537.14</f>
        <v>38537.14</v>
      </c>
      <c r="T87" s="4">
        <f>38</f>
        <v>38</v>
      </c>
      <c r="U87" s="4"/>
      <c r="V87" s="4"/>
      <c r="W87" s="4">
        <f>73264000</f>
        <v>73264000</v>
      </c>
      <c r="X87" s="4"/>
      <c r="Y87" s="4"/>
      <c r="Z87" s="3"/>
      <c r="AA87" s="2">
        <f>48</f>
        <v>48</v>
      </c>
      <c r="AB87" s="2" t="str">
        <f t="shared" si="8"/>
        <v>－</v>
      </c>
      <c r="AC87" s="1">
        <f>13</f>
        <v>13</v>
      </c>
    </row>
    <row r="88" spans="1:29">
      <c r="A88" s="9" t="s">
        <v>46</v>
      </c>
      <c r="B88" s="8" t="s">
        <v>366</v>
      </c>
      <c r="C88" s="8" t="s">
        <v>367</v>
      </c>
      <c r="D88" s="8" t="s">
        <v>332</v>
      </c>
      <c r="E88" s="7" t="s">
        <v>396</v>
      </c>
      <c r="F88" s="7" t="s">
        <v>397</v>
      </c>
      <c r="G88" s="3" t="s">
        <v>51</v>
      </c>
      <c r="H88" s="6" t="s">
        <v>398</v>
      </c>
      <c r="I88" s="3" t="s">
        <v>51</v>
      </c>
      <c r="J88" s="6" t="s">
        <v>399</v>
      </c>
      <c r="K88" s="3"/>
      <c r="L88" s="6"/>
      <c r="M88" s="3" t="s">
        <v>172</v>
      </c>
      <c r="N88" s="6" t="s">
        <v>400</v>
      </c>
      <c r="O88" s="3"/>
      <c r="P88" s="6"/>
      <c r="Q88" s="3" t="s">
        <v>67</v>
      </c>
      <c r="R88" s="6" t="s">
        <v>401</v>
      </c>
      <c r="S88" s="5">
        <f>40080.95</f>
        <v>40080.949999999997</v>
      </c>
      <c r="T88" s="4">
        <f>152</f>
        <v>152</v>
      </c>
      <c r="U88" s="4"/>
      <c r="V88" s="4"/>
      <c r="W88" s="4">
        <f>304523500</f>
        <v>304523500</v>
      </c>
      <c r="X88" s="4"/>
      <c r="Y88" s="4"/>
      <c r="Z88" s="3"/>
      <c r="AA88" s="2">
        <f>92</f>
        <v>92</v>
      </c>
      <c r="AB88" s="2" t="str">
        <f t="shared" si="8"/>
        <v>－</v>
      </c>
      <c r="AC88" s="1">
        <f>20</f>
        <v>20</v>
      </c>
    </row>
    <row r="89" spans="1:29">
      <c r="A89" s="9" t="s">
        <v>46</v>
      </c>
      <c r="B89" s="8" t="s">
        <v>366</v>
      </c>
      <c r="C89" s="8" t="s">
        <v>367</v>
      </c>
      <c r="D89" s="8" t="s">
        <v>402</v>
      </c>
      <c r="E89" s="7" t="s">
        <v>403</v>
      </c>
      <c r="F89" s="7" t="s">
        <v>404</v>
      </c>
      <c r="G89" s="3" t="s">
        <v>89</v>
      </c>
      <c r="H89" s="6" t="s">
        <v>405</v>
      </c>
      <c r="I89" s="3" t="s">
        <v>67</v>
      </c>
      <c r="J89" s="6" t="s">
        <v>406</v>
      </c>
      <c r="K89" s="3"/>
      <c r="L89" s="6"/>
      <c r="M89" s="3" t="s">
        <v>53</v>
      </c>
      <c r="N89" s="6" t="s">
        <v>407</v>
      </c>
      <c r="O89" s="3"/>
      <c r="P89" s="6"/>
      <c r="Q89" s="3" t="s">
        <v>67</v>
      </c>
      <c r="R89" s="6" t="s">
        <v>408</v>
      </c>
      <c r="S89" s="5">
        <f>40268</f>
        <v>40268</v>
      </c>
      <c r="T89" s="4">
        <f>19</f>
        <v>19</v>
      </c>
      <c r="U89" s="4"/>
      <c r="V89" s="4"/>
      <c r="W89" s="4">
        <f>38790000</f>
        <v>38790000</v>
      </c>
      <c r="X89" s="4"/>
      <c r="Y89" s="4"/>
      <c r="Z89" s="3"/>
      <c r="AA89" s="2">
        <f>14</f>
        <v>14</v>
      </c>
      <c r="AB89" s="2" t="str">
        <f t="shared" si="8"/>
        <v>－</v>
      </c>
      <c r="AC89" s="1">
        <f>7</f>
        <v>7</v>
      </c>
    </row>
    <row r="90" spans="1:29">
      <c r="A90" s="9" t="s">
        <v>46</v>
      </c>
      <c r="B90" s="8" t="s">
        <v>409</v>
      </c>
      <c r="C90" s="8" t="s">
        <v>410</v>
      </c>
      <c r="D90" s="8" t="s">
        <v>46</v>
      </c>
      <c r="E90" s="7" t="s">
        <v>368</v>
      </c>
      <c r="F90" s="7" t="s">
        <v>369</v>
      </c>
      <c r="G90" s="3"/>
      <c r="H90" s="6" t="s">
        <v>153</v>
      </c>
      <c r="I90" s="3"/>
      <c r="J90" s="6" t="s">
        <v>153</v>
      </c>
      <c r="K90" s="3"/>
      <c r="L90" s="6"/>
      <c r="M90" s="3"/>
      <c r="N90" s="6" t="s">
        <v>153</v>
      </c>
      <c r="O90" s="3"/>
      <c r="P90" s="6"/>
      <c r="Q90" s="3"/>
      <c r="R90" s="6" t="s">
        <v>153</v>
      </c>
      <c r="S90" s="5">
        <f>64000</f>
        <v>64000</v>
      </c>
      <c r="T90" s="4" t="str">
        <f t="shared" ref="T90:T103" si="12">"－"</f>
        <v>－</v>
      </c>
      <c r="U90" s="4"/>
      <c r="V90" s="4"/>
      <c r="W90" s="4" t="str">
        <f t="shared" ref="W90:W103" si="13">"－"</f>
        <v>－</v>
      </c>
      <c r="X90" s="4"/>
      <c r="Y90" s="4"/>
      <c r="Z90" s="3" t="s">
        <v>59</v>
      </c>
      <c r="AA90" s="2" t="str">
        <f t="shared" ref="AA90:AA103" si="14">"－"</f>
        <v>－</v>
      </c>
      <c r="AB90" s="2" t="str">
        <f t="shared" si="8"/>
        <v>－</v>
      </c>
      <c r="AC90" s="1" t="str">
        <f t="shared" ref="AC90:AC103" si="15">"－"</f>
        <v>－</v>
      </c>
    </row>
    <row r="91" spans="1:29">
      <c r="A91" s="9" t="s">
        <v>46</v>
      </c>
      <c r="B91" s="8" t="s">
        <v>409</v>
      </c>
      <c r="C91" s="8" t="s">
        <v>410</v>
      </c>
      <c r="D91" s="8" t="s">
        <v>60</v>
      </c>
      <c r="E91" s="7" t="s">
        <v>373</v>
      </c>
      <c r="F91" s="7" t="s">
        <v>374</v>
      </c>
      <c r="G91" s="3"/>
      <c r="H91" s="6" t="s">
        <v>153</v>
      </c>
      <c r="I91" s="3"/>
      <c r="J91" s="6" t="s">
        <v>153</v>
      </c>
      <c r="K91" s="3"/>
      <c r="L91" s="6"/>
      <c r="M91" s="3"/>
      <c r="N91" s="6" t="s">
        <v>153</v>
      </c>
      <c r="O91" s="3"/>
      <c r="P91" s="6"/>
      <c r="Q91" s="3"/>
      <c r="R91" s="6" t="s">
        <v>153</v>
      </c>
      <c r="S91" s="5">
        <f>64000</f>
        <v>64000</v>
      </c>
      <c r="T91" s="4" t="str">
        <f t="shared" si="12"/>
        <v>－</v>
      </c>
      <c r="U91" s="4"/>
      <c r="V91" s="4"/>
      <c r="W91" s="4" t="str">
        <f t="shared" si="13"/>
        <v>－</v>
      </c>
      <c r="X91" s="4"/>
      <c r="Y91" s="4"/>
      <c r="Z91" s="3"/>
      <c r="AA91" s="2" t="str">
        <f t="shared" si="14"/>
        <v>－</v>
      </c>
      <c r="AB91" s="2" t="str">
        <f t="shared" si="8"/>
        <v>－</v>
      </c>
      <c r="AC91" s="1" t="str">
        <f t="shared" si="15"/>
        <v>－</v>
      </c>
    </row>
    <row r="92" spans="1:29">
      <c r="A92" s="9" t="s">
        <v>46</v>
      </c>
      <c r="B92" s="8" t="s">
        <v>409</v>
      </c>
      <c r="C92" s="8" t="s">
        <v>410</v>
      </c>
      <c r="D92" s="8" t="s">
        <v>69</v>
      </c>
      <c r="E92" s="7" t="s">
        <v>379</v>
      </c>
      <c r="F92" s="7" t="s">
        <v>380</v>
      </c>
      <c r="G92" s="3"/>
      <c r="H92" s="6" t="s">
        <v>153</v>
      </c>
      <c r="I92" s="3"/>
      <c r="J92" s="6" t="s">
        <v>153</v>
      </c>
      <c r="K92" s="3"/>
      <c r="L92" s="6"/>
      <c r="M92" s="3"/>
      <c r="N92" s="6" t="s">
        <v>153</v>
      </c>
      <c r="O92" s="3"/>
      <c r="P92" s="6"/>
      <c r="Q92" s="3"/>
      <c r="R92" s="6" t="s">
        <v>153</v>
      </c>
      <c r="S92" s="5">
        <f>64000</f>
        <v>64000</v>
      </c>
      <c r="T92" s="4" t="str">
        <f t="shared" si="12"/>
        <v>－</v>
      </c>
      <c r="U92" s="4"/>
      <c r="V92" s="4"/>
      <c r="W92" s="4" t="str">
        <f t="shared" si="13"/>
        <v>－</v>
      </c>
      <c r="X92" s="4"/>
      <c r="Y92" s="4"/>
      <c r="Z92" s="3"/>
      <c r="AA92" s="2" t="str">
        <f t="shared" si="14"/>
        <v>－</v>
      </c>
      <c r="AB92" s="2" t="str">
        <f t="shared" si="8"/>
        <v>－</v>
      </c>
      <c r="AC92" s="1" t="str">
        <f t="shared" si="15"/>
        <v>－</v>
      </c>
    </row>
    <row r="93" spans="1:29">
      <c r="A93" s="9" t="s">
        <v>46</v>
      </c>
      <c r="B93" s="8" t="s">
        <v>409</v>
      </c>
      <c r="C93" s="8" t="s">
        <v>410</v>
      </c>
      <c r="D93" s="8" t="s">
        <v>80</v>
      </c>
      <c r="E93" s="7" t="s">
        <v>384</v>
      </c>
      <c r="F93" s="7" t="s">
        <v>385</v>
      </c>
      <c r="G93" s="3"/>
      <c r="H93" s="6" t="s">
        <v>153</v>
      </c>
      <c r="I93" s="3"/>
      <c r="J93" s="6" t="s">
        <v>153</v>
      </c>
      <c r="K93" s="3"/>
      <c r="L93" s="6"/>
      <c r="M93" s="3"/>
      <c r="N93" s="6" t="s">
        <v>153</v>
      </c>
      <c r="O93" s="3"/>
      <c r="P93" s="6"/>
      <c r="Q93" s="3"/>
      <c r="R93" s="6" t="s">
        <v>153</v>
      </c>
      <c r="S93" s="5">
        <f>64000</f>
        <v>64000</v>
      </c>
      <c r="T93" s="4" t="str">
        <f t="shared" si="12"/>
        <v>－</v>
      </c>
      <c r="U93" s="4"/>
      <c r="V93" s="4"/>
      <c r="W93" s="4" t="str">
        <f t="shared" si="13"/>
        <v>－</v>
      </c>
      <c r="X93" s="4"/>
      <c r="Y93" s="4"/>
      <c r="Z93" s="3"/>
      <c r="AA93" s="2" t="str">
        <f t="shared" si="14"/>
        <v>－</v>
      </c>
      <c r="AB93" s="2" t="str">
        <f t="shared" si="8"/>
        <v>－</v>
      </c>
      <c r="AC93" s="1" t="str">
        <f t="shared" si="15"/>
        <v>－</v>
      </c>
    </row>
    <row r="94" spans="1:29">
      <c r="A94" s="9" t="s">
        <v>46</v>
      </c>
      <c r="B94" s="8" t="s">
        <v>409</v>
      </c>
      <c r="C94" s="8" t="s">
        <v>410</v>
      </c>
      <c r="D94" s="8" t="s">
        <v>85</v>
      </c>
      <c r="E94" s="7" t="s">
        <v>390</v>
      </c>
      <c r="F94" s="7" t="s">
        <v>391</v>
      </c>
      <c r="G94" s="3"/>
      <c r="H94" s="6" t="s">
        <v>153</v>
      </c>
      <c r="I94" s="3"/>
      <c r="J94" s="6" t="s">
        <v>153</v>
      </c>
      <c r="K94" s="3"/>
      <c r="L94" s="6"/>
      <c r="M94" s="3"/>
      <c r="N94" s="6" t="s">
        <v>153</v>
      </c>
      <c r="O94" s="3"/>
      <c r="P94" s="6"/>
      <c r="Q94" s="3"/>
      <c r="R94" s="6" t="s">
        <v>153</v>
      </c>
      <c r="S94" s="5">
        <f>64000</f>
        <v>64000</v>
      </c>
      <c r="T94" s="4" t="str">
        <f t="shared" si="12"/>
        <v>－</v>
      </c>
      <c r="U94" s="4"/>
      <c r="V94" s="4"/>
      <c r="W94" s="4" t="str">
        <f t="shared" si="13"/>
        <v>－</v>
      </c>
      <c r="X94" s="4"/>
      <c r="Y94" s="4"/>
      <c r="Z94" s="3"/>
      <c r="AA94" s="2" t="str">
        <f t="shared" si="14"/>
        <v>－</v>
      </c>
      <c r="AB94" s="2" t="str">
        <f t="shared" si="8"/>
        <v>－</v>
      </c>
      <c r="AC94" s="1" t="str">
        <f t="shared" si="15"/>
        <v>－</v>
      </c>
    </row>
    <row r="95" spans="1:29">
      <c r="A95" s="9" t="s">
        <v>46</v>
      </c>
      <c r="B95" s="8" t="s">
        <v>409</v>
      </c>
      <c r="C95" s="8" t="s">
        <v>410</v>
      </c>
      <c r="D95" s="8" t="s">
        <v>94</v>
      </c>
      <c r="E95" s="7" t="s">
        <v>396</v>
      </c>
      <c r="F95" s="7" t="s">
        <v>397</v>
      </c>
      <c r="G95" s="3"/>
      <c r="H95" s="6" t="s">
        <v>153</v>
      </c>
      <c r="I95" s="3"/>
      <c r="J95" s="6" t="s">
        <v>153</v>
      </c>
      <c r="K95" s="3"/>
      <c r="L95" s="6"/>
      <c r="M95" s="3"/>
      <c r="N95" s="6" t="s">
        <v>153</v>
      </c>
      <c r="O95" s="3"/>
      <c r="P95" s="6"/>
      <c r="Q95" s="3"/>
      <c r="R95" s="6" t="s">
        <v>153</v>
      </c>
      <c r="S95" s="5">
        <f>64000</f>
        <v>64000</v>
      </c>
      <c r="T95" s="4" t="str">
        <f t="shared" si="12"/>
        <v>－</v>
      </c>
      <c r="U95" s="4"/>
      <c r="V95" s="4"/>
      <c r="W95" s="4" t="str">
        <f t="shared" si="13"/>
        <v>－</v>
      </c>
      <c r="X95" s="4"/>
      <c r="Y95" s="4"/>
      <c r="Z95" s="3"/>
      <c r="AA95" s="2" t="str">
        <f t="shared" si="14"/>
        <v>－</v>
      </c>
      <c r="AB95" s="2" t="str">
        <f t="shared" si="8"/>
        <v>－</v>
      </c>
      <c r="AC95" s="1" t="str">
        <f t="shared" si="15"/>
        <v>－</v>
      </c>
    </row>
    <row r="96" spans="1:29">
      <c r="A96" s="9" t="s">
        <v>46</v>
      </c>
      <c r="B96" s="8" t="s">
        <v>409</v>
      </c>
      <c r="C96" s="8" t="s">
        <v>410</v>
      </c>
      <c r="D96" s="8" t="s">
        <v>102</v>
      </c>
      <c r="E96" s="7" t="s">
        <v>403</v>
      </c>
      <c r="F96" s="7" t="s">
        <v>404</v>
      </c>
      <c r="G96" s="3"/>
      <c r="H96" s="6" t="s">
        <v>153</v>
      </c>
      <c r="I96" s="3"/>
      <c r="J96" s="6" t="s">
        <v>153</v>
      </c>
      <c r="K96" s="3"/>
      <c r="L96" s="6"/>
      <c r="M96" s="3"/>
      <c r="N96" s="6" t="s">
        <v>153</v>
      </c>
      <c r="O96" s="3"/>
      <c r="P96" s="6"/>
      <c r="Q96" s="3"/>
      <c r="R96" s="6" t="s">
        <v>153</v>
      </c>
      <c r="S96" s="5">
        <f>64000</f>
        <v>64000</v>
      </c>
      <c r="T96" s="4" t="str">
        <f t="shared" si="12"/>
        <v>－</v>
      </c>
      <c r="U96" s="4"/>
      <c r="V96" s="4"/>
      <c r="W96" s="4" t="str">
        <f t="shared" si="13"/>
        <v>－</v>
      </c>
      <c r="X96" s="4"/>
      <c r="Y96" s="4"/>
      <c r="Z96" s="3"/>
      <c r="AA96" s="2" t="str">
        <f t="shared" si="14"/>
        <v>－</v>
      </c>
      <c r="AB96" s="2" t="str">
        <f t="shared" si="8"/>
        <v>－</v>
      </c>
      <c r="AC96" s="1" t="str">
        <f t="shared" si="15"/>
        <v>－</v>
      </c>
    </row>
    <row r="97" spans="1:29">
      <c r="A97" s="9" t="s">
        <v>46</v>
      </c>
      <c r="B97" s="8" t="s">
        <v>411</v>
      </c>
      <c r="C97" s="8" t="s">
        <v>412</v>
      </c>
      <c r="D97" s="8" t="s">
        <v>46</v>
      </c>
      <c r="E97" s="7" t="s">
        <v>81</v>
      </c>
      <c r="F97" s="7" t="s">
        <v>50</v>
      </c>
      <c r="G97" s="3"/>
      <c r="H97" s="6" t="s">
        <v>153</v>
      </c>
      <c r="I97" s="3"/>
      <c r="J97" s="6" t="s">
        <v>153</v>
      </c>
      <c r="K97" s="3"/>
      <c r="L97" s="6"/>
      <c r="M97" s="3"/>
      <c r="N97" s="6" t="s">
        <v>153</v>
      </c>
      <c r="O97" s="3"/>
      <c r="P97" s="6"/>
      <c r="Q97" s="3"/>
      <c r="R97" s="6" t="s">
        <v>153</v>
      </c>
      <c r="S97" s="5">
        <f>12300</f>
        <v>12300</v>
      </c>
      <c r="T97" s="4" t="str">
        <f t="shared" si="12"/>
        <v>－</v>
      </c>
      <c r="U97" s="4"/>
      <c r="V97" s="4"/>
      <c r="W97" s="4" t="str">
        <f t="shared" si="13"/>
        <v>－</v>
      </c>
      <c r="X97" s="4"/>
      <c r="Y97" s="4"/>
      <c r="Z97" s="3" t="s">
        <v>59</v>
      </c>
      <c r="AA97" s="2" t="str">
        <f t="shared" si="14"/>
        <v>－</v>
      </c>
      <c r="AB97" s="2" t="str">
        <f t="shared" si="8"/>
        <v>－</v>
      </c>
      <c r="AC97" s="1" t="str">
        <f t="shared" si="15"/>
        <v>－</v>
      </c>
    </row>
    <row r="98" spans="1:29">
      <c r="A98" s="9" t="s">
        <v>46</v>
      </c>
      <c r="B98" s="8" t="s">
        <v>411</v>
      </c>
      <c r="C98" s="8" t="s">
        <v>412</v>
      </c>
      <c r="D98" s="8" t="s">
        <v>254</v>
      </c>
      <c r="E98" s="7" t="s">
        <v>413</v>
      </c>
      <c r="F98" s="7" t="s">
        <v>414</v>
      </c>
      <c r="G98" s="3"/>
      <c r="H98" s="6" t="s">
        <v>153</v>
      </c>
      <c r="I98" s="3"/>
      <c r="J98" s="6" t="s">
        <v>153</v>
      </c>
      <c r="K98" s="3"/>
      <c r="L98" s="6"/>
      <c r="M98" s="3"/>
      <c r="N98" s="6" t="s">
        <v>153</v>
      </c>
      <c r="O98" s="3"/>
      <c r="P98" s="6"/>
      <c r="Q98" s="3"/>
      <c r="R98" s="6" t="s">
        <v>153</v>
      </c>
      <c r="S98" s="5">
        <f>12300</f>
        <v>12300</v>
      </c>
      <c r="T98" s="4" t="str">
        <f t="shared" si="12"/>
        <v>－</v>
      </c>
      <c r="U98" s="4"/>
      <c r="V98" s="4"/>
      <c r="W98" s="4" t="str">
        <f t="shared" si="13"/>
        <v>－</v>
      </c>
      <c r="X98" s="4"/>
      <c r="Y98" s="4"/>
      <c r="Z98" s="3"/>
      <c r="AA98" s="2" t="str">
        <f t="shared" si="14"/>
        <v>－</v>
      </c>
      <c r="AB98" s="2" t="str">
        <f t="shared" si="8"/>
        <v>－</v>
      </c>
      <c r="AC98" s="1" t="str">
        <f t="shared" si="15"/>
        <v>－</v>
      </c>
    </row>
    <row r="99" spans="1:29">
      <c r="A99" s="9" t="s">
        <v>46</v>
      </c>
      <c r="B99" s="8" t="s">
        <v>411</v>
      </c>
      <c r="C99" s="8" t="s">
        <v>412</v>
      </c>
      <c r="D99" s="8" t="s">
        <v>60</v>
      </c>
      <c r="E99" s="7" t="s">
        <v>415</v>
      </c>
      <c r="F99" s="7" t="s">
        <v>62</v>
      </c>
      <c r="G99" s="3"/>
      <c r="H99" s="6" t="s">
        <v>153</v>
      </c>
      <c r="I99" s="3"/>
      <c r="J99" s="6" t="s">
        <v>153</v>
      </c>
      <c r="K99" s="3"/>
      <c r="L99" s="6"/>
      <c r="M99" s="3"/>
      <c r="N99" s="6" t="s">
        <v>153</v>
      </c>
      <c r="O99" s="3"/>
      <c r="P99" s="6"/>
      <c r="Q99" s="3"/>
      <c r="R99" s="6" t="s">
        <v>153</v>
      </c>
      <c r="S99" s="5">
        <f>12300</f>
        <v>12300</v>
      </c>
      <c r="T99" s="4" t="str">
        <f t="shared" si="12"/>
        <v>－</v>
      </c>
      <c r="U99" s="4"/>
      <c r="V99" s="4"/>
      <c r="W99" s="4" t="str">
        <f t="shared" si="13"/>
        <v>－</v>
      </c>
      <c r="X99" s="4"/>
      <c r="Y99" s="4"/>
      <c r="Z99" s="3"/>
      <c r="AA99" s="2" t="str">
        <f t="shared" si="14"/>
        <v>－</v>
      </c>
      <c r="AB99" s="2" t="str">
        <f t="shared" si="8"/>
        <v>－</v>
      </c>
      <c r="AC99" s="1" t="str">
        <f t="shared" si="15"/>
        <v>－</v>
      </c>
    </row>
    <row r="100" spans="1:29">
      <c r="A100" s="9" t="s">
        <v>46</v>
      </c>
      <c r="B100" s="8" t="s">
        <v>411</v>
      </c>
      <c r="C100" s="8" t="s">
        <v>412</v>
      </c>
      <c r="D100" s="8" t="s">
        <v>259</v>
      </c>
      <c r="E100" s="7" t="s">
        <v>416</v>
      </c>
      <c r="F100" s="7" t="s">
        <v>417</v>
      </c>
      <c r="G100" s="3"/>
      <c r="H100" s="6" t="s">
        <v>153</v>
      </c>
      <c r="I100" s="3"/>
      <c r="J100" s="6" t="s">
        <v>153</v>
      </c>
      <c r="K100" s="3"/>
      <c r="L100" s="6"/>
      <c r="M100" s="3"/>
      <c r="N100" s="6" t="s">
        <v>153</v>
      </c>
      <c r="O100" s="3"/>
      <c r="P100" s="6"/>
      <c r="Q100" s="3"/>
      <c r="R100" s="6" t="s">
        <v>153</v>
      </c>
      <c r="S100" s="5">
        <f>12300</f>
        <v>12300</v>
      </c>
      <c r="T100" s="4" t="str">
        <f t="shared" si="12"/>
        <v>－</v>
      </c>
      <c r="U100" s="4"/>
      <c r="V100" s="4"/>
      <c r="W100" s="4" t="str">
        <f t="shared" si="13"/>
        <v>－</v>
      </c>
      <c r="X100" s="4"/>
      <c r="Y100" s="4"/>
      <c r="Z100" s="3"/>
      <c r="AA100" s="2" t="str">
        <f t="shared" si="14"/>
        <v>－</v>
      </c>
      <c r="AB100" s="2" t="str">
        <f t="shared" si="8"/>
        <v>－</v>
      </c>
      <c r="AC100" s="1" t="str">
        <f t="shared" si="15"/>
        <v>－</v>
      </c>
    </row>
    <row r="101" spans="1:29">
      <c r="A101" s="9" t="s">
        <v>46</v>
      </c>
      <c r="B101" s="8" t="s">
        <v>411</v>
      </c>
      <c r="C101" s="8" t="s">
        <v>412</v>
      </c>
      <c r="D101" s="8" t="s">
        <v>69</v>
      </c>
      <c r="E101" s="7" t="s">
        <v>95</v>
      </c>
      <c r="F101" s="7" t="s">
        <v>71</v>
      </c>
      <c r="G101" s="3"/>
      <c r="H101" s="6" t="s">
        <v>153</v>
      </c>
      <c r="I101" s="3"/>
      <c r="J101" s="6" t="s">
        <v>153</v>
      </c>
      <c r="K101" s="3"/>
      <c r="L101" s="6"/>
      <c r="M101" s="3"/>
      <c r="N101" s="6" t="s">
        <v>153</v>
      </c>
      <c r="O101" s="3"/>
      <c r="P101" s="6"/>
      <c r="Q101" s="3"/>
      <c r="R101" s="6" t="s">
        <v>153</v>
      </c>
      <c r="S101" s="5">
        <f>12300</f>
        <v>12300</v>
      </c>
      <c r="T101" s="4" t="str">
        <f t="shared" si="12"/>
        <v>－</v>
      </c>
      <c r="U101" s="4"/>
      <c r="V101" s="4"/>
      <c r="W101" s="4" t="str">
        <f t="shared" si="13"/>
        <v>－</v>
      </c>
      <c r="X101" s="4"/>
      <c r="Y101" s="4"/>
      <c r="Z101" s="3"/>
      <c r="AA101" s="2" t="str">
        <f t="shared" si="14"/>
        <v>－</v>
      </c>
      <c r="AB101" s="2" t="str">
        <f t="shared" si="8"/>
        <v>－</v>
      </c>
      <c r="AC101" s="1" t="str">
        <f t="shared" si="15"/>
        <v>－</v>
      </c>
    </row>
    <row r="102" spans="1:29">
      <c r="A102" s="9" t="s">
        <v>46</v>
      </c>
      <c r="B102" s="8" t="s">
        <v>411</v>
      </c>
      <c r="C102" s="8" t="s">
        <v>412</v>
      </c>
      <c r="D102" s="8" t="s">
        <v>264</v>
      </c>
      <c r="E102" s="7" t="s">
        <v>418</v>
      </c>
      <c r="F102" s="7" t="s">
        <v>419</v>
      </c>
      <c r="G102" s="3"/>
      <c r="H102" s="6" t="s">
        <v>153</v>
      </c>
      <c r="I102" s="3"/>
      <c r="J102" s="6" t="s">
        <v>153</v>
      </c>
      <c r="K102" s="3"/>
      <c r="L102" s="6"/>
      <c r="M102" s="3"/>
      <c r="N102" s="6" t="s">
        <v>153</v>
      </c>
      <c r="O102" s="3"/>
      <c r="P102" s="6"/>
      <c r="Q102" s="3"/>
      <c r="R102" s="6" t="s">
        <v>153</v>
      </c>
      <c r="S102" s="5">
        <f>12300</f>
        <v>12300</v>
      </c>
      <c r="T102" s="4" t="str">
        <f t="shared" si="12"/>
        <v>－</v>
      </c>
      <c r="U102" s="4"/>
      <c r="V102" s="4"/>
      <c r="W102" s="4" t="str">
        <f t="shared" si="13"/>
        <v>－</v>
      </c>
      <c r="X102" s="4"/>
      <c r="Y102" s="4"/>
      <c r="Z102" s="3"/>
      <c r="AA102" s="2" t="str">
        <f t="shared" si="14"/>
        <v>－</v>
      </c>
      <c r="AB102" s="2" t="str">
        <f t="shared" si="8"/>
        <v>－</v>
      </c>
      <c r="AC102" s="1" t="str">
        <f t="shared" si="15"/>
        <v>－</v>
      </c>
    </row>
    <row r="103" spans="1:29">
      <c r="A103" s="9" t="s">
        <v>46</v>
      </c>
      <c r="B103" s="8" t="s">
        <v>411</v>
      </c>
      <c r="C103" s="8" t="s">
        <v>412</v>
      </c>
      <c r="D103" s="8" t="s">
        <v>80</v>
      </c>
      <c r="E103" s="7" t="s">
        <v>103</v>
      </c>
      <c r="F103" s="7" t="s">
        <v>82</v>
      </c>
      <c r="G103" s="3"/>
      <c r="H103" s="6" t="s">
        <v>153</v>
      </c>
      <c r="I103" s="3"/>
      <c r="J103" s="6" t="s">
        <v>153</v>
      </c>
      <c r="K103" s="3"/>
      <c r="L103" s="6"/>
      <c r="M103" s="3"/>
      <c r="N103" s="6" t="s">
        <v>153</v>
      </c>
      <c r="O103" s="3"/>
      <c r="P103" s="6"/>
      <c r="Q103" s="3"/>
      <c r="R103" s="6" t="s">
        <v>153</v>
      </c>
      <c r="S103" s="5">
        <f>12300</f>
        <v>12300</v>
      </c>
      <c r="T103" s="4" t="str">
        <f t="shared" si="12"/>
        <v>－</v>
      </c>
      <c r="U103" s="4"/>
      <c r="V103" s="4"/>
      <c r="W103" s="4" t="str">
        <f t="shared" si="13"/>
        <v>－</v>
      </c>
      <c r="X103" s="4"/>
      <c r="Y103" s="4"/>
      <c r="Z103" s="3"/>
      <c r="AA103" s="2" t="str">
        <f t="shared" si="14"/>
        <v>－</v>
      </c>
      <c r="AB103" s="2" t="str">
        <f t="shared" si="8"/>
        <v>－</v>
      </c>
      <c r="AC103" s="1" t="str">
        <f t="shared" si="15"/>
        <v>－</v>
      </c>
    </row>
  </sheetData>
  <mergeCells count="32">
    <mergeCell ref="AC3:AC5"/>
    <mergeCell ref="G4:G5"/>
    <mergeCell ref="H4:H5"/>
    <mergeCell ref="K4:L4"/>
    <mergeCell ref="M4:M5"/>
    <mergeCell ref="W4:W5"/>
    <mergeCell ref="I4:I5"/>
    <mergeCell ref="J4:J5"/>
    <mergeCell ref="N4:N5"/>
    <mergeCell ref="O4:P4"/>
    <mergeCell ref="Q4:Q5"/>
    <mergeCell ref="R4:R5"/>
    <mergeCell ref="T4:T5"/>
    <mergeCell ref="U4:U5"/>
    <mergeCell ref="AB3:AB5"/>
    <mergeCell ref="T3:V3"/>
    <mergeCell ref="W3:Y3"/>
    <mergeCell ref="A1:J1"/>
    <mergeCell ref="A2:C2"/>
    <mergeCell ref="A3:A5"/>
    <mergeCell ref="B3:B6"/>
    <mergeCell ref="C3:C6"/>
    <mergeCell ref="D3:D5"/>
    <mergeCell ref="E3:F5"/>
    <mergeCell ref="E6:F6"/>
    <mergeCell ref="Z6:AA6"/>
    <mergeCell ref="V4:V5"/>
    <mergeCell ref="Y4:Y5"/>
    <mergeCell ref="G3:R3"/>
    <mergeCell ref="X4:X5"/>
    <mergeCell ref="S3:S5"/>
    <mergeCell ref="Z3:AA5"/>
  </mergeCells>
  <phoneticPr fontId="6"/>
  <printOptions horizontalCentered="1"/>
  <pageMargins left="0.39370078740157483" right="0.39370078740157483" top="0.59055118110236227" bottom="0.98425196850393704" header="0.51181102362204722" footer="0.51181102362204722"/>
  <pageSetup paperSize="9" scale="36" fitToHeight="0" orientation="landscape" useFirstPageNumber="1" r:id="rId1"/>
  <headerFooter>
    <oddFooter>&amp;C&amp;P/&amp;N&amp;RCopyright (c) Japan Exchange Group, Inc. All Rights Reserved.</oddFooter>
  </headerFooter>
  <drawing r:id="rId2"/>
</worksheet>
</file>

<file path=docMetadata/LabelInfo.xml><?xml version="1.0" encoding="utf-8"?>
<clbl:labelList xmlns:clbl="http://schemas.microsoft.com/office/2020/mipLabelMetadata">
  <clbl:label id="{194db3f9-2286-46b9-ba58-9c0f26e25b2c}" enabled="1" method="Standar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BO_DM0005</vt:lpstr>
      <vt:lpstr>BO_DM0005!Print_Titles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Suzuki, Norio (鈴木 典夫)</cp:lastModifiedBy>
  <cp:lastPrinted>2020-10-20T00:01:10Z</cp:lastPrinted>
  <dcterms:created xsi:type="dcterms:W3CDTF">2017-12-14T02:19:15Z</dcterms:created>
  <dcterms:modified xsi:type="dcterms:W3CDTF">2024-12-04T05:09:10Z</dcterms:modified>
</cp:coreProperties>
</file>