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documentId="13_ncr:1_{7CC55A63-2C9B-418F-94EE-FD33B83DA6C7}" revIDLastSave="0" xr10:uidLastSave="{00000000-0000-0000-0000-000000000000}" xr6:coauthVersionLast="45" xr6:coauthVersionMax="45"/>
  <bookViews>
    <workbookView windowHeight="11160" windowWidth="20730" xWindow="-120" xr2:uid="{00000000-000D-0000-FFFF-FFFF00000000}" yWindow="-120"/>
  </bookViews>
  <sheets>
    <sheet name="BO_DM0000" r:id="rId1" sheetId="8"/>
  </sheets>
  <definedNames>
    <definedName localSheetId="0" name="_xlnm.Print_Titles">BO_DM0000!$1:$6</definedName>
  </definedNames>
  <calcPr calcId="191029"/>
</workbook>
</file>

<file path=xl/sharedStrings.xml><?xml version="1.0" encoding="utf-8"?>
<sst xmlns="http://schemas.openxmlformats.org/spreadsheetml/2006/main" count="1784" uniqueCount="494">
  <si>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</si>
  <si>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</si>
  <si>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</si>
  <si>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</si>
  <si>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</si>
  <si>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</si>
  <si>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</si>
  <si>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</si>
  <si>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eb="2" sb="0">
      <t>トリヒキ</t>
    </rPh>
    <rPh eb="4" sb="2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</si>
  <si>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</si>
  <si>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</si>
  <si>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</si>
  <si>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</si>
  <si>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</si>
  <si>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</si>
  <si>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</si>
  <si>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</si>
  <si>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eb="2" sb="0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</si>
  <si>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</si>
  <si>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</si>
  <si>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</si>
  <si>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</si>
  <si>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</si>
  <si>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</si>
  <si>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</si>
  <si>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</si>
  <si>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</si>
  <si>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</si>
  <si>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</si>
  <si>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eb="6" sb="4">
      <t>スウチ</t>
    </rPh>
    <phoneticPr fontId="6"/>
  </si>
  <si>
    <t>Average
Settlement
Price(￥/point)</t>
    <phoneticPr fontId="6"/>
  </si>
  <si>
    <t>日</t>
    <rPh eb="1" sb="0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</si>
  <si>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</si>
  <si>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</si>
  <si>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</si>
  <si>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</si>
  <si>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eb="2" sb="0">
      <t>ショウヒン</t>
    </rPh>
    <rPh eb="3" sb="2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</si>
  <si>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</si>
  <si>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</si>
  <si>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</si>
  <si>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</si>
  <si>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</si>
  <si>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</si>
  <si>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</si>
  <si>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</si>
  <si>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</si>
  <si>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2024/09</t>
  </si>
  <si>
    <t>日経225先物</t>
  </si>
  <si>
    <t>Nikkei 225 Futures</t>
  </si>
  <si>
    <t>2023/03/10</t>
  </si>
  <si>
    <t>2024/09/12</t>
  </si>
  <si>
    <t>02</t>
  </si>
  <si>
    <t>38,730</t>
  </si>
  <si>
    <t>39,140</t>
  </si>
  <si>
    <t>39,140.0000</t>
  </si>
  <si>
    <t>09</t>
  </si>
  <si>
    <t>35,120</t>
  </si>
  <si>
    <t>35,152.5000</t>
  </si>
  <si>
    <t>12</t>
  </si>
  <si>
    <t>36,870</t>
  </si>
  <si>
    <t>*</t>
  </si>
  <si>
    <t>2024/12</t>
  </si>
  <si>
    <t>2018/07/17</t>
  </si>
  <si>
    <t>2024/12/12</t>
  </si>
  <si>
    <t>38,500</t>
  </si>
  <si>
    <t>27</t>
  </si>
  <si>
    <t>39,900</t>
  </si>
  <si>
    <t>39,940.0000</t>
  </si>
  <si>
    <t>34,900</t>
  </si>
  <si>
    <t>34,930.2000</t>
  </si>
  <si>
    <t>30</t>
  </si>
  <si>
    <t>37,930</t>
  </si>
  <si>
    <t>2025/03</t>
  </si>
  <si>
    <t>2023/09/08</t>
  </si>
  <si>
    <t>2025/03/13</t>
  </si>
  <si>
    <t>38,480</t>
  </si>
  <si>
    <t>39,850</t>
  </si>
  <si>
    <t>39,644.5000</t>
  </si>
  <si>
    <t>34,970</t>
  </si>
  <si>
    <t>11</t>
  </si>
  <si>
    <t>35,400.0000</t>
  </si>
  <si>
    <t>37,940</t>
  </si>
  <si>
    <t>2025/06</t>
  </si>
  <si>
    <t>2025/06/12</t>
  </si>
  <si>
    <t>38,550</t>
  </si>
  <si>
    <t>39,040</t>
  </si>
  <si>
    <t>38,341.0000</t>
  </si>
  <si>
    <t>34,780</t>
  </si>
  <si>
    <t>35,390.0000</t>
  </si>
  <si>
    <t>37,550</t>
  </si>
  <si>
    <t>2025/09</t>
  </si>
  <si>
    <t>2024/03/08</t>
  </si>
  <si>
    <t>2025/09/11</t>
  </si>
  <si>
    <t>35,370</t>
  </si>
  <si>
    <t>25</t>
  </si>
  <si>
    <t>37,850</t>
  </si>
  <si>
    <t>26</t>
  </si>
  <si>
    <t>38,171.0000</t>
  </si>
  <si>
    <t>37,618.0000</t>
  </si>
  <si>
    <t>2025/12</t>
  </si>
  <si>
    <t>2025/12/11</t>
  </si>
  <si>
    <t>05</t>
  </si>
  <si>
    <t>36,190</t>
  </si>
  <si>
    <t>39,340</t>
  </si>
  <si>
    <t>37,249.0000</t>
  </si>
  <si>
    <t>34,800</t>
  </si>
  <si>
    <t>10</t>
  </si>
  <si>
    <t>35,589.5000</t>
  </si>
  <si>
    <t>37,460</t>
  </si>
  <si>
    <t>2026/03</t>
  </si>
  <si>
    <t>2024/09/13</t>
  </si>
  <si>
    <t>2026/03/12</t>
  </si>
  <si>
    <t>13</t>
  </si>
  <si>
    <t>35,990</t>
  </si>
  <si>
    <t>24</t>
  </si>
  <si>
    <t>37,250</t>
  </si>
  <si>
    <t>18</t>
  </si>
  <si>
    <t>35,510</t>
  </si>
  <si>
    <t>37,070</t>
  </si>
  <si>
    <t>2026/06</t>
  </si>
  <si>
    <t>2026/06/11</t>
  </si>
  <si>
    <t>－</t>
  </si>
  <si>
    <t>2026/12</t>
  </si>
  <si>
    <t>2018/12/14</t>
  </si>
  <si>
    <t>2026/12/10</t>
  </si>
  <si>
    <t>37,200</t>
  </si>
  <si>
    <t>38,284.0000</t>
  </si>
  <si>
    <t>35,200.0000</t>
  </si>
  <si>
    <t>2027/06</t>
  </si>
  <si>
    <t>2019/06/14</t>
  </si>
  <si>
    <t>2027/06/10</t>
  </si>
  <si>
    <t>2027/12</t>
  </si>
  <si>
    <t>2019/12/13</t>
  </si>
  <si>
    <t>2027/12/09</t>
  </si>
  <si>
    <t>35,690</t>
  </si>
  <si>
    <t>37,409.0000</t>
  </si>
  <si>
    <t>35,680</t>
  </si>
  <si>
    <t>34,805.0000</t>
  </si>
  <si>
    <t>2028/06</t>
  </si>
  <si>
    <t>2020/06/12</t>
  </si>
  <si>
    <t>2028/06/08</t>
  </si>
  <si>
    <t>2028/12</t>
  </si>
  <si>
    <t>2020/12/11</t>
  </si>
  <si>
    <t>2028/12/07</t>
  </si>
  <si>
    <t>17</t>
  </si>
  <si>
    <t>34,790.0000</t>
  </si>
  <si>
    <t>34,590.0000</t>
  </si>
  <si>
    <t>2029/06</t>
  </si>
  <si>
    <t>2021/06/11</t>
  </si>
  <si>
    <t>2029/06/07</t>
  </si>
  <si>
    <t>2029/12</t>
  </si>
  <si>
    <t>2021/12/10</t>
  </si>
  <si>
    <t>2029/12/13</t>
  </si>
  <si>
    <t>34,235.0000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</si>
  <si>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</si>
  <si>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</si>
  <si>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</si>
  <si>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</si>
  <si>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</si>
  <si>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</si>
  <si>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</si>
  <si>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</si>
  <si>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</si>
  <si>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</si>
  <si>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</si>
  <si>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</si>
  <si>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</si>
  <si>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</si>
  <si>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</si>
  <si>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日経225mini</t>
  </si>
  <si>
    <t>Nikkei 225 mini</t>
  </si>
  <si>
    <t>39,150</t>
  </si>
  <si>
    <t>39,150.0000</t>
  </si>
  <si>
    <t>35,115</t>
  </si>
  <si>
    <t>35,115.0000</t>
  </si>
  <si>
    <t>36,840</t>
  </si>
  <si>
    <t>2024/10</t>
  </si>
  <si>
    <t>2024/05/10</t>
  </si>
  <si>
    <t>2024/10/10</t>
  </si>
  <si>
    <t>38,430</t>
  </si>
  <si>
    <t>39,875</t>
  </si>
  <si>
    <t>39,875.0000</t>
  </si>
  <si>
    <t>34,895</t>
  </si>
  <si>
    <t>34,905.0000</t>
  </si>
  <si>
    <t>37,905</t>
  </si>
  <si>
    <t>2024/11</t>
  </si>
  <si>
    <t>2024/07/12</t>
  </si>
  <si>
    <t>2024/11/07</t>
  </si>
  <si>
    <t>38,540</t>
  </si>
  <si>
    <t>39,895</t>
  </si>
  <si>
    <t>39,785.0000</t>
  </si>
  <si>
    <t>34,935</t>
  </si>
  <si>
    <t>34,920.0000</t>
  </si>
  <si>
    <t>37,950</t>
  </si>
  <si>
    <t>38,530</t>
  </si>
  <si>
    <t>39,900.0000</t>
  </si>
  <si>
    <t>34,900.0000</t>
  </si>
  <si>
    <t>2025/01</t>
  </si>
  <si>
    <t>2024/08/09</t>
  </si>
  <si>
    <t>2025/01/09</t>
  </si>
  <si>
    <t>39,800</t>
  </si>
  <si>
    <t>39,639.9000</t>
  </si>
  <si>
    <t>36,174.9000</t>
  </si>
  <si>
    <t>37,920</t>
  </si>
  <si>
    <t>38,505</t>
  </si>
  <si>
    <t>39,865</t>
  </si>
  <si>
    <t>39,844.9000</t>
  </si>
  <si>
    <t>34,925</t>
  </si>
  <si>
    <t>35,595.1000</t>
  </si>
  <si>
    <t>38,290</t>
  </si>
  <si>
    <t>39,655</t>
  </si>
  <si>
    <t>34,700</t>
  </si>
  <si>
    <t>37,700</t>
  </si>
  <si>
    <t>38,400</t>
  </si>
  <si>
    <t>39,575</t>
  </si>
  <si>
    <t>34,750</t>
  </si>
  <si>
    <t>37,725</t>
  </si>
  <si>
    <t>38,040</t>
  </si>
  <si>
    <t>39,360</t>
  </si>
  <si>
    <t>34,480</t>
  </si>
  <si>
    <t>37,450</t>
  </si>
  <si>
    <t>35,700</t>
  </si>
  <si>
    <t>39,100</t>
  </si>
  <si>
    <t>35,150</t>
  </si>
  <si>
    <t>37,350</t>
  </si>
  <si>
    <t>04</t>
  </si>
  <si>
    <t>36,435</t>
  </si>
  <si>
    <t>37,030</t>
  </si>
  <si>
    <t>34,845</t>
  </si>
  <si>
    <t>37,640</t>
  </si>
  <si>
    <t>38,830</t>
  </si>
  <si>
    <t>34,030</t>
  </si>
  <si>
    <t>36,950</t>
  </si>
  <si>
    <t>34,945</t>
  </si>
  <si>
    <t>36,700</t>
  </si>
  <si>
    <t>34,560</t>
  </si>
  <si>
    <t>38,355</t>
  </si>
  <si>
    <t>33,700</t>
  </si>
  <si>
    <t>36,850</t>
  </si>
  <si>
    <t>36,900</t>
  </si>
  <si>
    <t>33,740</t>
  </si>
  <si>
    <t>35,950</t>
  </si>
  <si>
    <t>37,000</t>
  </si>
  <si>
    <t>33,400</t>
  </si>
  <si>
    <t>35,900</t>
  </si>
  <si>
    <t>37,120</t>
  </si>
  <si>
    <t>37,875</t>
  </si>
  <si>
    <t>33,080</t>
  </si>
  <si>
    <t>36,320</t>
  </si>
  <si>
    <t>日経225マイクロ先物</t>
  </si>
  <si>
    <t>Nikkei 225 Micro Futures</t>
  </si>
  <si>
    <t>38,740</t>
  </si>
  <si>
    <t>38,490</t>
  </si>
  <si>
    <t>39,870</t>
  </si>
  <si>
    <t>34,880</t>
  </si>
  <si>
    <t>38,600</t>
  </si>
  <si>
    <t>39,890</t>
  </si>
  <si>
    <t>34,690</t>
  </si>
  <si>
    <t>38,520</t>
  </si>
  <si>
    <t>34,905</t>
  </si>
  <si>
    <t>37,935</t>
  </si>
  <si>
    <t>36,560</t>
  </si>
  <si>
    <t>39,880</t>
  </si>
  <si>
    <t>35,515</t>
  </si>
  <si>
    <t>TOPIX先物</t>
  </si>
  <si>
    <t>TOPIX Futures</t>
  </si>
  <si>
    <t>2,718.0</t>
  </si>
  <si>
    <t>03</t>
  </si>
  <si>
    <t>2,741.5</t>
  </si>
  <si>
    <t>2,740.1000</t>
  </si>
  <si>
    <t>2,507.5</t>
  </si>
  <si>
    <t>2,516.4500</t>
  </si>
  <si>
    <t>2,590.0</t>
  </si>
  <si>
    <t>2,713.5</t>
  </si>
  <si>
    <t>2,757.0</t>
  </si>
  <si>
    <t>2,756.2500</t>
  </si>
  <si>
    <t>2,484.5</t>
  </si>
  <si>
    <t>2,495.9000</t>
  </si>
  <si>
    <t>2,645.5</t>
  </si>
  <si>
    <t>2,704.0000</t>
  </si>
  <si>
    <t>20</t>
  </si>
  <si>
    <t>2,620.0000</t>
  </si>
  <si>
    <t>2,574.7000</t>
  </si>
  <si>
    <t>2,484.2500</t>
  </si>
  <si>
    <t>ミニTOPIX先物</t>
  </si>
  <si>
    <t>mini-TOPIX Futures</t>
  </si>
  <si>
    <t>2,719.25</t>
  </si>
  <si>
    <t>2,741.50</t>
  </si>
  <si>
    <t>2,741.2000</t>
  </si>
  <si>
    <t>2,507.75</t>
  </si>
  <si>
    <t>2,508.0000</t>
  </si>
  <si>
    <t>2,586.50</t>
  </si>
  <si>
    <t>2,701.50</t>
  </si>
  <si>
    <t>2,757.25</t>
  </si>
  <si>
    <t>2,754.3000</t>
  </si>
  <si>
    <t>2,484.50</t>
  </si>
  <si>
    <t>2,491.8000</t>
  </si>
  <si>
    <t>2,645.75</t>
  </si>
  <si>
    <t>2,705.00</t>
  </si>
  <si>
    <t>2,730.00</t>
  </si>
  <si>
    <t>2,591.75</t>
  </si>
  <si>
    <t>2,637.00</t>
  </si>
  <si>
    <t>JPXプライム150指数先物</t>
  </si>
  <si>
    <t>JPX Prime 150 Index Futures</t>
  </si>
  <si>
    <t>2024/03/18</t>
  </si>
  <si>
    <t>1,180.5</t>
  </si>
  <si>
    <t>1,148.5000</t>
  </si>
  <si>
    <t>1,178.5</t>
  </si>
  <si>
    <t>1,235.0</t>
  </si>
  <si>
    <t>1,141.0000</t>
  </si>
  <si>
    <t>JPX日経インデックス400先物</t>
  </si>
  <si>
    <t>JPX-Nikkei Index 400 Futures</t>
  </si>
  <si>
    <t>24,920</t>
  </si>
  <si>
    <t>25,115</t>
  </si>
  <si>
    <t>25,090.0000</t>
  </si>
  <si>
    <t>22,950</t>
  </si>
  <si>
    <t>23,049.9000</t>
  </si>
  <si>
    <t>23,740</t>
  </si>
  <si>
    <t>24,800</t>
  </si>
  <si>
    <t>25,200</t>
  </si>
  <si>
    <t>25,140.0000</t>
  </si>
  <si>
    <t>22,735</t>
  </si>
  <si>
    <t>22,890.1000</t>
  </si>
  <si>
    <t>24,155</t>
  </si>
  <si>
    <t>TOPIX Core30先物</t>
  </si>
  <si>
    <t>TOPIX Core30 Futures</t>
  </si>
  <si>
    <t>1,311.0000</t>
  </si>
  <si>
    <t>1,390.7200</t>
  </si>
  <si>
    <t>1,298.0000</t>
  </si>
  <si>
    <t>東証銀行業株価指数先物</t>
  </si>
  <si>
    <t>TOPIX Banks Index Futures</t>
  </si>
  <si>
    <t>317.0</t>
  </si>
  <si>
    <t>320.6700</t>
  </si>
  <si>
    <t>294.6900</t>
  </si>
  <si>
    <t>291.5</t>
  </si>
  <si>
    <t>292.0</t>
  </si>
  <si>
    <t>06</t>
  </si>
  <si>
    <t>303.4500</t>
  </si>
  <si>
    <t>291.4</t>
  </si>
  <si>
    <t>290.3000</t>
  </si>
  <si>
    <t>東証REIT指数先物</t>
  </si>
  <si>
    <t>TSE REIT Index Futures</t>
  </si>
  <si>
    <t>1,765.0</t>
  </si>
  <si>
    <t>1,768.0</t>
  </si>
  <si>
    <t>1,766.5000</t>
  </si>
  <si>
    <t>1,734.5</t>
  </si>
  <si>
    <t>1,731.0000</t>
  </si>
  <si>
    <t>1,750.0</t>
  </si>
  <si>
    <t>1,730.0</t>
  </si>
  <si>
    <t>1,792.5</t>
  </si>
  <si>
    <t>1,758.0000</t>
  </si>
  <si>
    <t>1,717.0</t>
  </si>
  <si>
    <t>1,714.9200</t>
  </si>
  <si>
    <t>RNプライム指数先物</t>
  </si>
  <si>
    <t>RN Prime Index Futures</t>
  </si>
  <si>
    <t>東証グロース市場250指数先物</t>
  </si>
  <si>
    <t>TSE Growth Market 250 Index Futures</t>
  </si>
  <si>
    <t>666.0</t>
  </si>
  <si>
    <t>683.0</t>
  </si>
  <si>
    <t>682.0200</t>
  </si>
  <si>
    <t>610.0</t>
  </si>
  <si>
    <t>625.1000</t>
  </si>
  <si>
    <t>656.0</t>
  </si>
  <si>
    <t>661.0</t>
  </si>
  <si>
    <t>674.0</t>
  </si>
  <si>
    <t>677.0100</t>
  </si>
  <si>
    <t>605.0</t>
  </si>
  <si>
    <t>605.0000</t>
  </si>
  <si>
    <t>642.0</t>
  </si>
  <si>
    <t>654.0</t>
  </si>
  <si>
    <t>660.0</t>
  </si>
  <si>
    <t>651.9000</t>
  </si>
  <si>
    <t>604.0</t>
  </si>
  <si>
    <t>632.9000</t>
  </si>
  <si>
    <t>636.0</t>
  </si>
  <si>
    <t>649.0</t>
  </si>
  <si>
    <t>664.0</t>
  </si>
  <si>
    <t>609.0</t>
  </si>
  <si>
    <t>623.0</t>
  </si>
  <si>
    <t>632.0</t>
  </si>
  <si>
    <t>NYダウ先物</t>
  </si>
  <si>
    <t>DJIA Futures</t>
  </si>
  <si>
    <t>2023/09/19</t>
  </si>
  <si>
    <t>2024/09/20</t>
  </si>
  <si>
    <t>41,497</t>
  </si>
  <si>
    <t>42,269</t>
  </si>
  <si>
    <t>42,175.0000</t>
  </si>
  <si>
    <t>40,050</t>
  </si>
  <si>
    <t>40,042.1000</t>
  </si>
  <si>
    <t>42,184</t>
  </si>
  <si>
    <t>2023/12/18</t>
  </si>
  <si>
    <t>2024/12/20</t>
  </si>
  <si>
    <t>41,718</t>
  </si>
  <si>
    <t>42,938</t>
  </si>
  <si>
    <t>42,920.0000</t>
  </si>
  <si>
    <t>39,940</t>
  </si>
  <si>
    <t>40,500.1000</t>
  </si>
  <si>
    <t>42,578</t>
  </si>
  <si>
    <t>2025/03/21</t>
  </si>
  <si>
    <t>42,450</t>
  </si>
  <si>
    <t>43,090</t>
  </si>
  <si>
    <t>42,731</t>
  </si>
  <si>
    <t>2024/06/24</t>
  </si>
  <si>
    <t>2025/06/20</t>
  </si>
  <si>
    <t>42,378</t>
  </si>
  <si>
    <t>2024/09/24</t>
  </si>
  <si>
    <t>2025/09/19</t>
  </si>
  <si>
    <t>台湾加権指数先物</t>
  </si>
  <si>
    <t>TAIEX Futures</t>
  </si>
  <si>
    <t>2023/10/18</t>
  </si>
  <si>
    <t>2024/09/17</t>
  </si>
  <si>
    <t>2024/08/21</t>
  </si>
  <si>
    <t>2024/10/15</t>
  </si>
  <si>
    <t>2024/09/18</t>
  </si>
  <si>
    <t>2024/11/19</t>
  </si>
  <si>
    <t>2024/01/17</t>
  </si>
  <si>
    <t>2024/12/17</t>
  </si>
  <si>
    <t>2024/04/17</t>
  </si>
  <si>
    <t>2025/03/18</t>
  </si>
  <si>
    <t>2024/07/17</t>
  </si>
  <si>
    <t>2025/06/17</t>
  </si>
  <si>
    <t>FTSE中国50指数先物</t>
  </si>
  <si>
    <t>FTSE China 50 Index Futures</t>
  </si>
  <si>
    <t>2024/01/31</t>
  </si>
  <si>
    <t>2024/09/27</t>
  </si>
  <si>
    <t>2024/08/30</t>
  </si>
  <si>
    <t>2024/10/30</t>
  </si>
  <si>
    <t>2024/09/30</t>
  </si>
  <si>
    <t>2024/11/28</t>
  </si>
  <si>
    <t>2024/04/30</t>
  </si>
  <si>
    <t>2024/12/30</t>
  </si>
  <si>
    <t>2024/07/31</t>
  </si>
  <si>
    <t>2025/03/28</t>
  </si>
  <si>
    <t>日経平均・配当指数先物</t>
  </si>
  <si>
    <t>Nikkei 225 Dividend Index Futures</t>
  </si>
  <si>
    <t>2017/01/04</t>
  </si>
  <si>
    <t>2025/03/31</t>
  </si>
  <si>
    <t>2018/01/04</t>
  </si>
  <si>
    <t>2026/03/31</t>
  </si>
  <si>
    <t>2019/01/04</t>
  </si>
  <si>
    <t>2027/03/31</t>
  </si>
  <si>
    <t>2020/01/06</t>
  </si>
  <si>
    <t>2028/03/31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</si>
  <si>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</si>
  <si>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</si>
  <si>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</si>
  <si>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</si>
  <si>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</si>
  <si>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</si>
  <si>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</si>
  <si>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</si>
  <si>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日経平均VI先物</t>
  </si>
  <si>
    <t>Nikkei 225 VI Futures</t>
  </si>
  <si>
    <t>2024/01/10</t>
  </si>
  <si>
    <t>2024/09/10</t>
  </si>
  <si>
    <t>22.60</t>
  </si>
  <si>
    <t>34.40</t>
  </si>
  <si>
    <t>22.20</t>
  </si>
  <si>
    <t>29.90</t>
  </si>
  <si>
    <t>2024/02/07</t>
  </si>
  <si>
    <t>2024/10/08</t>
  </si>
  <si>
    <t>22.80</t>
  </si>
  <si>
    <t>29.50</t>
  </si>
  <si>
    <t>28.20</t>
  </si>
  <si>
    <t>2024/03/13</t>
  </si>
  <si>
    <t>2024/11/12</t>
  </si>
  <si>
    <t>27.50</t>
  </si>
  <si>
    <t>28.50</t>
  </si>
  <si>
    <t>23.55</t>
  </si>
  <si>
    <t>24.55</t>
  </si>
  <si>
    <t>2024/04/10</t>
  </si>
  <si>
    <t>2024/12/10</t>
  </si>
  <si>
    <t>25.00</t>
  </si>
  <si>
    <t>29.95</t>
  </si>
  <si>
    <t>24.45</t>
  </si>
  <si>
    <t>2024/05/15</t>
  </si>
  <si>
    <t>2025/01/14</t>
  </si>
  <si>
    <t>2025/02</t>
  </si>
  <si>
    <t>2024/06/12</t>
  </si>
  <si>
    <t>2025/02/10</t>
  </si>
  <si>
    <t>2024/07/10</t>
  </si>
  <si>
    <t>2025/03/11</t>
  </si>
  <si>
    <t>2025/04</t>
  </si>
  <si>
    <t>2024/08/14</t>
  </si>
  <si>
    <t>2025/04/08</t>
  </si>
  <si>
    <t>2025/05</t>
  </si>
  <si>
    <t>2024/09/11</t>
  </si>
  <si>
    <t>2025/05/13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</si>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</sst>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borderId="0" fillId="0" fontId="0" numFmtId="0"/>
    <xf applyAlignment="0" applyBorder="0" applyFill="0" applyFont="0" applyProtection="0" borderId="0" fillId="0" fontId="5" numFmtId="38"/>
    <xf applyAlignment="0" applyBorder="0" applyFill="0" borderId="0" fillId="0" fontId="8" numFmtId="176"/>
    <xf applyAlignment="0" applyNumberFormat="0" applyProtection="0" borderId="1" fillId="0" fontId="9" numFmtId="0">
      <alignment horizontal="left" vertical="center"/>
    </xf>
    <xf borderId="2" fillId="0" fontId="9" numFmtId="0">
      <alignment horizontal="left" vertical="center"/>
    </xf>
    <xf borderId="0" fillId="0" fontId="10" numFmtId="177"/>
    <xf borderId="0" fillId="0" fontId="11" numFmtId="0"/>
    <xf borderId="0" fillId="0" fontId="12" numFmtId="0"/>
    <xf applyBorder="0" applyFill="0" applyNumberFormat="0" applyProtection="0" borderId="3" fillId="2" fontId="13" numFmtId="49"/>
    <xf borderId="0" fillId="0" fontId="7" numFmtId="0">
      <alignment vertical="center"/>
    </xf>
    <xf borderId="0" fillId="0" fontId="14" numFmtId="0"/>
    <xf borderId="0" fillId="0" fontId="14" numFmtId="0">
      <alignment vertical="center"/>
    </xf>
    <xf borderId="0" fillId="0" fontId="16" numFmtId="178"/>
    <xf borderId="0" fillId="0" fontId="5" numFmtId="0"/>
    <xf borderId="0" fillId="0" fontId="5" numFmtId="0"/>
    <xf borderId="0" fillId="0" fontId="14" numFmtId="0">
      <alignment vertical="center"/>
    </xf>
    <xf borderId="0" fillId="0" fontId="4" numFmtId="0">
      <alignment vertical="center"/>
    </xf>
    <xf applyAlignment="0" applyBorder="0" applyFill="0" applyFont="0" applyProtection="0" borderId="0" fillId="0" fontId="19" numFmtId="9"/>
    <xf borderId="0" fillId="0" fontId="20" numFmtId="0"/>
    <xf borderId="0" fillId="0" fontId="5" numFmtId="0"/>
    <xf applyAlignment="0" applyBorder="0" applyNumberFormat="0" applyProtection="0" borderId="0" fillId="3" fontId="8" numFmtId="0"/>
    <xf applyAlignment="0" applyBorder="0" applyNumberFormat="0" applyProtection="0" borderId="0" fillId="4" fontId="8" numFmtId="0"/>
    <xf applyAlignment="0" applyBorder="0" applyNumberFormat="0" applyProtection="0" borderId="0" fillId="5" fontId="8" numFmtId="0"/>
    <xf applyAlignment="0" applyBorder="0" applyNumberFormat="0" applyProtection="0" borderId="0" fillId="6" fontId="8" numFmtId="0"/>
    <xf applyAlignment="0" applyBorder="0" applyNumberFormat="0" applyProtection="0" borderId="0" fillId="7" fontId="8" numFmtId="0"/>
    <xf applyAlignment="0" applyBorder="0" applyNumberFormat="0" applyProtection="0" borderId="0" fillId="8" fontId="8" numFmtId="0"/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3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4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5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7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8" fontId="21" numFmtId="0">
      <alignment vertical="center"/>
    </xf>
    <xf applyAlignment="0" applyBorder="0" applyNumberFormat="0" applyProtection="0" borderId="0" fillId="9" fontId="8" numFmtId="0"/>
    <xf applyAlignment="0" applyBorder="0" applyNumberFormat="0" applyProtection="0" borderId="0" fillId="10" fontId="8" numFmtId="0"/>
    <xf applyAlignment="0" applyBorder="0" applyNumberFormat="0" applyProtection="0" borderId="0" fillId="11" fontId="8" numFmtId="0"/>
    <xf applyAlignment="0" applyBorder="0" applyNumberFormat="0" applyProtection="0" borderId="0" fillId="6" fontId="8" numFmtId="0"/>
    <xf applyAlignment="0" applyBorder="0" applyNumberFormat="0" applyProtection="0" borderId="0" fillId="9" fontId="8" numFmtId="0"/>
    <xf applyAlignment="0" applyBorder="0" applyNumberFormat="0" applyProtection="0" borderId="0" fillId="12" fontId="8" numFmtId="0"/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0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11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6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9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2" fontId="21" numFmtId="0">
      <alignment vertical="center"/>
    </xf>
    <xf applyAlignment="0" applyBorder="0" applyNumberFormat="0" applyProtection="0" borderId="0" fillId="13" fontId="22" numFmtId="0"/>
    <xf applyAlignment="0" applyBorder="0" applyNumberFormat="0" applyProtection="0" borderId="0" fillId="10" fontId="22" numFmtId="0"/>
    <xf applyAlignment="0" applyBorder="0" applyNumberFormat="0" applyProtection="0" borderId="0" fillId="11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16" fontId="22" numFmtId="0"/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3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0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1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6" fontId="23" numFmtId="0">
      <alignment vertical="center"/>
    </xf>
    <xf applyAlignment="0" applyBorder="0" applyNumberFormat="0" applyProtection="0" borderId="0" fillId="17" fontId="22" numFmtId="0"/>
    <xf applyAlignment="0" applyBorder="0" applyNumberFormat="0" applyProtection="0" borderId="0" fillId="18" fontId="22" numFmtId="0"/>
    <xf applyAlignment="0" applyBorder="0" applyNumberFormat="0" applyProtection="0" borderId="0" fillId="19" fontId="22" numFmtId="0"/>
    <xf applyAlignment="0" applyBorder="0" applyNumberFormat="0" applyProtection="0" borderId="0" fillId="14" fontId="22" numFmtId="0"/>
    <xf applyAlignment="0" applyBorder="0" applyNumberFormat="0" applyProtection="0" borderId="0" fillId="15" fontId="22" numFmtId="0"/>
    <xf applyAlignment="0" applyBorder="0" applyNumberFormat="0" applyProtection="0" borderId="0" fillId="20" fontId="22" numFmtId="0"/>
    <xf borderId="0" fillId="0" fontId="24" numFmtId="0">
      <alignment horizontal="center" wrapText="1"/>
      <protection locked="0"/>
    </xf>
    <xf borderId="0" fillId="0" fontId="25" numFmtId="0"/>
    <xf applyAlignment="0" applyBorder="0" applyNumberFormat="0" applyProtection="0" borderId="0" fillId="4" fontId="26" numFmtId="0"/>
    <xf applyAlignment="0" applyBorder="0" applyFill="0" applyNumberFormat="0" applyProtection="0" borderId="0" fillId="0" fontId="27" numFmtId="0"/>
    <xf applyAlignment="0" applyBorder="0" applyFill="0" borderId="0" fillId="0" fontId="7" numFmtId="179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0" fillId="21" fontId="28" numFmtId="0"/>
    <xf applyAlignment="0" applyNumberFormat="0" applyProtection="0" borderId="11" fillId="22" fontId="29" numFmtId="0"/>
    <xf borderId="0" fillId="0" fontId="30" numFmtId="0">
      <alignment vertical="top" wrapText="1"/>
    </xf>
    <xf applyAlignment="0" applyBorder="0" applyFill="0" applyFont="0" applyProtection="0" borderId="0" fillId="0" fontId="11" numFmtId="41"/>
    <xf applyAlignment="0" applyBorder="0" applyFill="0" applyFont="0" applyProtection="0" borderId="0" fillId="0" fontId="11" numFmtId="43"/>
    <xf applyAlignment="0" applyBorder="0" applyFill="0" applyFont="0" applyProtection="0" borderId="0" fillId="0" fontId="11" numFmtId="180"/>
    <xf applyAlignment="0" applyBorder="0" applyFill="0" applyFont="0" applyProtection="0" borderId="0" fillId="0" fontId="11" numFmtId="181"/>
    <xf borderId="0" fillId="0" fontId="31" numFmtId="0">
      <alignment horizontal="left"/>
    </xf>
    <xf applyAlignment="0" applyBorder="0" applyFill="0" applyNumberFormat="0" applyProtection="0" borderId="0" fillId="0" fontId="32" numFmtId="0"/>
    <xf applyAlignment="0" applyBorder="0" applyNumberFormat="0" applyProtection="0" borderId="0" fillId="5" fontId="33" numFmtId="0"/>
    <xf applyAlignment="0" applyBorder="0" applyNumberFormat="0" applyProtection="0" borderId="0" fillId="23" fontId="34" numFmtId="38"/>
    <xf borderId="0" fillId="24" fontId="35" numFmtId="0"/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borderId="2" fillId="0" fontId="9" numFmtId="0">
      <alignment horizontal="left" vertical="center"/>
    </xf>
    <xf applyAlignment="0" applyFill="0" applyNumberFormat="0" applyProtection="0" borderId="12" fillId="0" fontId="36" numFmtId="0"/>
    <xf applyAlignment="0" applyFill="0" applyNumberFormat="0" applyProtection="0" borderId="13" fillId="0" fontId="37" numFmtId="0"/>
    <xf applyAlignment="0" applyFill="0" applyNumberFormat="0" applyProtection="0" borderId="14" fillId="0" fontId="38" numFmtId="0"/>
    <xf applyAlignment="0" applyBorder="0" applyFill="0" applyNumberFormat="0" applyProtection="0" borderId="0" fillId="0" fontId="38" numFmtId="0"/>
    <xf applyBorder="0" borderId="0" fillId="0" fontId="7" numFmtId="0"/>
    <xf applyAlignment="0" applyNumberFormat="0" applyProtection="0" borderId="10" fillId="8" fontId="39" numFmtId="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Border="0" applyNumberFormat="0" applyProtection="0" borderId="4" fillId="25" fontId="34" numFmtId="1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applyAlignment="0" applyNumberFormat="0" applyProtection="0" borderId="10" fillId="8" fontId="39" numFmtId="0"/>
    <xf borderId="0" fillId="0" fontId="7" numFmtId="0"/>
    <xf applyAlignment="0" applyFill="0" applyNumberFormat="0" applyProtection="0" borderId="15" fillId="0" fontId="40" numFmtId="0"/>
    <xf applyAlignment="0" applyBorder="0" applyFill="0" applyFont="0" applyProtection="0" borderId="0" fillId="0" fontId="41" numFmtId="38"/>
    <xf applyAlignment="0" applyBorder="0" applyFill="0" applyFont="0" applyProtection="0" borderId="0" fillId="0" fontId="41" numFmtId="40"/>
    <xf applyAlignment="0" applyBorder="0" applyFill="0" applyFont="0" applyProtection="0" borderId="0" fillId="0" fontId="41" numFmtId="182"/>
    <xf applyAlignment="0" applyBorder="0" applyFill="0" applyFont="0" applyProtection="0" borderId="0" fillId="0" fontId="41" numFmtId="183"/>
    <xf applyAlignment="0" applyBorder="0" applyNumberFormat="0" applyProtection="0" borderId="0" fillId="26" fontId="42" numFmtId="0"/>
    <xf borderId="0" fillId="0" fontId="43" numFmtId="37"/>
    <xf borderId="0" fillId="0" fontId="7" numFmtId="184"/>
    <xf borderId="0" fillId="0" fontId="7" numFmtId="184"/>
    <xf borderId="0" fillId="0" fontId="10" numFmtId="177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Font="0" applyNumberFormat="0" applyProtection="0" borderId="16" fillId="27" fontId="11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applyAlignment="0" applyNumberFormat="0" applyProtection="0" borderId="17" fillId="21" fontId="44" numFmtId="0"/>
    <xf borderId="0" fillId="0" fontId="24" numFmtId="14">
      <alignment horizontal="center" wrapText="1"/>
      <protection locked="0"/>
    </xf>
    <xf applyAlignment="0" applyBorder="0" applyFill="0" applyFont="0" applyProtection="0" borderId="0" fillId="0" fontId="11" numFmtId="10"/>
    <xf borderId="0" fillId="0" fontId="31" numFmtId="4">
      <alignment horizontal="right"/>
    </xf>
    <xf applyAlignment="0" applyBorder="0" applyFill="0" applyFont="0" applyNumberFormat="0" applyProtection="0" borderId="0" fillId="0" fontId="45" numFmtId="0">
      <alignment horizontal="left"/>
    </xf>
    <xf borderId="18" fillId="0" fontId="46" numFmtId="0">
      <alignment horizontal="center"/>
    </xf>
    <xf applyAlignment="0" applyBorder="0" applyFill="0" applyFont="0" applyNumberFormat="0" borderId="0" fillId="0" fontId="47" numFmtId="0"/>
    <xf borderId="0" fillId="0" fontId="48" numFmtId="4">
      <alignment horizontal="right"/>
    </xf>
    <xf borderId="0" fillId="0" fontId="49" numFmtId="0">
      <alignment horizontal="left"/>
    </xf>
    <xf borderId="0" fillId="0" fontId="50" numFmtId="0"/>
    <xf borderId="0" fillId="0" fontId="51" numFmtId="0">
      <alignment horizontal="center"/>
    </xf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Fill="0" applyNumberFormat="0" applyProtection="0" borderId="19" fillId="0" fontId="52" numFmtId="0"/>
    <xf applyAlignment="0" applyBorder="0" applyFill="0" applyNumberFormat="0" applyProtection="0" borderId="0" fillId="0" fontId="53" numFmtId="0"/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7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8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9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4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15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applyAlignment="0" applyBorder="0" applyNumberFormat="0" applyProtection="0" borderId="0" fillId="20" fontId="23" numFmtId="0">
      <alignment vertical="center"/>
    </xf>
    <xf borderId="0" fillId="0" fontId="54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Border="0" applyFill="0" applyNumberFormat="0" applyProtection="0" borderId="0" fillId="0" fontId="55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applyAlignment="0" applyNumberFormat="0" applyProtection="0" borderId="11" fillId="22" fontId="56" numFmtId="0">
      <alignment vertical="center"/>
    </xf>
    <xf borderId="0" fillId="0" fontId="57" numFmtId="0"/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NumberFormat="0" applyProtection="0" borderId="0" fillId="26" fontId="58" numFmtId="0">
      <alignment vertical="center"/>
    </xf>
    <xf applyAlignment="0" applyBorder="0" applyFill="0" applyFont="0" applyProtection="0" borderId="0" fillId="0" fontId="5" numFmtId="9"/>
    <xf applyAlignment="0" applyBorder="0" applyFill="0" applyFont="0" applyProtection="0" borderId="0" fillId="0" fontId="5" numFmtId="9">
      <alignment vertical="center"/>
    </xf>
    <xf applyAlignment="0" applyBorder="0" applyFill="0" applyFont="0" applyProtection="0" borderId="0" fillId="0" fontId="5" numFmtId="9"/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61" numFmtId="0">
      <alignment vertical="top"/>
      <protection locked="0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21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7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ont="0" applyNumberFormat="0" applyProtection="0" borderId="16" fillId="27" fontId="5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applyAlignment="0" applyFill="0" applyNumberFormat="0" applyProtection="0" borderId="15" fillId="0" fontId="62" numFmtId="0">
      <alignment vertical="center"/>
    </xf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borderId="0" fillId="0" fontId="12" numFmtId="0"/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Border="0" applyNumberFormat="0" applyProtection="0" borderId="0" fillId="4" fontId="63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NumberFormat="0" applyProtection="0" borderId="10" fillId="21" fontId="64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NumberFormat="0" applyProtection="0" borderId="0" fillId="0" fontId="65" numFmtId="0">
      <alignment vertical="center"/>
    </xf>
    <xf applyAlignment="0" applyBorder="0" applyFill="0" applyFont="0" applyProtection="0" borderId="0" fillId="0" fontId="11" numFmtId="43"/>
    <xf applyAlignment="0" applyBorder="0" applyFill="0" applyFont="0" applyProtection="0" borderId="0" fillId="0" fontId="66" numFmtId="38"/>
    <xf applyAlignment="0" applyBorder="0" applyFill="0" applyFont="0" applyProtection="0" borderId="0" fillId="0" fontId="17" numFmtId="38">
      <alignment vertical="center"/>
    </xf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67" numFmtId="38"/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1" numFmtId="185"/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5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21" numFmtId="38">
      <alignment vertical="center"/>
    </xf>
    <xf applyAlignment="0" applyBorder="0" applyFill="0" applyFont="0" applyProtection="0" borderId="0" fillId="0" fontId="14" numFmtId="38">
      <alignment vertical="center"/>
    </xf>
    <xf applyAlignment="0" applyBorder="0" applyFill="0" applyFont="0" applyProtection="0" borderId="0" fillId="0" fontId="5" numFmtId="38"/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2" fillId="0" fontId="68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3" fillId="0" fontId="69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Fill="0" applyNumberFormat="0" applyProtection="0" borderId="14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applyAlignment="0" applyBorder="0" applyFill="0" applyNumberFormat="0" applyProtection="0" borderId="0" fillId="0" fontId="70" numFmtId="0">
      <alignment vertical="center"/>
    </xf>
    <xf borderId="0" fillId="0" fontId="71" numFmtId="0"/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Fill="0" applyNumberFormat="0" applyProtection="0" borderId="19" fillId="0" fontId="72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applyAlignment="0" applyNumberFormat="0" applyProtection="0" borderId="17" fillId="21" fontId="73" numFmtId="0">
      <alignment vertical="center"/>
    </xf>
    <xf borderId="0" fillId="0" fontId="12" numFmtId="186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11" numFmtId="187"/>
    <xf applyAlignment="0" applyBorder="0" applyFill="0" applyFont="0" applyProtection="0" borderId="0" fillId="0" fontId="11" numFmtId="18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7" numFmtId="8"/>
    <xf applyAlignment="0" applyBorder="0" applyFill="0" applyFont="0" applyProtection="0" borderId="0" fillId="0" fontId="5" numFmtId="6"/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14" numFmtId="6">
      <alignment vertical="center"/>
    </xf>
    <xf applyAlignment="0" applyBorder="0" applyFill="0" applyFont="0" applyProtection="0" borderId="0" fillId="0" fontId="5" numFmtId="6"/>
    <xf applyAlignment="0" applyBorder="0" applyFill="0" applyFont="0" applyProtection="0" borderId="0" fillId="0" fontId="7" numFmtId="6">
      <alignment vertical="center"/>
    </xf>
    <xf applyAlignment="0" applyBorder="0" applyFill="0" applyFont="0" applyProtection="0" borderId="0" fillId="0" fontId="5" numFmtId="6"/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applyAlignment="0" applyNumberFormat="0" applyProtection="0" borderId="10" fillId="8" fontId="76" numFmtId="0">
      <alignment vertical="center"/>
    </xf>
    <xf borderId="0" fillId="0" fontId="15" numFmtId="0">
      <alignment vertical="center"/>
    </xf>
    <xf borderId="0" fillId="0" fontId="1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17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78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/>
    <xf borderId="0" fillId="0" fontId="18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/>
    <xf borderId="0" fillId="0" fontId="14" numFmtId="0"/>
    <xf borderId="0" fillId="0" fontId="14" numFmtId="0">
      <alignment vertical="center"/>
    </xf>
    <xf borderId="0" fillId="0" fontId="79" numFmtId="0">
      <alignment vertical="center"/>
    </xf>
    <xf borderId="0" fillId="0" fontId="14" numFmtId="0"/>
    <xf borderId="0" fillId="0" fontId="79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>
      <alignment vertical="center"/>
    </xf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9" numFmtId="0"/>
    <xf borderId="0" fillId="0" fontId="17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>
      <alignment vertical="center"/>
    </xf>
    <xf borderId="0" fillId="0" fontId="5" numFmtId="0"/>
    <xf borderId="0" fillId="0" fontId="81" numFmtId="0"/>
    <xf borderId="0" fillId="0" fontId="14" numFmtId="0"/>
    <xf borderId="0" fillId="0" fontId="7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7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1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9" numFmtId="0"/>
    <xf borderId="0" fillId="0" fontId="78" numFmtId="0">
      <alignment vertical="center"/>
    </xf>
    <xf borderId="0" fillId="0" fontId="19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7" numFmtId="0">
      <alignment vertical="center"/>
    </xf>
    <xf borderId="0" fillId="0" fontId="5" numFmtId="0"/>
    <xf borderId="0" fillId="0" fontId="5" numFmtId="0"/>
    <xf borderId="0" fillId="0" fontId="21" numFmtId="0">
      <alignment vertical="center"/>
    </xf>
    <xf borderId="0" fillId="0" fontId="14" numFmtId="0">
      <alignment vertical="center"/>
    </xf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>
      <alignment vertical="center"/>
    </xf>
    <xf borderId="0" fillId="0" fontId="17" numFmtId="0">
      <alignment vertical="center"/>
    </xf>
    <xf borderId="0" fillId="0" fontId="81" numFmtId="0"/>
    <xf borderId="0" fillId="0" fontId="17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5" numFmtId="0"/>
    <xf borderId="0" fillId="0" fontId="5" numFmtId="0"/>
    <xf borderId="0" fillId="0" fontId="81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1" numFmtId="0"/>
    <xf borderId="0" fillId="0" fontId="81" numFmtId="0"/>
    <xf borderId="0" fillId="0" fontId="5" numFmtId="0"/>
    <xf borderId="0" fillId="0" fontId="81" numFmtId="0"/>
    <xf borderId="0" fillId="0" fontId="21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2" numFmtId="0">
      <alignment vertical="center"/>
    </xf>
    <xf borderId="0" fillId="0" fontId="5" numFmtId="0"/>
    <xf borderId="0" fillId="0" fontId="5" numFmtId="0"/>
    <xf borderId="0" fillId="0" fontId="14" numFmtId="0"/>
    <xf borderId="0" fillId="0" fontId="14" numFmtId="0"/>
    <xf borderId="0" fillId="0" fontId="5" numFmtId="0"/>
    <xf borderId="0" fillId="0" fontId="5" numFmtId="0"/>
    <xf borderId="0" fillId="0" fontId="7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7" numFmtId="0"/>
    <xf borderId="0" fillId="0" fontId="5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83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8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8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14" numFmtId="0">
      <alignment vertical="center"/>
    </xf>
    <xf borderId="0" fillId="0" fontId="21" numFmtId="0">
      <alignment vertical="center"/>
    </xf>
    <xf borderId="0" fillId="0" fontId="21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80" numFmtId="0">
      <alignment vertical="center"/>
    </xf>
    <xf borderId="0" fillId="0" fontId="5" numFmtId="0"/>
    <xf borderId="0" fillId="0" fontId="5" numFmtId="0">
      <alignment vertical="center"/>
    </xf>
    <xf borderId="0" fillId="0" fontId="80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/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85" numFmtId="0">
      <alignment vertical="center"/>
    </xf>
    <xf borderId="0" fillId="0" fontId="5" numFmtId="0">
      <alignment vertical="center"/>
    </xf>
    <xf borderId="0" fillId="0" fontId="85" numFmtId="0">
      <alignment vertical="center"/>
    </xf>
    <xf borderId="0" fillId="0" fontId="5" numFmtId="0"/>
    <xf borderId="0" fillId="0" fontId="5" numFmtId="0">
      <alignment vertical="center"/>
    </xf>
    <xf borderId="0" fillId="0" fontId="5" numFmtId="0"/>
    <xf borderId="0" fillId="0" fontId="19" numFmtId="0"/>
    <xf borderId="0" fillId="0" fontId="85" numFmtId="0">
      <alignment vertical="center"/>
    </xf>
    <xf borderId="0" fillId="0" fontId="19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21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21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5" numFmtId="0">
      <alignment vertical="center"/>
    </xf>
    <xf borderId="0" fillId="0" fontId="5" numFmtId="0">
      <alignment vertical="center"/>
    </xf>
    <xf borderId="0" fillId="0" fontId="5" numFmtId="0"/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86" numFmtId="0"/>
    <xf borderId="0" fillId="0" fontId="87" numFmtId="0"/>
    <xf borderId="0" fillId="0" fontId="57" numFmtId="0"/>
    <xf applyBorder="0" applyFill="0" borderId="0" fillId="0" fontId="15" numFmtId="49"/>
    <xf borderId="0" fillId="0" fontId="88" numFmtId="0"/>
    <xf borderId="0" fillId="0" fontId="89" numFmtId="0"/>
    <xf borderId="0" fillId="0" fontId="88" numFmtId="0"/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applyAlignment="0" applyBorder="0" applyNumberFormat="0" applyProtection="0" borderId="0" fillId="5" fontId="90" numFmtId="0">
      <alignment vertical="center"/>
    </xf>
    <xf borderId="0" fillId="0" fontId="5" numFmtId="0"/>
    <xf borderId="0" fillId="0" fontId="3" numFmtId="0">
      <alignment vertical="center"/>
    </xf>
    <xf borderId="0" fillId="0" fontId="91" numFmtId="0"/>
    <xf borderId="0" fillId="0" fontId="91" numFmtId="0"/>
    <xf borderId="0" fillId="0" fontId="91" numFmtId="186"/>
    <xf borderId="0" fillId="0" fontId="91" numFmtId="186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applyAlignment="0" applyBorder="0" applyFill="0" applyFont="0" applyProtection="0" borderId="0" fillId="0" fontId="2" numFmtId="38">
      <alignment vertical="center"/>
    </xf>
    <xf borderId="0" fillId="0" fontId="92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</cellStyleXfs>
  <cellXfs count="61">
    <xf borderId="0" fillId="0" fontId="0" numFmtId="0" xfId="0"/>
    <xf applyFont="1" borderId="0" fillId="0" fontId="95" numFmtId="0" xfId="1946">
      <alignment vertical="center"/>
    </xf>
    <xf applyFont="1" borderId="0" fillId="0" fontId="19" numFmtId="0" xfId="1946">
      <alignment vertical="center"/>
    </xf>
    <xf applyBorder="1" applyFill="1" applyFont="1" borderId="9" fillId="0" fontId="19" numFmtId="0" xfId="1946">
      <alignment vertical="center"/>
    </xf>
    <xf applyFill="1" applyFont="1" borderId="0" fillId="0" fontId="95" numFmtId="0" xfId="1946">
      <alignment vertical="center"/>
    </xf>
    <xf applyBorder="1" applyFill="1" applyFont="1" borderId="20" fillId="0" fontId="19" numFmtId="0" xfId="1946">
      <alignment vertical="center"/>
    </xf>
    <xf applyBorder="1" applyFill="1" applyFont="1" borderId="8" fillId="0" fontId="19" numFmtId="0" xfId="1946">
      <alignment vertical="center"/>
    </xf>
    <xf applyAlignment="1" applyBorder="1" applyFill="1" applyFont="1" applyNumberFormat="1" borderId="39" fillId="0" fontId="7" numFmtId="0" xfId="1946">
      <alignment horizontal="center" vertical="center" wrapText="1"/>
    </xf>
    <xf applyAlignment="1" applyBorder="1" applyFill="1" applyFont="1" applyNumberFormat="1" borderId="4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  <xf applyAlignment="1" applyBorder="1" applyFill="1" applyFont="1" applyNumberFormat="1" borderId="36" fillId="0" fontId="7" numFmtId="49" xfId="1946">
      <alignment vertical="center"/>
    </xf>
    <xf applyAlignment="1" applyBorder="1" applyFill="1" applyFont="1" applyNumberFormat="1" borderId="21" fillId="0" fontId="7" numFmtId="49" xfId="1946">
      <alignment vertical="center"/>
    </xf>
    <xf applyAlignment="1" applyBorder="1" applyFill="1" applyFont="1" applyNumberFormat="1" borderId="22" fillId="0" fontId="7" numFmtId="49" xfId="1946">
      <alignment vertical="center"/>
    </xf>
    <xf applyAlignment="1" applyBorder="1" applyFill="1" applyFont="1" applyNumberFormat="1" borderId="22" fillId="0" fontId="7" numFmtId="49" xfId="1946">
      <alignment horizontal="right" vertical="center"/>
    </xf>
    <xf applyAlignment="1" applyBorder="1" applyFill="1" applyFont="1" applyNumberFormat="1" borderId="23" fillId="0" fontId="7" numFmtId="49" xfId="1946">
      <alignment horizontal="right" vertical="center"/>
    </xf>
    <xf applyAlignment="1" applyBorder="1" applyFill="1" applyFont="1" applyNumberFormat="1" borderId="21" fillId="0" fontId="7" numFmtId="4" xfId="1946">
      <alignment horizontal="right" vertical="center"/>
    </xf>
    <xf applyAlignment="1" applyBorder="1" applyFill="1" applyFont="1" applyNumberFormat="1" borderId="21" fillId="0" fontId="7" numFmtId="3" xfId="1946">
      <alignment horizontal="right" vertical="center"/>
    </xf>
    <xf applyAlignment="1" applyBorder="1" applyFill="1" applyFont="1" applyNumberFormat="1" borderId="23" fillId="0" fontId="7" numFmtId="3" xfId="1946">
      <alignment horizontal="right" vertical="center"/>
    </xf>
    <xf applyAlignment="1" applyBorder="1" applyFill="1" applyFont="1" applyNumberFormat="1" borderId="37" fillId="0" fontId="7" numFmtId="189" xfId="1946">
      <alignment horizontal="right" vertical="center"/>
    </xf>
    <xf applyBorder="1" applyFont="1" applyNumberFormat="1" borderId="21" fillId="0" fontId="7" numFmtId="49" xfId="1946">
      <alignment vertical="center"/>
    </xf>
    <xf applyAlignment="1" applyBorder="1" applyFont="1" applyNumberFormat="1" borderId="21" fillId="0" fontId="7" numFmtId="3" xfId="1946">
      <alignment horizontal="right" vertical="center"/>
    </xf>
    <xf applyAlignment="1" applyBorder="1" applyFill="1" applyFont="1" borderId="9" fillId="0" fontId="94" numFmtId="0" xfId="1946">
      <alignment vertical="center" wrapText="1"/>
    </xf>
    <xf applyAlignment="1" applyBorder="1" applyFill="1" applyFont="1" borderId="6" fillId="0" fontId="94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borderId="24" fillId="0" fontId="7" numFmtId="0" xfId="1946">
      <alignment horizontal="center" vertical="center" wrapText="1"/>
    </xf>
    <xf applyAlignment="1" applyBorder="1" applyFill="1" applyFon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top" wrapText="1"/>
    </xf>
    <xf applyAlignment="1" applyBorder="1" applyFill="1" applyFont="1" applyNumberFormat="1" borderId="9" fillId="0" fontId="7" numFmtId="0" xfId="1946">
      <alignment horizontal="center" vertical="top" wrapText="1"/>
    </xf>
    <xf applyAlignment="1" applyBorder="1" applyFill="1" applyFont="1" applyNumberFormat="1" borderId="33" fillId="0" fontId="7" numFmtId="0" xfId="1946">
      <alignment horizontal="center" vertical="top" wrapText="1"/>
    </xf>
    <xf applyAlignment="1" applyBorder="1" applyFill="1" applyFont="1" borderId="7" fillId="0" fontId="93" numFmtId="0" xfId="1946">
      <alignment vertical="center" wrapText="1"/>
    </xf>
    <xf applyAlignment="1" applyBorder="1" applyFill="1" applyFont="1" borderId="20" fillId="0" fontId="93" numFmtId="0" xfId="1946">
      <alignment vertical="center" wrapText="1"/>
    </xf>
    <xf applyAlignment="1" applyBorder="1" applyFill="1" applyFont="1" borderId="5" fillId="0" fontId="93" numFmtId="0" xfId="1946">
      <alignment vertical="center" wrapText="1"/>
    </xf>
    <xf applyAlignment="1" applyBorder="1" applyFill="1" applyFont="1" borderId="9" fillId="0" fontId="93" numFmtId="0" xfId="1946">
      <alignment vertical="center" wrapText="1"/>
    </xf>
    <xf applyAlignment="1" applyBorder="1" applyFill="1" applyFont="1" applyNumberFormat="1" borderId="34" fillId="0" fontId="7" numFmtId="0" xfId="1946">
      <alignment horizontal="center" vertical="center" wrapText="1"/>
    </xf>
    <xf applyAlignment="1" applyBorder="1" applyFill="1" applyFont="1" applyNumberFormat="1" borderId="36" fillId="0" fontId="7" numFmtId="0" xfId="1946">
      <alignment horizontal="center" vertical="center" wrapText="1"/>
    </xf>
    <xf applyAlignment="1" applyBorder="1" applyFill="1" applyFont="1" applyNumberFormat="1" borderId="30" fillId="0" fontId="7" numFmtId="0" xfId="1946">
      <alignment horizontal="center" vertical="top" wrapText="1"/>
    </xf>
    <xf applyAlignment="1" applyBorder="1" applyFill="1" applyFont="1" applyNumberFormat="1" borderId="31" fillId="0" fontId="7" numFmtId="0" xfId="1946">
      <alignment horizontal="center" vertical="top" wrapText="1"/>
    </xf>
    <xf applyAlignment="1" applyBorder="1" applyFill="1" applyFont="1" applyNumberFormat="1" borderId="40" fillId="0" fontId="7" numFmtId="0" xfId="1946">
      <alignment horizontal="center" vertical="center" wrapText="1"/>
    </xf>
    <xf applyAlignment="1" applyBorder="1" applyFill="1" applyFont="1" applyNumberFormat="1" borderId="41" fillId="0" fontId="7" numFmtId="0" xfId="1946">
      <alignment horizontal="center" vertical="center" wrapText="1"/>
    </xf>
    <xf applyAlignment="1" applyBorder="1" applyFill="1" applyFont="1" applyNumberFormat="1" borderId="42" fillId="0" fontId="7" numFmtId="0" xfId="1946">
      <alignment horizontal="center" vertical="center" wrapText="1"/>
    </xf>
    <xf applyAlignment="1" applyBorder="1" applyFill="1" applyFont="1" applyNumberFormat="1" borderId="43" fillId="0" fontId="7" numFmtId="0" xfId="1946">
      <alignment horizontal="center" vertical="center" wrapText="1"/>
    </xf>
    <xf applyAlignment="1" applyBorder="1" applyFill="1" applyFont="1" applyNumberFormat="1" borderId="38" fillId="0" fontId="7" numFmtId="0" xfId="1946">
      <alignment horizontal="center" vertical="center" wrapText="1"/>
    </xf>
    <xf applyAlignment="1" applyBorder="1" applyFill="1" applyFont="1" applyNumberFormat="1" borderId="29" fillId="0" fontId="7" numFmtId="0" xfId="1946">
      <alignment horizontal="center" vertical="center" wrapText="1"/>
    </xf>
    <xf applyAlignment="1" applyBorder="1" applyFill="1" applyFont="1" applyNumberFormat="1" borderId="24" fillId="0" fontId="7" numFmtId="0" xfId="1946">
      <alignment horizontal="center" vertical="center" wrapText="1"/>
    </xf>
    <xf applyAlignment="1" applyBorder="1" applyFill="1" applyFont="1" applyNumberFormat="1" borderId="21" fillId="0" fontId="7" numFmtId="0" xfId="1946">
      <alignment horizontal="center" vertical="center" wrapText="1"/>
    </xf>
    <xf applyAlignment="1" applyBorder="1" applyFill="1" applyFont="1" applyNumberFormat="1" borderId="32" fillId="0" fontId="7" numFmtId="0" xfId="1946">
      <alignment horizontal="center" vertical="center" wrapText="1"/>
    </xf>
    <xf applyAlignment="1" applyBorder="1" applyFill="1" applyFont="1" applyNumberFormat="1" borderId="33" fillId="0" fontId="7" numFmtId="0" xfId="1946">
      <alignment horizontal="center" vertical="center" wrapText="1"/>
    </xf>
    <xf applyAlignment="1" applyBorder="1" applyFill="1" applyFont="1" applyNumberFormat="1" borderId="25" fillId="0" fontId="7" numFmtId="0" xfId="1946">
      <alignment horizontal="center" vertical="center" wrapText="1"/>
    </xf>
    <xf applyAlignment="1" applyBorder="1" applyFill="1" applyFont="1" applyNumberFormat="1" borderId="28" fillId="0" fontId="7" numFmtId="0" xfId="1946">
      <alignment horizontal="center" vertical="center" wrapText="1"/>
    </xf>
    <xf applyAlignment="1" applyBorder="1" applyFill="1" applyFont="1" applyNumberFormat="1" borderId="26" fillId="0" fontId="7" numFmtId="0" xfId="1946">
      <alignment horizontal="center" vertical="center" wrapText="1"/>
    </xf>
    <xf applyAlignment="1" applyBorder="1" applyFill="1" applyFont="1" applyNumberFormat="1" borderId="23" fillId="0" fontId="96" numFmtId="0" xfId="1946">
      <alignment horizontal="center" vertical="center" wrapText="1"/>
    </xf>
    <xf applyAlignment="1" applyBorder="1" applyFill="1" applyFont="1" applyNumberFormat="1" borderId="45" fillId="0" fontId="7" numFmtId="0" xfId="1946">
      <alignment horizontal="center" vertical="center" wrapText="1"/>
    </xf>
    <xf applyAlignment="1" applyBorder="1" applyFill="1" applyFont="1" applyNumberFormat="1" borderId="27" fillId="0" fontId="7" numFmtId="0" xfId="1946">
      <alignment horizontal="center" vertical="center" wrapText="1"/>
    </xf>
    <xf applyAlignment="1" applyBorder="1" applyFill="1" applyFont="1" applyNumberFormat="1" borderId="22" fillId="0" fontId="7" numFmtId="0" xfId="1946">
      <alignment horizontal="center" vertical="center" wrapText="1"/>
    </xf>
    <xf applyAlignment="1" applyBorder="1" applyFill="1" applyFont="1" applyNumberFormat="1" borderId="23" fillId="0" fontId="7" numFmtId="0" xfId="1946">
      <alignment horizontal="center" vertical="center" wrapText="1"/>
    </xf>
    <xf applyAlignment="1" applyBorder="1" applyFill="1" applyFont="1" applyNumberFormat="1" borderId="35" fillId="0" fontId="7" numFmtId="0" xfId="1946">
      <alignment horizontal="center" vertical="center" wrapText="1"/>
    </xf>
    <xf applyAlignment="1" applyBorder="1" applyFill="1" applyFont="1" applyNumberFormat="1" borderId="37" fillId="0" fontId="7" numFmtId="0" xfId="1946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builtinId="0" name="標準" xf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is a final position of the contract month.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139"/>
  <sheetViews>
    <sheetView showGridLines="0" tabSelected="1" view="pageBreakPreview" workbookViewId="0" zoomScaleNormal="100" zoomScaleSheetLayoutView="100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customHeight="1" ht="30" r="1" spans="1:29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customHeight="1" ht="30" r="2" spans="1:29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customFormat="1" customHeight="1" ht="14.1" r="3" s="4" spans="1:29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customFormat="1" customHeight="1" ht="9" r="4" s="4" spans="1:29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customFormat="1" customHeight="1" ht="27" r="5" s="4" spans="1:29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customFormat="1" customHeight="1" ht="36" r="6" s="4" spans="1:29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customFormat="1" customHeight="1" ht="13.5" r="7" s="4" spans="1:29">
      <c r="A7" s="13" t="s">
        <v>46</v>
      </c>
      <c r="B7" s="14" t="s">
        <v>47</v>
      </c>
      <c r="C7" s="14" t="s">
        <v>48</v>
      </c>
      <c r="D7" s="22"/>
      <c r="E7" s="14" t="s">
        <v>46</v>
      </c>
      <c r="F7" s="15" t="s">
        <v>49</v>
      </c>
      <c r="G7" s="15" t="s">
        <v>50</v>
      </c>
      <c r="H7" s="16" t="s">
        <v>51</v>
      </c>
      <c r="I7" s="17" t="s">
        <v>52</v>
      </c>
      <c r="J7" s="16" t="s">
        <v>51</v>
      </c>
      <c r="K7" s="17" t="s">
        <v>53</v>
      </c>
      <c r="L7" s="16" t="s">
        <v>51</v>
      </c>
      <c r="M7" s="17" t="s">
        <v>54</v>
      </c>
      <c r="N7" s="16" t="s">
        <v>55</v>
      </c>
      <c r="O7" s="17" t="s">
        <v>56</v>
      </c>
      <c r="P7" s="16" t="s">
        <v>55</v>
      </c>
      <c r="Q7" s="17" t="s">
        <v>57</v>
      </c>
      <c r="R7" s="16" t="s">
        <v>58</v>
      </c>
      <c r="S7" s="17" t="s">
        <v>59</v>
      </c>
      <c r="T7" s="18" t="n">
        <f>36942.22</f>
        <v>36942.22</v>
      </c>
      <c r="U7" s="19" t="n">
        <f>777167</f>
        <v>777167.0</v>
      </c>
      <c r="V7" s="19" t="n">
        <v>205871.0</v>
      </c>
      <c r="W7" s="23" t="n">
        <v>175781.0</v>
      </c>
      <c r="X7" s="19" t="n">
        <f>28433691479945</f>
        <v>2.8433691479945E13</v>
      </c>
      <c r="Y7" s="19" t="n">
        <v>7.494288844945E12</v>
      </c>
      <c r="Z7" s="23" t="n">
        <v>6.374761195E12</v>
      </c>
      <c r="AA7" s="16" t="s">
        <v>60</v>
      </c>
      <c r="AB7" s="20" t="n">
        <f>82611</f>
        <v>82611.0</v>
      </c>
      <c r="AC7" s="21" t="n">
        <f>9</f>
        <v>9.0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61</v>
      </c>
      <c r="F8" s="15" t="s">
        <v>62</v>
      </c>
      <c r="G8" s="15" t="s">
        <v>63</v>
      </c>
      <c r="H8" s="16" t="s">
        <v>51</v>
      </c>
      <c r="I8" s="17" t="s">
        <v>64</v>
      </c>
      <c r="J8" s="16" t="s">
        <v>65</v>
      </c>
      <c r="K8" s="17" t="s">
        <v>66</v>
      </c>
      <c r="L8" s="16" t="s">
        <v>65</v>
      </c>
      <c r="M8" s="17" t="s">
        <v>67</v>
      </c>
      <c r="N8" s="16" t="s">
        <v>55</v>
      </c>
      <c r="O8" s="17" t="s">
        <v>68</v>
      </c>
      <c r="P8" s="16" t="s">
        <v>55</v>
      </c>
      <c r="Q8" s="17" t="s">
        <v>69</v>
      </c>
      <c r="R8" s="16" t="s">
        <v>70</v>
      </c>
      <c r="S8" s="17" t="s">
        <v>71</v>
      </c>
      <c r="T8" s="18" t="n">
        <f>37125.26</f>
        <v>37125.26</v>
      </c>
      <c r="U8" s="19" t="n">
        <f>1077406</f>
        <v>1077406.0</v>
      </c>
      <c r="V8" s="19" t="n">
        <v>266676.0</v>
      </c>
      <c r="W8" s="23" t="n">
        <v>175976.0</v>
      </c>
      <c r="X8" s="19" t="n">
        <f>39809589374281</f>
        <v>3.9809589374281E13</v>
      </c>
      <c r="Y8" s="19" t="n">
        <v>9.822182041281E12</v>
      </c>
      <c r="Z8" s="23" t="n">
        <v>6.344418413E12</v>
      </c>
      <c r="AA8" s="16"/>
      <c r="AB8" s="20" t="n">
        <f>185606</f>
        <v>185606.0</v>
      </c>
      <c r="AC8" s="21" t="n">
        <f>19</f>
        <v>19.0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72</v>
      </c>
      <c r="F9" s="15" t="s">
        <v>73</v>
      </c>
      <c r="G9" s="15" t="s">
        <v>74</v>
      </c>
      <c r="H9" s="16" t="s">
        <v>51</v>
      </c>
      <c r="I9" s="17" t="s">
        <v>75</v>
      </c>
      <c r="J9" s="16" t="s">
        <v>65</v>
      </c>
      <c r="K9" s="17" t="s">
        <v>76</v>
      </c>
      <c r="L9" s="16" t="s">
        <v>65</v>
      </c>
      <c r="M9" s="17" t="s">
        <v>77</v>
      </c>
      <c r="N9" s="16" t="s">
        <v>55</v>
      </c>
      <c r="O9" s="17" t="s">
        <v>78</v>
      </c>
      <c r="P9" s="16" t="s">
        <v>79</v>
      </c>
      <c r="Q9" s="17" t="s">
        <v>80</v>
      </c>
      <c r="R9" s="16" t="s">
        <v>70</v>
      </c>
      <c r="S9" s="17" t="s">
        <v>81</v>
      </c>
      <c r="T9" s="18" t="n">
        <f>37105.26</f>
        <v>37105.26</v>
      </c>
      <c r="U9" s="19" t="n">
        <f>7203</f>
        <v>7203.0</v>
      </c>
      <c r="V9" s="19" t="n">
        <v>4194.0</v>
      </c>
      <c r="W9" s="23" t="n">
        <v>413.0</v>
      </c>
      <c r="X9" s="19" t="n">
        <f>266961136600</f>
        <v>2.669611366E11</v>
      </c>
      <c r="Y9" s="19" t="n">
        <v>1.542488536E11</v>
      </c>
      <c r="Z9" s="23" t="n">
        <v>1.5423153E10</v>
      </c>
      <c r="AA9" s="16"/>
      <c r="AB9" s="20" t="n">
        <f>9722</f>
        <v>9722.0</v>
      </c>
      <c r="AC9" s="21" t="n">
        <f>19</f>
        <v>19.0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82</v>
      </c>
      <c r="F10" s="15" t="s">
        <v>62</v>
      </c>
      <c r="G10" s="15" t="s">
        <v>83</v>
      </c>
      <c r="H10" s="16" t="s">
        <v>51</v>
      </c>
      <c r="I10" s="17" t="s">
        <v>84</v>
      </c>
      <c r="J10" s="16" t="s">
        <v>65</v>
      </c>
      <c r="K10" s="17" t="s">
        <v>85</v>
      </c>
      <c r="L10" s="16" t="s">
        <v>51</v>
      </c>
      <c r="M10" s="17" t="s">
        <v>86</v>
      </c>
      <c r="N10" s="16" t="s">
        <v>55</v>
      </c>
      <c r="O10" s="17" t="s">
        <v>87</v>
      </c>
      <c r="P10" s="16" t="s">
        <v>79</v>
      </c>
      <c r="Q10" s="17" t="s">
        <v>88</v>
      </c>
      <c r="R10" s="16" t="s">
        <v>70</v>
      </c>
      <c r="S10" s="17" t="s">
        <v>89</v>
      </c>
      <c r="T10" s="18" t="n">
        <f>36864.74</f>
        <v>36864.74</v>
      </c>
      <c r="U10" s="19" t="n">
        <f>1309</f>
        <v>1309.0</v>
      </c>
      <c r="V10" s="19" t="n">
        <v>1278.0</v>
      </c>
      <c r="W10" s="23"/>
      <c r="X10" s="19" t="n">
        <f>47849850000</f>
        <v>4.784985E10</v>
      </c>
      <c r="Y10" s="19" t="n">
        <v>4.668145E10</v>
      </c>
      <c r="Z10" s="23"/>
      <c r="AA10" s="16"/>
      <c r="AB10" s="20" t="n">
        <f>7570</f>
        <v>7570.0</v>
      </c>
      <c r="AC10" s="21" t="n">
        <f>10</f>
        <v>10.0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90</v>
      </c>
      <c r="F11" s="15" t="s">
        <v>91</v>
      </c>
      <c r="G11" s="15" t="s">
        <v>92</v>
      </c>
      <c r="H11" s="16" t="s">
        <v>55</v>
      </c>
      <c r="I11" s="17" t="s">
        <v>93</v>
      </c>
      <c r="J11" s="16" t="s">
        <v>94</v>
      </c>
      <c r="K11" s="17" t="s">
        <v>95</v>
      </c>
      <c r="L11" s="16" t="s">
        <v>96</v>
      </c>
      <c r="M11" s="17" t="s">
        <v>97</v>
      </c>
      <c r="N11" s="16" t="s">
        <v>55</v>
      </c>
      <c r="O11" s="17" t="s">
        <v>93</v>
      </c>
      <c r="P11" s="16" t="s">
        <v>70</v>
      </c>
      <c r="Q11" s="17" t="s">
        <v>98</v>
      </c>
      <c r="R11" s="16" t="s">
        <v>94</v>
      </c>
      <c r="S11" s="17" t="s">
        <v>95</v>
      </c>
      <c r="T11" s="18" t="n">
        <f>36858.42</f>
        <v>36858.42</v>
      </c>
      <c r="U11" s="19" t="n">
        <f>304</f>
        <v>304.0</v>
      </c>
      <c r="V11" s="19" t="n">
        <v>300.0</v>
      </c>
      <c r="W11" s="23"/>
      <c r="X11" s="19" t="n">
        <f>11543220000</f>
        <v>1.154322E10</v>
      </c>
      <c r="Y11" s="19" t="n">
        <v>1.1396E10</v>
      </c>
      <c r="Z11" s="23"/>
      <c r="AA11" s="16"/>
      <c r="AB11" s="20" t="n">
        <f>612</f>
        <v>612.0</v>
      </c>
      <c r="AC11" s="21" t="n">
        <f>4</f>
        <v>4.0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99</v>
      </c>
      <c r="F12" s="15" t="s">
        <v>62</v>
      </c>
      <c r="G12" s="15" t="s">
        <v>100</v>
      </c>
      <c r="H12" s="16" t="s">
        <v>101</v>
      </c>
      <c r="I12" s="17" t="s">
        <v>102</v>
      </c>
      <c r="J12" s="16" t="s">
        <v>65</v>
      </c>
      <c r="K12" s="17" t="s">
        <v>103</v>
      </c>
      <c r="L12" s="16" t="s">
        <v>94</v>
      </c>
      <c r="M12" s="17" t="s">
        <v>104</v>
      </c>
      <c r="N12" s="16" t="s">
        <v>79</v>
      </c>
      <c r="O12" s="17" t="s">
        <v>105</v>
      </c>
      <c r="P12" s="16" t="s">
        <v>106</v>
      </c>
      <c r="Q12" s="17" t="s">
        <v>107</v>
      </c>
      <c r="R12" s="16" t="s">
        <v>70</v>
      </c>
      <c r="S12" s="17" t="s">
        <v>108</v>
      </c>
      <c r="T12" s="18" t="n">
        <f>36640.53</f>
        <v>36640.53</v>
      </c>
      <c r="U12" s="19" t="n">
        <f>1657</f>
        <v>1657.0</v>
      </c>
      <c r="V12" s="19" t="n">
        <v>1618.0</v>
      </c>
      <c r="W12" s="23"/>
      <c r="X12" s="19" t="n">
        <f>59638260000</f>
        <v>5.963826E10</v>
      </c>
      <c r="Y12" s="19" t="n">
        <v>5.82239E10</v>
      </c>
      <c r="Z12" s="23"/>
      <c r="AA12" s="16"/>
      <c r="AB12" s="20" t="n">
        <f>16501</f>
        <v>16501.0</v>
      </c>
      <c r="AC12" s="21" t="n">
        <f>10</f>
        <v>10.0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109</v>
      </c>
      <c r="F13" s="15" t="s">
        <v>110</v>
      </c>
      <c r="G13" s="15" t="s">
        <v>111</v>
      </c>
      <c r="H13" s="16" t="s">
        <v>112</v>
      </c>
      <c r="I13" s="17" t="s">
        <v>113</v>
      </c>
      <c r="J13" s="16" t="s">
        <v>114</v>
      </c>
      <c r="K13" s="17" t="s">
        <v>115</v>
      </c>
      <c r="L13" s="16"/>
      <c r="M13" s="17"/>
      <c r="N13" s="16" t="s">
        <v>116</v>
      </c>
      <c r="O13" s="17" t="s">
        <v>117</v>
      </c>
      <c r="P13" s="16"/>
      <c r="Q13" s="17"/>
      <c r="R13" s="16" t="s">
        <v>70</v>
      </c>
      <c r="S13" s="17" t="s">
        <v>118</v>
      </c>
      <c r="T13" s="18" t="n">
        <f>36992</f>
        <v>36992.0</v>
      </c>
      <c r="U13" s="19" t="n">
        <f>19</f>
        <v>19.0</v>
      </c>
      <c r="V13" s="19"/>
      <c r="W13" s="23"/>
      <c r="X13" s="19" t="n">
        <f>693090000</f>
        <v>6.9309E8</v>
      </c>
      <c r="Y13" s="19"/>
      <c r="Z13" s="23"/>
      <c r="AA13" s="16"/>
      <c r="AB13" s="20" t="n">
        <f>19</f>
        <v>19.0</v>
      </c>
      <c r="AC13" s="21" t="n">
        <f>7</f>
        <v>7.0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119</v>
      </c>
      <c r="F14" s="15" t="s">
        <v>62</v>
      </c>
      <c r="G14" s="15" t="s">
        <v>120</v>
      </c>
      <c r="H14" s="16"/>
      <c r="I14" s="17" t="s">
        <v>121</v>
      </c>
      <c r="J14" s="16"/>
      <c r="K14" s="17" t="s">
        <v>121</v>
      </c>
      <c r="L14" s="16"/>
      <c r="M14" s="17"/>
      <c r="N14" s="16"/>
      <c r="O14" s="17" t="s">
        <v>121</v>
      </c>
      <c r="P14" s="16"/>
      <c r="Q14" s="17"/>
      <c r="R14" s="16"/>
      <c r="S14" s="17" t="s">
        <v>121</v>
      </c>
      <c r="T14" s="18" t="n">
        <f>36414.74</f>
        <v>36414.74</v>
      </c>
      <c r="U14" s="19" t="str">
        <f>"－"</f>
        <v>－</v>
      </c>
      <c r="V14" s="19"/>
      <c r="W14" s="23"/>
      <c r="X14" s="19" t="str">
        <f>"－"</f>
        <v>－</v>
      </c>
      <c r="Y14" s="19"/>
      <c r="Z14" s="23"/>
      <c r="AA14" s="16"/>
      <c r="AB14" s="20" t="n">
        <f>246</f>
        <v>246.0</v>
      </c>
      <c r="AC14" s="21" t="str">
        <f>"－"</f>
        <v>－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122</v>
      </c>
      <c r="F15" s="15" t="s">
        <v>123</v>
      </c>
      <c r="G15" s="15" t="s">
        <v>124</v>
      </c>
      <c r="H15" s="16" t="s">
        <v>70</v>
      </c>
      <c r="I15" s="17" t="s">
        <v>125</v>
      </c>
      <c r="J15" s="16" t="s">
        <v>70</v>
      </c>
      <c r="K15" s="17" t="s">
        <v>125</v>
      </c>
      <c r="L15" s="16" t="s">
        <v>65</v>
      </c>
      <c r="M15" s="17" t="s">
        <v>126</v>
      </c>
      <c r="N15" s="16" t="s">
        <v>70</v>
      </c>
      <c r="O15" s="17" t="s">
        <v>125</v>
      </c>
      <c r="P15" s="16" t="s">
        <v>79</v>
      </c>
      <c r="Q15" s="17" t="s">
        <v>127</v>
      </c>
      <c r="R15" s="16" t="s">
        <v>70</v>
      </c>
      <c r="S15" s="17" t="s">
        <v>125</v>
      </c>
      <c r="T15" s="18" t="n">
        <f>36212.11</f>
        <v>36212.11</v>
      </c>
      <c r="U15" s="19" t="n">
        <f>1798</f>
        <v>1798.0</v>
      </c>
      <c r="V15" s="19" t="n">
        <v>1797.0</v>
      </c>
      <c r="W15" s="23"/>
      <c r="X15" s="19" t="n">
        <f>66478200000</f>
        <v>6.64782E10</v>
      </c>
      <c r="Y15" s="19" t="n">
        <v>6.6441E10</v>
      </c>
      <c r="Z15" s="23"/>
      <c r="AA15" s="16"/>
      <c r="AB15" s="20" t="n">
        <f>3929</f>
        <v>3929.0</v>
      </c>
      <c r="AC15" s="21" t="n">
        <f>1</f>
        <v>1.0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128</v>
      </c>
      <c r="F16" s="15" t="s">
        <v>129</v>
      </c>
      <c r="G16" s="15" t="s">
        <v>130</v>
      </c>
      <c r="H16" s="16"/>
      <c r="I16" s="17" t="s">
        <v>121</v>
      </c>
      <c r="J16" s="16"/>
      <c r="K16" s="17" t="s">
        <v>121</v>
      </c>
      <c r="L16" s="16"/>
      <c r="M16" s="17"/>
      <c r="N16" s="16"/>
      <c r="O16" s="17" t="s">
        <v>121</v>
      </c>
      <c r="P16" s="16"/>
      <c r="Q16" s="17"/>
      <c r="R16" s="16"/>
      <c r="S16" s="17" t="s">
        <v>121</v>
      </c>
      <c r="T16" s="18" t="n">
        <f>35974.74</f>
        <v>35974.74</v>
      </c>
      <c r="U16" s="19" t="str">
        <f>"－"</f>
        <v>－</v>
      </c>
      <c r="V16" s="19"/>
      <c r="W16" s="23"/>
      <c r="X16" s="19" t="str">
        <f>"－"</f>
        <v>－</v>
      </c>
      <c r="Y16" s="19"/>
      <c r="Z16" s="23"/>
      <c r="AA16" s="16"/>
      <c r="AB16" s="20" t="n">
        <f>27</f>
        <v>27.0</v>
      </c>
      <c r="AC16" s="21" t="str">
        <f>"－"</f>
        <v>－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131</v>
      </c>
      <c r="F17" s="15" t="s">
        <v>132</v>
      </c>
      <c r="G17" s="15" t="s">
        <v>133</v>
      </c>
      <c r="H17" s="16" t="s">
        <v>101</v>
      </c>
      <c r="I17" s="17" t="s">
        <v>134</v>
      </c>
      <c r="J17" s="16" t="s">
        <v>101</v>
      </c>
      <c r="K17" s="17" t="s">
        <v>134</v>
      </c>
      <c r="L17" s="16" t="s">
        <v>51</v>
      </c>
      <c r="M17" s="17" t="s">
        <v>135</v>
      </c>
      <c r="N17" s="16" t="s">
        <v>101</v>
      </c>
      <c r="O17" s="17" t="s">
        <v>136</v>
      </c>
      <c r="P17" s="16" t="s">
        <v>79</v>
      </c>
      <c r="Q17" s="17" t="s">
        <v>137</v>
      </c>
      <c r="R17" s="16" t="s">
        <v>101</v>
      </c>
      <c r="S17" s="17" t="s">
        <v>136</v>
      </c>
      <c r="T17" s="18" t="n">
        <f>35810</f>
        <v>35810.0</v>
      </c>
      <c r="U17" s="19" t="n">
        <f>2052</f>
        <v>2052.0</v>
      </c>
      <c r="V17" s="19" t="n">
        <v>2050.0</v>
      </c>
      <c r="W17" s="23"/>
      <c r="X17" s="19" t="n">
        <f>73803020000</f>
        <v>7.380302E10</v>
      </c>
      <c r="Y17" s="19" t="n">
        <v>7.373165E10</v>
      </c>
      <c r="Z17" s="23"/>
      <c r="AA17" s="16"/>
      <c r="AB17" s="20" t="n">
        <f>4704</f>
        <v>4704.0</v>
      </c>
      <c r="AC17" s="21" t="n">
        <f>1</f>
        <v>1.0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138</v>
      </c>
      <c r="F18" s="15" t="s">
        <v>139</v>
      </c>
      <c r="G18" s="15" t="s">
        <v>140</v>
      </c>
      <c r="H18" s="16"/>
      <c r="I18" s="17" t="s">
        <v>121</v>
      </c>
      <c r="J18" s="16"/>
      <c r="K18" s="17" t="s">
        <v>121</v>
      </c>
      <c r="L18" s="16"/>
      <c r="M18" s="17"/>
      <c r="N18" s="16"/>
      <c r="O18" s="17" t="s">
        <v>121</v>
      </c>
      <c r="P18" s="16"/>
      <c r="Q18" s="17"/>
      <c r="R18" s="16"/>
      <c r="S18" s="17" t="s">
        <v>121</v>
      </c>
      <c r="T18" s="18" t="n">
        <f>35613.16</f>
        <v>35613.16</v>
      </c>
      <c r="U18" s="19" t="str">
        <f>"－"</f>
        <v>－</v>
      </c>
      <c r="V18" s="19"/>
      <c r="W18" s="23"/>
      <c r="X18" s="19" t="str">
        <f>"－"</f>
        <v>－</v>
      </c>
      <c r="Y18" s="19"/>
      <c r="Z18" s="23"/>
      <c r="AA18" s="16"/>
      <c r="AB18" s="20" t="n">
        <f>2</f>
        <v>2.0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141</v>
      </c>
      <c r="F19" s="15" t="s">
        <v>142</v>
      </c>
      <c r="G19" s="15" t="s">
        <v>143</v>
      </c>
      <c r="H19" s="16"/>
      <c r="I19" s="17" t="s">
        <v>121</v>
      </c>
      <c r="J19" s="16"/>
      <c r="K19" s="17" t="s">
        <v>121</v>
      </c>
      <c r="L19" s="16" t="s">
        <v>144</v>
      </c>
      <c r="M19" s="17" t="s">
        <v>145</v>
      </c>
      <c r="N19" s="16"/>
      <c r="O19" s="17" t="s">
        <v>121</v>
      </c>
      <c r="P19" s="16" t="s">
        <v>116</v>
      </c>
      <c r="Q19" s="17" t="s">
        <v>146</v>
      </c>
      <c r="R19" s="16"/>
      <c r="S19" s="17" t="s">
        <v>121</v>
      </c>
      <c r="T19" s="18" t="n">
        <f>35475.79</f>
        <v>35475.79</v>
      </c>
      <c r="U19" s="19" t="n">
        <f>450</f>
        <v>450.0</v>
      </c>
      <c r="V19" s="19" t="n">
        <v>450.0</v>
      </c>
      <c r="W19" s="23"/>
      <c r="X19" s="19" t="n">
        <f>15605500000</f>
        <v>1.56055E10</v>
      </c>
      <c r="Y19" s="19" t="n">
        <v>1.56055E10</v>
      </c>
      <c r="Z19" s="23"/>
      <c r="AA19" s="16"/>
      <c r="AB19" s="20" t="n">
        <f>1942</f>
        <v>1942.0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147</v>
      </c>
      <c r="F20" s="15" t="s">
        <v>148</v>
      </c>
      <c r="G20" s="15" t="s">
        <v>149</v>
      </c>
      <c r="H20" s="16"/>
      <c r="I20" s="17" t="s">
        <v>121</v>
      </c>
      <c r="J20" s="16"/>
      <c r="K20" s="17" t="s">
        <v>121</v>
      </c>
      <c r="L20" s="16"/>
      <c r="M20" s="17"/>
      <c r="N20" s="16"/>
      <c r="O20" s="17" t="s">
        <v>121</v>
      </c>
      <c r="P20" s="16"/>
      <c r="Q20" s="17"/>
      <c r="R20" s="16"/>
      <c r="S20" s="17" t="s">
        <v>121</v>
      </c>
      <c r="T20" s="18" t="n">
        <f>35264.74</f>
        <v>35264.74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n">
        <f>100</f>
        <v>100.0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150</v>
      </c>
      <c r="F21" s="15" t="s">
        <v>151</v>
      </c>
      <c r="G21" s="15" t="s">
        <v>152</v>
      </c>
      <c r="H21" s="16"/>
      <c r="I21" s="17" t="s">
        <v>121</v>
      </c>
      <c r="J21" s="16"/>
      <c r="K21" s="17" t="s">
        <v>121</v>
      </c>
      <c r="L21" s="16" t="s">
        <v>116</v>
      </c>
      <c r="M21" s="17" t="s">
        <v>153</v>
      </c>
      <c r="N21" s="16"/>
      <c r="O21" s="17" t="s">
        <v>121</v>
      </c>
      <c r="P21" s="16" t="s">
        <v>116</v>
      </c>
      <c r="Q21" s="17" t="s">
        <v>153</v>
      </c>
      <c r="R21" s="16"/>
      <c r="S21" s="17" t="s">
        <v>121</v>
      </c>
      <c r="T21" s="18" t="n">
        <f>35147.37</f>
        <v>35147.37</v>
      </c>
      <c r="U21" s="19" t="n">
        <f>300</f>
        <v>300.0</v>
      </c>
      <c r="V21" s="19" t="n">
        <v>300.0</v>
      </c>
      <c r="W21" s="23"/>
      <c r="X21" s="19" t="n">
        <f>10270500000</f>
        <v>1.02705E10</v>
      </c>
      <c r="Y21" s="19" t="n">
        <v>1.02705E10</v>
      </c>
      <c r="Z21" s="23"/>
      <c r="AA21" s="16"/>
      <c r="AB21" s="20" t="n">
        <f>400</f>
        <v>400.0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154</v>
      </c>
      <c r="F22" s="15" t="s">
        <v>155</v>
      </c>
      <c r="G22" s="15" t="s">
        <v>156</v>
      </c>
      <c r="H22" s="16"/>
      <c r="I22" s="17" t="s">
        <v>121</v>
      </c>
      <c r="J22" s="16"/>
      <c r="K22" s="17" t="s">
        <v>121</v>
      </c>
      <c r="L22" s="16"/>
      <c r="M22" s="17"/>
      <c r="N22" s="16"/>
      <c r="O22" s="17" t="s">
        <v>121</v>
      </c>
      <c r="P22" s="16"/>
      <c r="Q22" s="17"/>
      <c r="R22" s="16"/>
      <c r="S22" s="17" t="s">
        <v>121</v>
      </c>
      <c r="T22" s="18" t="n">
        <f>34944.21</f>
        <v>34944.21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157</v>
      </c>
      <c r="F23" s="15" t="s">
        <v>158</v>
      </c>
      <c r="G23" s="15" t="s">
        <v>159</v>
      </c>
      <c r="H23" s="16"/>
      <c r="I23" s="17" t="s">
        <v>121</v>
      </c>
      <c r="J23" s="16"/>
      <c r="K23" s="17" t="s">
        <v>121</v>
      </c>
      <c r="L23" s="16"/>
      <c r="M23" s="17"/>
      <c r="N23" s="16"/>
      <c r="O23" s="17" t="s">
        <v>121</v>
      </c>
      <c r="P23" s="16"/>
      <c r="Q23" s="17"/>
      <c r="R23" s="16"/>
      <c r="S23" s="17" t="s">
        <v>121</v>
      </c>
      <c r="T23" s="18" t="n">
        <f>34896.32</f>
        <v>34896.32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160</v>
      </c>
      <c r="F24" s="15" t="s">
        <v>161</v>
      </c>
      <c r="G24" s="15" t="s">
        <v>162</v>
      </c>
      <c r="H24" s="16"/>
      <c r="I24" s="17" t="s">
        <v>121</v>
      </c>
      <c r="J24" s="16"/>
      <c r="K24" s="17" t="s">
        <v>121</v>
      </c>
      <c r="L24" s="16"/>
      <c r="M24" s="17"/>
      <c r="N24" s="16"/>
      <c r="O24" s="17" t="s">
        <v>121</v>
      </c>
      <c r="P24" s="16"/>
      <c r="Q24" s="17"/>
      <c r="R24" s="16"/>
      <c r="S24" s="17" t="s">
        <v>121</v>
      </c>
      <c r="T24" s="18" t="n">
        <f>34648.95</f>
        <v>34648.95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163</v>
      </c>
      <c r="F25" s="15" t="s">
        <v>164</v>
      </c>
      <c r="G25" s="15" t="s">
        <v>165</v>
      </c>
      <c r="H25" s="16"/>
      <c r="I25" s="17" t="s">
        <v>121</v>
      </c>
      <c r="J25" s="16"/>
      <c r="K25" s="17" t="s">
        <v>121</v>
      </c>
      <c r="L25" s="16"/>
      <c r="M25" s="17"/>
      <c r="N25" s="16"/>
      <c r="O25" s="17" t="s">
        <v>121</v>
      </c>
      <c r="P25" s="16"/>
      <c r="Q25" s="17"/>
      <c r="R25" s="16"/>
      <c r="S25" s="17" t="s">
        <v>121</v>
      </c>
      <c r="T25" s="18" t="n">
        <f>34611.05</f>
        <v>34611.05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47</v>
      </c>
      <c r="C26" s="14" t="s">
        <v>48</v>
      </c>
      <c r="D26" s="22"/>
      <c r="E26" s="14" t="s">
        <v>166</v>
      </c>
      <c r="F26" s="15" t="s">
        <v>167</v>
      </c>
      <c r="G26" s="15" t="s">
        <v>168</v>
      </c>
      <c r="H26" s="16"/>
      <c r="I26" s="17" t="s">
        <v>121</v>
      </c>
      <c r="J26" s="16"/>
      <c r="K26" s="17" t="s">
        <v>121</v>
      </c>
      <c r="L26" s="16"/>
      <c r="M26" s="17"/>
      <c r="N26" s="16"/>
      <c r="O26" s="17" t="s">
        <v>121</v>
      </c>
      <c r="P26" s="16"/>
      <c r="Q26" s="17"/>
      <c r="R26" s="16"/>
      <c r="S26" s="17" t="s">
        <v>121</v>
      </c>
      <c r="T26" s="18" t="n">
        <f>34405.26</f>
        <v>34405.26</v>
      </c>
      <c r="U26" s="19" t="str">
        <f>"－"</f>
        <v>－</v>
      </c>
      <c r="V26" s="19"/>
      <c r="W26" s="23"/>
      <c r="X26" s="19" t="str">
        <f>"－"</f>
        <v>－</v>
      </c>
      <c r="Y26" s="19"/>
      <c r="Z26" s="23"/>
      <c r="AA26" s="16"/>
      <c r="AB26" s="20" t="str">
        <f>"－"</f>
        <v>－</v>
      </c>
      <c r="AC26" s="21" t="str">
        <f>"－"</f>
        <v>－</v>
      </c>
    </row>
    <row r="27">
      <c r="A27" s="13" t="s">
        <v>46</v>
      </c>
      <c r="B27" s="14" t="s">
        <v>169</v>
      </c>
      <c r="C27" s="14" t="s">
        <v>170</v>
      </c>
      <c r="D27" s="22"/>
      <c r="E27" s="14" t="s">
        <v>46</v>
      </c>
      <c r="F27" s="15" t="s">
        <v>49</v>
      </c>
      <c r="G27" s="15" t="s">
        <v>50</v>
      </c>
      <c r="H27" s="16" t="s">
        <v>51</v>
      </c>
      <c r="I27" s="17" t="s">
        <v>52</v>
      </c>
      <c r="J27" s="16" t="s">
        <v>51</v>
      </c>
      <c r="K27" s="17" t="s">
        <v>171</v>
      </c>
      <c r="L27" s="16" t="s">
        <v>51</v>
      </c>
      <c r="M27" s="17" t="s">
        <v>172</v>
      </c>
      <c r="N27" s="16" t="s">
        <v>55</v>
      </c>
      <c r="O27" s="17" t="s">
        <v>173</v>
      </c>
      <c r="P27" s="16" t="s">
        <v>55</v>
      </c>
      <c r="Q27" s="17" t="s">
        <v>174</v>
      </c>
      <c r="R27" s="16" t="s">
        <v>58</v>
      </c>
      <c r="S27" s="17" t="s">
        <v>175</v>
      </c>
      <c r="T27" s="18" t="n">
        <f>36942.22</f>
        <v>36942.22</v>
      </c>
      <c r="U27" s="19" t="n">
        <f>6969686</f>
        <v>6969686.0</v>
      </c>
      <c r="V27" s="19" t="n">
        <v>734489.0</v>
      </c>
      <c r="W27" s="23" t="n">
        <v>120867.0</v>
      </c>
      <c r="X27" s="19" t="n">
        <f>25664756624464</f>
        <v>2.5664756624464E13</v>
      </c>
      <c r="Y27" s="19" t="n">
        <v>2.701463856064E12</v>
      </c>
      <c r="Z27" s="23" t="n">
        <v>4.363199164E11</v>
      </c>
      <c r="AA27" s="16" t="s">
        <v>60</v>
      </c>
      <c r="AB27" s="20" t="n">
        <f>349092</f>
        <v>349092.0</v>
      </c>
      <c r="AC27" s="21" t="n">
        <f>9</f>
        <v>9.0</v>
      </c>
    </row>
    <row r="28">
      <c r="A28" s="13" t="s">
        <v>46</v>
      </c>
      <c r="B28" s="14" t="s">
        <v>169</v>
      </c>
      <c r="C28" s="14" t="s">
        <v>170</v>
      </c>
      <c r="D28" s="22"/>
      <c r="E28" s="14" t="s">
        <v>176</v>
      </c>
      <c r="F28" s="15" t="s">
        <v>177</v>
      </c>
      <c r="G28" s="15" t="s">
        <v>178</v>
      </c>
      <c r="H28" s="16" t="s">
        <v>51</v>
      </c>
      <c r="I28" s="17" t="s">
        <v>179</v>
      </c>
      <c r="J28" s="16" t="s">
        <v>65</v>
      </c>
      <c r="K28" s="17" t="s">
        <v>180</v>
      </c>
      <c r="L28" s="16" t="s">
        <v>65</v>
      </c>
      <c r="M28" s="17" t="s">
        <v>181</v>
      </c>
      <c r="N28" s="16" t="s">
        <v>55</v>
      </c>
      <c r="O28" s="17" t="s">
        <v>182</v>
      </c>
      <c r="P28" s="16" t="s">
        <v>55</v>
      </c>
      <c r="Q28" s="17" t="s">
        <v>183</v>
      </c>
      <c r="R28" s="16" t="s">
        <v>70</v>
      </c>
      <c r="S28" s="17" t="s">
        <v>184</v>
      </c>
      <c r="T28" s="18" t="n">
        <f>37095.26</f>
        <v>37095.26</v>
      </c>
      <c r="U28" s="19" t="n">
        <f>829397</f>
        <v>829397.0</v>
      </c>
      <c r="V28" s="19" t="n">
        <v>162701.0</v>
      </c>
      <c r="W28" s="23" t="n">
        <v>5656.0</v>
      </c>
      <c r="X28" s="19" t="n">
        <f>3080093061530</f>
        <v>3.08009306153E12</v>
      </c>
      <c r="Y28" s="19" t="n">
        <v>6.0535019573E11</v>
      </c>
      <c r="Z28" s="23" t="n">
        <v>2.05186133E10</v>
      </c>
      <c r="AA28" s="16"/>
      <c r="AB28" s="20" t="n">
        <f>40823</f>
        <v>40823.0</v>
      </c>
      <c r="AC28" s="21" t="n">
        <f>19</f>
        <v>19.0</v>
      </c>
    </row>
    <row r="29">
      <c r="A29" s="13" t="s">
        <v>46</v>
      </c>
      <c r="B29" s="14" t="s">
        <v>169</v>
      </c>
      <c r="C29" s="14" t="s">
        <v>170</v>
      </c>
      <c r="D29" s="22"/>
      <c r="E29" s="14" t="s">
        <v>185</v>
      </c>
      <c r="F29" s="15" t="s">
        <v>186</v>
      </c>
      <c r="G29" s="15" t="s">
        <v>187</v>
      </c>
      <c r="H29" s="16" t="s">
        <v>51</v>
      </c>
      <c r="I29" s="17" t="s">
        <v>188</v>
      </c>
      <c r="J29" s="16" t="s">
        <v>65</v>
      </c>
      <c r="K29" s="17" t="s">
        <v>189</v>
      </c>
      <c r="L29" s="16" t="s">
        <v>65</v>
      </c>
      <c r="M29" s="17" t="s">
        <v>190</v>
      </c>
      <c r="N29" s="16" t="s">
        <v>55</v>
      </c>
      <c r="O29" s="17" t="s">
        <v>191</v>
      </c>
      <c r="P29" s="16" t="s">
        <v>55</v>
      </c>
      <c r="Q29" s="17" t="s">
        <v>192</v>
      </c>
      <c r="R29" s="16" t="s">
        <v>70</v>
      </c>
      <c r="S29" s="17" t="s">
        <v>193</v>
      </c>
      <c r="T29" s="18" t="n">
        <f>37131.84</f>
        <v>37131.84</v>
      </c>
      <c r="U29" s="19" t="n">
        <f>27301</f>
        <v>27301.0</v>
      </c>
      <c r="V29" s="19" t="n">
        <v>15780.0</v>
      </c>
      <c r="W29" s="23"/>
      <c r="X29" s="19" t="n">
        <f>102605227710</f>
        <v>1.0260522771E11</v>
      </c>
      <c r="Y29" s="19" t="n">
        <v>5.964013471E10</v>
      </c>
      <c r="Z29" s="23"/>
      <c r="AA29" s="16"/>
      <c r="AB29" s="20" t="n">
        <f>12886</f>
        <v>12886.0</v>
      </c>
      <c r="AC29" s="21" t="n">
        <f>19</f>
        <v>19.0</v>
      </c>
    </row>
    <row r="30">
      <c r="A30" s="13" t="s">
        <v>46</v>
      </c>
      <c r="B30" s="14" t="s">
        <v>169</v>
      </c>
      <c r="C30" s="14" t="s">
        <v>170</v>
      </c>
      <c r="D30" s="22"/>
      <c r="E30" s="14" t="s">
        <v>61</v>
      </c>
      <c r="F30" s="15" t="s">
        <v>132</v>
      </c>
      <c r="G30" s="15" t="s">
        <v>63</v>
      </c>
      <c r="H30" s="16" t="s">
        <v>51</v>
      </c>
      <c r="I30" s="17" t="s">
        <v>194</v>
      </c>
      <c r="J30" s="16" t="s">
        <v>65</v>
      </c>
      <c r="K30" s="17" t="s">
        <v>66</v>
      </c>
      <c r="L30" s="16" t="s">
        <v>65</v>
      </c>
      <c r="M30" s="17" t="s">
        <v>195</v>
      </c>
      <c r="N30" s="16" t="s">
        <v>55</v>
      </c>
      <c r="O30" s="17" t="s">
        <v>68</v>
      </c>
      <c r="P30" s="16" t="s">
        <v>55</v>
      </c>
      <c r="Q30" s="17" t="s">
        <v>196</v>
      </c>
      <c r="R30" s="16" t="s">
        <v>70</v>
      </c>
      <c r="S30" s="17" t="s">
        <v>71</v>
      </c>
      <c r="T30" s="18" t="n">
        <f>37125.26</f>
        <v>37125.26</v>
      </c>
      <c r="U30" s="19" t="n">
        <f>9081852</f>
        <v>9081852.0</v>
      </c>
      <c r="V30" s="19" t="n">
        <v>915852.0</v>
      </c>
      <c r="W30" s="23" t="n">
        <v>117037.0</v>
      </c>
      <c r="X30" s="19" t="n">
        <f>33882981750280</f>
        <v>3.388298175028E13</v>
      </c>
      <c r="Y30" s="19" t="n">
        <v>3.41727825118E12</v>
      </c>
      <c r="Z30" s="23" t="n">
        <v>4.202891371E11</v>
      </c>
      <c r="AA30" s="16"/>
      <c r="AB30" s="20" t="n">
        <f>236973</f>
        <v>236973.0</v>
      </c>
      <c r="AC30" s="21" t="n">
        <f>19</f>
        <v>19.0</v>
      </c>
    </row>
    <row r="31">
      <c r="A31" s="13" t="s">
        <v>46</v>
      </c>
      <c r="B31" s="14" t="s">
        <v>169</v>
      </c>
      <c r="C31" s="14" t="s">
        <v>170</v>
      </c>
      <c r="D31" s="22"/>
      <c r="E31" s="14" t="s">
        <v>197</v>
      </c>
      <c r="F31" s="15" t="s">
        <v>198</v>
      </c>
      <c r="G31" s="15" t="s">
        <v>199</v>
      </c>
      <c r="H31" s="16" t="s">
        <v>51</v>
      </c>
      <c r="I31" s="17" t="s">
        <v>194</v>
      </c>
      <c r="J31" s="16" t="s">
        <v>65</v>
      </c>
      <c r="K31" s="17" t="s">
        <v>200</v>
      </c>
      <c r="L31" s="16" t="s">
        <v>65</v>
      </c>
      <c r="M31" s="17" t="s">
        <v>201</v>
      </c>
      <c r="N31" s="16" t="s">
        <v>55</v>
      </c>
      <c r="O31" s="17" t="s">
        <v>182</v>
      </c>
      <c r="P31" s="16" t="s">
        <v>144</v>
      </c>
      <c r="Q31" s="17" t="s">
        <v>202</v>
      </c>
      <c r="R31" s="16" t="s">
        <v>70</v>
      </c>
      <c r="S31" s="17" t="s">
        <v>203</v>
      </c>
      <c r="T31" s="18" t="n">
        <f>37078.68</f>
        <v>37078.68</v>
      </c>
      <c r="U31" s="19" t="n">
        <f>1474</f>
        <v>1474.0</v>
      </c>
      <c r="V31" s="19" t="n">
        <v>9.0</v>
      </c>
      <c r="W31" s="23"/>
      <c r="X31" s="19" t="n">
        <f>5492315530</f>
        <v>5.49231553E9</v>
      </c>
      <c r="Y31" s="19" t="n">
        <v>3.394103E7</v>
      </c>
      <c r="Z31" s="23"/>
      <c r="AA31" s="16"/>
      <c r="AB31" s="20" t="n">
        <f>431</f>
        <v>431.0</v>
      </c>
      <c r="AC31" s="21" t="n">
        <f>19</f>
        <v>19.0</v>
      </c>
    </row>
    <row r="32">
      <c r="A32" s="13" t="s">
        <v>46</v>
      </c>
      <c r="B32" s="14" t="s">
        <v>169</v>
      </c>
      <c r="C32" s="14" t="s">
        <v>170</v>
      </c>
      <c r="D32" s="22"/>
      <c r="E32" s="14" t="s">
        <v>72</v>
      </c>
      <c r="F32" s="15" t="s">
        <v>73</v>
      </c>
      <c r="G32" s="15" t="s">
        <v>74</v>
      </c>
      <c r="H32" s="16" t="s">
        <v>51</v>
      </c>
      <c r="I32" s="17" t="s">
        <v>204</v>
      </c>
      <c r="J32" s="16" t="s">
        <v>65</v>
      </c>
      <c r="K32" s="17" t="s">
        <v>205</v>
      </c>
      <c r="L32" s="16" t="s">
        <v>65</v>
      </c>
      <c r="M32" s="17" t="s">
        <v>206</v>
      </c>
      <c r="N32" s="16" t="s">
        <v>55</v>
      </c>
      <c r="O32" s="17" t="s">
        <v>207</v>
      </c>
      <c r="P32" s="16" t="s">
        <v>144</v>
      </c>
      <c r="Q32" s="17" t="s">
        <v>208</v>
      </c>
      <c r="R32" s="16" t="s">
        <v>70</v>
      </c>
      <c r="S32" s="17" t="s">
        <v>71</v>
      </c>
      <c r="T32" s="18" t="n">
        <f>37105.26</f>
        <v>37105.26</v>
      </c>
      <c r="U32" s="19" t="n">
        <f>123629</f>
        <v>123629.0</v>
      </c>
      <c r="V32" s="19" t="n">
        <v>2444.0</v>
      </c>
      <c r="W32" s="23" t="n">
        <v>160.0</v>
      </c>
      <c r="X32" s="19" t="n">
        <f>463733728760</f>
        <v>4.6373372876E11</v>
      </c>
      <c r="Y32" s="19" t="n">
        <v>9.24978226E9</v>
      </c>
      <c r="Z32" s="23" t="n">
        <v>6.118895E8</v>
      </c>
      <c r="AA32" s="16"/>
      <c r="AB32" s="20" t="n">
        <f>8247</f>
        <v>8247.0</v>
      </c>
      <c r="AC32" s="21" t="n">
        <f>19</f>
        <v>19.0</v>
      </c>
    </row>
    <row r="33">
      <c r="A33" s="13" t="s">
        <v>46</v>
      </c>
      <c r="B33" s="14" t="s">
        <v>169</v>
      </c>
      <c r="C33" s="14" t="s">
        <v>170</v>
      </c>
      <c r="D33" s="22"/>
      <c r="E33" s="14" t="s">
        <v>82</v>
      </c>
      <c r="F33" s="15" t="s">
        <v>139</v>
      </c>
      <c r="G33" s="15" t="s">
        <v>83</v>
      </c>
      <c r="H33" s="16" t="s">
        <v>51</v>
      </c>
      <c r="I33" s="17" t="s">
        <v>209</v>
      </c>
      <c r="J33" s="16" t="s">
        <v>65</v>
      </c>
      <c r="K33" s="17" t="s">
        <v>210</v>
      </c>
      <c r="L33" s="16"/>
      <c r="M33" s="17"/>
      <c r="N33" s="16" t="s">
        <v>55</v>
      </c>
      <c r="O33" s="17" t="s">
        <v>211</v>
      </c>
      <c r="P33" s="16"/>
      <c r="Q33" s="17"/>
      <c r="R33" s="16" t="s">
        <v>70</v>
      </c>
      <c r="S33" s="17" t="s">
        <v>212</v>
      </c>
      <c r="T33" s="18" t="n">
        <f>36864.74</f>
        <v>36864.74</v>
      </c>
      <c r="U33" s="19" t="n">
        <f>7098</f>
        <v>7098.0</v>
      </c>
      <c r="V33" s="19"/>
      <c r="W33" s="23"/>
      <c r="X33" s="19" t="n">
        <f>26327439000</f>
        <v>2.6327439E10</v>
      </c>
      <c r="Y33" s="19"/>
      <c r="Z33" s="23"/>
      <c r="AA33" s="16"/>
      <c r="AB33" s="20" t="n">
        <f>1410</f>
        <v>1410.0</v>
      </c>
      <c r="AC33" s="21" t="n">
        <f>19</f>
        <v>19.0</v>
      </c>
    </row>
    <row r="34">
      <c r="A34" s="13" t="s">
        <v>46</v>
      </c>
      <c r="B34" s="14" t="s">
        <v>169</v>
      </c>
      <c r="C34" s="14" t="s">
        <v>170</v>
      </c>
      <c r="D34" s="22"/>
      <c r="E34" s="14" t="s">
        <v>90</v>
      </c>
      <c r="F34" s="15" t="s">
        <v>91</v>
      </c>
      <c r="G34" s="15" t="s">
        <v>92</v>
      </c>
      <c r="H34" s="16" t="s">
        <v>51</v>
      </c>
      <c r="I34" s="17" t="s">
        <v>213</v>
      </c>
      <c r="J34" s="16" t="s">
        <v>65</v>
      </c>
      <c r="K34" s="17" t="s">
        <v>214</v>
      </c>
      <c r="L34" s="16"/>
      <c r="M34" s="17"/>
      <c r="N34" s="16" t="s">
        <v>55</v>
      </c>
      <c r="O34" s="17" t="s">
        <v>215</v>
      </c>
      <c r="P34" s="16"/>
      <c r="Q34" s="17"/>
      <c r="R34" s="16" t="s">
        <v>70</v>
      </c>
      <c r="S34" s="17" t="s">
        <v>216</v>
      </c>
      <c r="T34" s="18" t="n">
        <f>36858.42</f>
        <v>36858.42</v>
      </c>
      <c r="U34" s="19" t="n">
        <f>610</f>
        <v>610.0</v>
      </c>
      <c r="V34" s="19"/>
      <c r="W34" s="23"/>
      <c r="X34" s="19" t="n">
        <f>2269443000</f>
        <v>2.269443E9</v>
      </c>
      <c r="Y34" s="19"/>
      <c r="Z34" s="23"/>
      <c r="AA34" s="16"/>
      <c r="AB34" s="20" t="n">
        <f>258</f>
        <v>258.0</v>
      </c>
      <c r="AC34" s="21" t="n">
        <f>19</f>
        <v>19.0</v>
      </c>
    </row>
    <row r="35">
      <c r="A35" s="13" t="s">
        <v>46</v>
      </c>
      <c r="B35" s="14" t="s">
        <v>169</v>
      </c>
      <c r="C35" s="14" t="s">
        <v>170</v>
      </c>
      <c r="D35" s="22"/>
      <c r="E35" s="14" t="s">
        <v>99</v>
      </c>
      <c r="F35" s="15" t="s">
        <v>142</v>
      </c>
      <c r="G35" s="15" t="s">
        <v>100</v>
      </c>
      <c r="H35" s="16" t="s">
        <v>51</v>
      </c>
      <c r="I35" s="17" t="s">
        <v>217</v>
      </c>
      <c r="J35" s="16" t="s">
        <v>65</v>
      </c>
      <c r="K35" s="17" t="s">
        <v>218</v>
      </c>
      <c r="L35" s="16"/>
      <c r="M35" s="17"/>
      <c r="N35" s="16" t="s">
        <v>55</v>
      </c>
      <c r="O35" s="17" t="s">
        <v>219</v>
      </c>
      <c r="P35" s="16"/>
      <c r="Q35" s="17"/>
      <c r="R35" s="16" t="s">
        <v>70</v>
      </c>
      <c r="S35" s="17" t="s">
        <v>220</v>
      </c>
      <c r="T35" s="18" t="n">
        <f>36640.53</f>
        <v>36640.53</v>
      </c>
      <c r="U35" s="19" t="n">
        <f>2788</f>
        <v>2788.0</v>
      </c>
      <c r="V35" s="19"/>
      <c r="W35" s="23"/>
      <c r="X35" s="19" t="n">
        <f>10242199000</f>
        <v>1.0242199E10</v>
      </c>
      <c r="Y35" s="19"/>
      <c r="Z35" s="23"/>
      <c r="AA35" s="16"/>
      <c r="AB35" s="20" t="n">
        <f>1355</f>
        <v>1355.0</v>
      </c>
      <c r="AC35" s="21" t="n">
        <f>19</f>
        <v>19.0</v>
      </c>
    </row>
    <row r="36">
      <c r="A36" s="13" t="s">
        <v>46</v>
      </c>
      <c r="B36" s="14" t="s">
        <v>169</v>
      </c>
      <c r="C36" s="14" t="s">
        <v>170</v>
      </c>
      <c r="D36" s="22"/>
      <c r="E36" s="14" t="s">
        <v>109</v>
      </c>
      <c r="F36" s="15" t="s">
        <v>110</v>
      </c>
      <c r="G36" s="15" t="s">
        <v>111</v>
      </c>
      <c r="H36" s="16" t="s">
        <v>144</v>
      </c>
      <c r="I36" s="17" t="s">
        <v>221</v>
      </c>
      <c r="J36" s="16" t="s">
        <v>65</v>
      </c>
      <c r="K36" s="17" t="s">
        <v>222</v>
      </c>
      <c r="L36" s="16"/>
      <c r="M36" s="17"/>
      <c r="N36" s="16" t="s">
        <v>144</v>
      </c>
      <c r="O36" s="17" t="s">
        <v>223</v>
      </c>
      <c r="P36" s="16"/>
      <c r="Q36" s="17"/>
      <c r="R36" s="16" t="s">
        <v>70</v>
      </c>
      <c r="S36" s="17" t="s">
        <v>224</v>
      </c>
      <c r="T36" s="18" t="n">
        <f>36992</f>
        <v>36992.0</v>
      </c>
      <c r="U36" s="19" t="n">
        <f>63</f>
        <v>63.0</v>
      </c>
      <c r="V36" s="19"/>
      <c r="W36" s="23"/>
      <c r="X36" s="19" t="n">
        <f>235362500</f>
        <v>2.353625E8</v>
      </c>
      <c r="Y36" s="19"/>
      <c r="Z36" s="23"/>
      <c r="AA36" s="16"/>
      <c r="AB36" s="20" t="n">
        <f>6</f>
        <v>6.0</v>
      </c>
      <c r="AC36" s="21" t="n">
        <f>8</f>
        <v>8.0</v>
      </c>
    </row>
    <row r="37">
      <c r="A37" s="13" t="s">
        <v>46</v>
      </c>
      <c r="B37" s="14" t="s">
        <v>169</v>
      </c>
      <c r="C37" s="14" t="s">
        <v>170</v>
      </c>
      <c r="D37" s="22"/>
      <c r="E37" s="14" t="s">
        <v>119</v>
      </c>
      <c r="F37" s="15" t="s">
        <v>148</v>
      </c>
      <c r="G37" s="15" t="s">
        <v>120</v>
      </c>
      <c r="H37" s="16" t="s">
        <v>225</v>
      </c>
      <c r="I37" s="17" t="s">
        <v>226</v>
      </c>
      <c r="J37" s="16" t="s">
        <v>70</v>
      </c>
      <c r="K37" s="17" t="s">
        <v>227</v>
      </c>
      <c r="L37" s="16"/>
      <c r="M37" s="17"/>
      <c r="N37" s="16" t="s">
        <v>79</v>
      </c>
      <c r="O37" s="17" t="s">
        <v>228</v>
      </c>
      <c r="P37" s="16"/>
      <c r="Q37" s="17"/>
      <c r="R37" s="16" t="s">
        <v>70</v>
      </c>
      <c r="S37" s="17" t="s">
        <v>227</v>
      </c>
      <c r="T37" s="18" t="n">
        <f>36414.74</f>
        <v>36414.74</v>
      </c>
      <c r="U37" s="19" t="n">
        <f>96</f>
        <v>96.0</v>
      </c>
      <c r="V37" s="19"/>
      <c r="W37" s="23"/>
      <c r="X37" s="19" t="n">
        <f>349953500</f>
        <v>3.499535E8</v>
      </c>
      <c r="Y37" s="19"/>
      <c r="Z37" s="23"/>
      <c r="AA37" s="16"/>
      <c r="AB37" s="20" t="n">
        <f>263</f>
        <v>263.0</v>
      </c>
      <c r="AC37" s="21" t="n">
        <f>7</f>
        <v>7.0</v>
      </c>
    </row>
    <row r="38">
      <c r="A38" s="13" t="s">
        <v>46</v>
      </c>
      <c r="B38" s="14" t="s">
        <v>169</v>
      </c>
      <c r="C38" s="14" t="s">
        <v>170</v>
      </c>
      <c r="D38" s="22"/>
      <c r="E38" s="14" t="s">
        <v>122</v>
      </c>
      <c r="F38" s="15" t="s">
        <v>151</v>
      </c>
      <c r="G38" s="15" t="s">
        <v>124</v>
      </c>
      <c r="H38" s="16" t="s">
        <v>51</v>
      </c>
      <c r="I38" s="17" t="s">
        <v>229</v>
      </c>
      <c r="J38" s="16" t="s">
        <v>65</v>
      </c>
      <c r="K38" s="17" t="s">
        <v>230</v>
      </c>
      <c r="L38" s="16"/>
      <c r="M38" s="17"/>
      <c r="N38" s="16" t="s">
        <v>55</v>
      </c>
      <c r="O38" s="17" t="s">
        <v>231</v>
      </c>
      <c r="P38" s="16"/>
      <c r="Q38" s="17"/>
      <c r="R38" s="16" t="s">
        <v>70</v>
      </c>
      <c r="S38" s="17" t="s">
        <v>232</v>
      </c>
      <c r="T38" s="18" t="n">
        <f>36212.11</f>
        <v>36212.11</v>
      </c>
      <c r="U38" s="19" t="n">
        <f>822</f>
        <v>822.0</v>
      </c>
      <c r="V38" s="19"/>
      <c r="W38" s="23"/>
      <c r="X38" s="19" t="n">
        <f>2989419500</f>
        <v>2.9894195E9</v>
      </c>
      <c r="Y38" s="19"/>
      <c r="Z38" s="23"/>
      <c r="AA38" s="16"/>
      <c r="AB38" s="20" t="n">
        <f>565</f>
        <v>565.0</v>
      </c>
      <c r="AC38" s="21" t="n">
        <f>19</f>
        <v>19.0</v>
      </c>
    </row>
    <row r="39">
      <c r="A39" s="13" t="s">
        <v>46</v>
      </c>
      <c r="B39" s="14" t="s">
        <v>169</v>
      </c>
      <c r="C39" s="14" t="s">
        <v>170</v>
      </c>
      <c r="D39" s="22"/>
      <c r="E39" s="14" t="s">
        <v>128</v>
      </c>
      <c r="F39" s="15" t="s">
        <v>155</v>
      </c>
      <c r="G39" s="15" t="s">
        <v>130</v>
      </c>
      <c r="H39" s="16" t="s">
        <v>55</v>
      </c>
      <c r="I39" s="17" t="s">
        <v>233</v>
      </c>
      <c r="J39" s="16" t="s">
        <v>70</v>
      </c>
      <c r="K39" s="17" t="s">
        <v>234</v>
      </c>
      <c r="L39" s="16"/>
      <c r="M39" s="17"/>
      <c r="N39" s="16" t="s">
        <v>55</v>
      </c>
      <c r="O39" s="17" t="s">
        <v>235</v>
      </c>
      <c r="P39" s="16"/>
      <c r="Q39" s="17"/>
      <c r="R39" s="16" t="s">
        <v>70</v>
      </c>
      <c r="S39" s="17" t="s">
        <v>234</v>
      </c>
      <c r="T39" s="18" t="n">
        <f>35974.74</f>
        <v>35974.74</v>
      </c>
      <c r="U39" s="19" t="n">
        <f>8</f>
        <v>8.0</v>
      </c>
      <c r="V39" s="19"/>
      <c r="W39" s="23"/>
      <c r="X39" s="19" t="n">
        <f>28160500</f>
        <v>2.81605E7</v>
      </c>
      <c r="Y39" s="19"/>
      <c r="Z39" s="23"/>
      <c r="AA39" s="16"/>
      <c r="AB39" s="20" t="n">
        <f>166</f>
        <v>166.0</v>
      </c>
      <c r="AC39" s="21" t="n">
        <f>4</f>
        <v>4.0</v>
      </c>
    </row>
    <row r="40">
      <c r="A40" s="13" t="s">
        <v>46</v>
      </c>
      <c r="B40" s="14" t="s">
        <v>169</v>
      </c>
      <c r="C40" s="14" t="s">
        <v>170</v>
      </c>
      <c r="D40" s="22"/>
      <c r="E40" s="14" t="s">
        <v>131</v>
      </c>
      <c r="F40" s="15" t="s">
        <v>158</v>
      </c>
      <c r="G40" s="15" t="s">
        <v>133</v>
      </c>
      <c r="H40" s="16" t="s">
        <v>51</v>
      </c>
      <c r="I40" s="17" t="s">
        <v>224</v>
      </c>
      <c r="J40" s="16" t="s">
        <v>65</v>
      </c>
      <c r="K40" s="17" t="s">
        <v>236</v>
      </c>
      <c r="L40" s="16"/>
      <c r="M40" s="17"/>
      <c r="N40" s="16" t="s">
        <v>55</v>
      </c>
      <c r="O40" s="17" t="s">
        <v>237</v>
      </c>
      <c r="P40" s="16"/>
      <c r="Q40" s="17"/>
      <c r="R40" s="16" t="s">
        <v>70</v>
      </c>
      <c r="S40" s="17" t="s">
        <v>238</v>
      </c>
      <c r="T40" s="18" t="n">
        <f>35810</f>
        <v>35810.0</v>
      </c>
      <c r="U40" s="19" t="n">
        <f>139</f>
        <v>139.0</v>
      </c>
      <c r="V40" s="19"/>
      <c r="W40" s="23"/>
      <c r="X40" s="19" t="n">
        <f>503147000</f>
        <v>5.03147E8</v>
      </c>
      <c r="Y40" s="19"/>
      <c r="Z40" s="23"/>
      <c r="AA40" s="16"/>
      <c r="AB40" s="20" t="n">
        <f>513</f>
        <v>513.0</v>
      </c>
      <c r="AC40" s="21" t="n">
        <f>16</f>
        <v>16.0</v>
      </c>
    </row>
    <row r="41">
      <c r="A41" s="13" t="s">
        <v>46</v>
      </c>
      <c r="B41" s="14" t="s">
        <v>169</v>
      </c>
      <c r="C41" s="14" t="s">
        <v>170</v>
      </c>
      <c r="D41" s="22"/>
      <c r="E41" s="14" t="s">
        <v>138</v>
      </c>
      <c r="F41" s="15" t="s">
        <v>161</v>
      </c>
      <c r="G41" s="15" t="s">
        <v>140</v>
      </c>
      <c r="H41" s="16" t="s">
        <v>51</v>
      </c>
      <c r="I41" s="17" t="s">
        <v>239</v>
      </c>
      <c r="J41" s="16" t="s">
        <v>65</v>
      </c>
      <c r="K41" s="17" t="s">
        <v>193</v>
      </c>
      <c r="L41" s="16"/>
      <c r="M41" s="17"/>
      <c r="N41" s="16" t="s">
        <v>144</v>
      </c>
      <c r="O41" s="17" t="s">
        <v>240</v>
      </c>
      <c r="P41" s="16"/>
      <c r="Q41" s="17"/>
      <c r="R41" s="16" t="s">
        <v>70</v>
      </c>
      <c r="S41" s="17" t="s">
        <v>241</v>
      </c>
      <c r="T41" s="18" t="n">
        <f>35613.16</f>
        <v>35613.16</v>
      </c>
      <c r="U41" s="19" t="n">
        <f>18</f>
        <v>18.0</v>
      </c>
      <c r="V41" s="19"/>
      <c r="W41" s="23"/>
      <c r="X41" s="19" t="n">
        <f>65392500</f>
        <v>6.53925E7</v>
      </c>
      <c r="Y41" s="19"/>
      <c r="Z41" s="23"/>
      <c r="AA41" s="16"/>
      <c r="AB41" s="20" t="n">
        <f>118</f>
        <v>118.0</v>
      </c>
      <c r="AC41" s="21" t="n">
        <f>11</f>
        <v>11.0</v>
      </c>
    </row>
    <row r="42">
      <c r="A42" s="13" t="s">
        <v>46</v>
      </c>
      <c r="B42" s="14" t="s">
        <v>169</v>
      </c>
      <c r="C42" s="14" t="s">
        <v>170</v>
      </c>
      <c r="D42" s="22"/>
      <c r="E42" s="14" t="s">
        <v>141</v>
      </c>
      <c r="F42" s="15" t="s">
        <v>164</v>
      </c>
      <c r="G42" s="15" t="s">
        <v>143</v>
      </c>
      <c r="H42" s="16" t="s">
        <v>51</v>
      </c>
      <c r="I42" s="17" t="s">
        <v>242</v>
      </c>
      <c r="J42" s="16" t="s">
        <v>65</v>
      </c>
      <c r="K42" s="17" t="s">
        <v>213</v>
      </c>
      <c r="L42" s="16"/>
      <c r="M42" s="17"/>
      <c r="N42" s="16" t="s">
        <v>55</v>
      </c>
      <c r="O42" s="17" t="s">
        <v>243</v>
      </c>
      <c r="P42" s="16"/>
      <c r="Q42" s="17"/>
      <c r="R42" s="16" t="s">
        <v>70</v>
      </c>
      <c r="S42" s="17" t="s">
        <v>244</v>
      </c>
      <c r="T42" s="18" t="n">
        <f>35475.79</f>
        <v>35475.79</v>
      </c>
      <c r="U42" s="19" t="n">
        <f>138</f>
        <v>138.0</v>
      </c>
      <c r="V42" s="19"/>
      <c r="W42" s="23"/>
      <c r="X42" s="19" t="n">
        <f>491095000</f>
        <v>4.91095E8</v>
      </c>
      <c r="Y42" s="19"/>
      <c r="Z42" s="23"/>
      <c r="AA42" s="16"/>
      <c r="AB42" s="20" t="n">
        <f>323</f>
        <v>323.0</v>
      </c>
      <c r="AC42" s="21" t="n">
        <f>18</f>
        <v>18.0</v>
      </c>
    </row>
    <row r="43">
      <c r="A43" s="13" t="s">
        <v>46</v>
      </c>
      <c r="B43" s="14" t="s">
        <v>169</v>
      </c>
      <c r="C43" s="14" t="s">
        <v>170</v>
      </c>
      <c r="D43" s="22"/>
      <c r="E43" s="14" t="s">
        <v>147</v>
      </c>
      <c r="F43" s="15" t="s">
        <v>167</v>
      </c>
      <c r="G43" s="15" t="s">
        <v>149</v>
      </c>
      <c r="H43" s="16" t="s">
        <v>51</v>
      </c>
      <c r="I43" s="17" t="s">
        <v>245</v>
      </c>
      <c r="J43" s="16" t="s">
        <v>65</v>
      </c>
      <c r="K43" s="17" t="s">
        <v>246</v>
      </c>
      <c r="L43" s="16"/>
      <c r="M43" s="17"/>
      <c r="N43" s="16" t="s">
        <v>55</v>
      </c>
      <c r="O43" s="17" t="s">
        <v>247</v>
      </c>
      <c r="P43" s="16"/>
      <c r="Q43" s="17"/>
      <c r="R43" s="16" t="s">
        <v>70</v>
      </c>
      <c r="S43" s="17" t="s">
        <v>248</v>
      </c>
      <c r="T43" s="18" t="n">
        <f>35264.74</f>
        <v>35264.74</v>
      </c>
      <c r="U43" s="19" t="n">
        <f>85</f>
        <v>85.0</v>
      </c>
      <c r="V43" s="19"/>
      <c r="W43" s="23"/>
      <c r="X43" s="19" t="n">
        <f>308218000</f>
        <v>3.08218E8</v>
      </c>
      <c r="Y43" s="19"/>
      <c r="Z43" s="23"/>
      <c r="AA43" s="16"/>
      <c r="AB43" s="20" t="n">
        <f>264</f>
        <v>264.0</v>
      </c>
      <c r="AC43" s="21" t="n">
        <f>14</f>
        <v>14.0</v>
      </c>
    </row>
    <row r="44">
      <c r="A44" s="13" t="s">
        <v>46</v>
      </c>
      <c r="B44" s="14" t="s">
        <v>249</v>
      </c>
      <c r="C44" s="14" t="s">
        <v>250</v>
      </c>
      <c r="D44" s="22"/>
      <c r="E44" s="14" t="s">
        <v>46</v>
      </c>
      <c r="F44" s="15" t="s">
        <v>91</v>
      </c>
      <c r="G44" s="15" t="s">
        <v>50</v>
      </c>
      <c r="H44" s="16" t="s">
        <v>51</v>
      </c>
      <c r="I44" s="17" t="s">
        <v>251</v>
      </c>
      <c r="J44" s="16" t="s">
        <v>51</v>
      </c>
      <c r="K44" s="17" t="s">
        <v>171</v>
      </c>
      <c r="L44" s="16"/>
      <c r="M44" s="17"/>
      <c r="N44" s="16" t="s">
        <v>55</v>
      </c>
      <c r="O44" s="17" t="s">
        <v>173</v>
      </c>
      <c r="P44" s="16"/>
      <c r="Q44" s="17"/>
      <c r="R44" s="16" t="s">
        <v>58</v>
      </c>
      <c r="S44" s="17" t="s">
        <v>238</v>
      </c>
      <c r="T44" s="18" t="n">
        <f>36942.22</f>
        <v>36942.22</v>
      </c>
      <c r="U44" s="19" t="n">
        <f>5373303</f>
        <v>5373303.0</v>
      </c>
      <c r="V44" s="19"/>
      <c r="W44" s="23" t="n">
        <v>18.0</v>
      </c>
      <c r="X44" s="19" t="n">
        <f>1977944733700</f>
        <v>1.9779447337E12</v>
      </c>
      <c r="Y44" s="19"/>
      <c r="Z44" s="23" t="n">
        <v>6780000.0</v>
      </c>
      <c r="AA44" s="16" t="s">
        <v>60</v>
      </c>
      <c r="AB44" s="20" t="n">
        <f>82583</f>
        <v>82583.0</v>
      </c>
      <c r="AC44" s="21" t="n">
        <f>9</f>
        <v>9.0</v>
      </c>
    </row>
    <row r="45">
      <c r="A45" s="13" t="s">
        <v>46</v>
      </c>
      <c r="B45" s="14" t="s">
        <v>249</v>
      </c>
      <c r="C45" s="14" t="s">
        <v>250</v>
      </c>
      <c r="D45" s="22"/>
      <c r="E45" s="14" t="s">
        <v>176</v>
      </c>
      <c r="F45" s="15" t="s">
        <v>186</v>
      </c>
      <c r="G45" s="15" t="s">
        <v>178</v>
      </c>
      <c r="H45" s="16" t="s">
        <v>51</v>
      </c>
      <c r="I45" s="17" t="s">
        <v>252</v>
      </c>
      <c r="J45" s="16" t="s">
        <v>65</v>
      </c>
      <c r="K45" s="17" t="s">
        <v>253</v>
      </c>
      <c r="L45" s="16"/>
      <c r="M45" s="17"/>
      <c r="N45" s="16" t="s">
        <v>55</v>
      </c>
      <c r="O45" s="17" t="s">
        <v>254</v>
      </c>
      <c r="P45" s="16"/>
      <c r="Q45" s="17"/>
      <c r="R45" s="16" t="s">
        <v>70</v>
      </c>
      <c r="S45" s="17" t="s">
        <v>203</v>
      </c>
      <c r="T45" s="18" t="n">
        <f>37095.26</f>
        <v>37095.26</v>
      </c>
      <c r="U45" s="19" t="n">
        <f>778336</f>
        <v>778336.0</v>
      </c>
      <c r="V45" s="19"/>
      <c r="W45" s="23" t="n">
        <v>2.0</v>
      </c>
      <c r="X45" s="19" t="n">
        <f>289723608850</f>
        <v>2.8972360885E11</v>
      </c>
      <c r="Y45" s="19"/>
      <c r="Z45" s="23" t="n">
        <v>755950.0</v>
      </c>
      <c r="AA45" s="16"/>
      <c r="AB45" s="20" t="n">
        <f>7760</f>
        <v>7760.0</v>
      </c>
      <c r="AC45" s="21" t="n">
        <f>19</f>
        <v>19.0</v>
      </c>
    </row>
    <row r="46">
      <c r="A46" s="13" t="s">
        <v>46</v>
      </c>
      <c r="B46" s="14" t="s">
        <v>249</v>
      </c>
      <c r="C46" s="14" t="s">
        <v>250</v>
      </c>
      <c r="D46" s="22"/>
      <c r="E46" s="14" t="s">
        <v>185</v>
      </c>
      <c r="F46" s="15" t="s">
        <v>198</v>
      </c>
      <c r="G46" s="15" t="s">
        <v>187</v>
      </c>
      <c r="H46" s="16" t="s">
        <v>51</v>
      </c>
      <c r="I46" s="17" t="s">
        <v>255</v>
      </c>
      <c r="J46" s="16" t="s">
        <v>65</v>
      </c>
      <c r="K46" s="17" t="s">
        <v>256</v>
      </c>
      <c r="L46" s="16"/>
      <c r="M46" s="17"/>
      <c r="N46" s="16" t="s">
        <v>55</v>
      </c>
      <c r="O46" s="17" t="s">
        <v>257</v>
      </c>
      <c r="P46" s="16"/>
      <c r="Q46" s="17"/>
      <c r="R46" s="16" t="s">
        <v>70</v>
      </c>
      <c r="S46" s="17" t="s">
        <v>71</v>
      </c>
      <c r="T46" s="18" t="n">
        <f>37131.84</f>
        <v>37131.84</v>
      </c>
      <c r="U46" s="19" t="n">
        <f>7642</f>
        <v>7642.0</v>
      </c>
      <c r="V46" s="19"/>
      <c r="W46" s="23"/>
      <c r="X46" s="19" t="n">
        <f>2870494150</f>
        <v>2.87049415E9</v>
      </c>
      <c r="Y46" s="19"/>
      <c r="Z46" s="23"/>
      <c r="AA46" s="16"/>
      <c r="AB46" s="20" t="n">
        <f>668</f>
        <v>668.0</v>
      </c>
      <c r="AC46" s="21" t="n">
        <f>19</f>
        <v>19.0</v>
      </c>
    </row>
    <row r="47">
      <c r="A47" s="13" t="s">
        <v>46</v>
      </c>
      <c r="B47" s="14" t="s">
        <v>249</v>
      </c>
      <c r="C47" s="14" t="s">
        <v>250</v>
      </c>
      <c r="D47" s="22"/>
      <c r="E47" s="14" t="s">
        <v>61</v>
      </c>
      <c r="F47" s="15" t="s">
        <v>167</v>
      </c>
      <c r="G47" s="15" t="s">
        <v>63</v>
      </c>
      <c r="H47" s="16" t="s">
        <v>51</v>
      </c>
      <c r="I47" s="17" t="s">
        <v>258</v>
      </c>
      <c r="J47" s="16" t="s">
        <v>65</v>
      </c>
      <c r="K47" s="17" t="s">
        <v>66</v>
      </c>
      <c r="L47" s="16"/>
      <c r="M47" s="17"/>
      <c r="N47" s="16" t="s">
        <v>55</v>
      </c>
      <c r="O47" s="17" t="s">
        <v>259</v>
      </c>
      <c r="P47" s="16"/>
      <c r="Q47" s="17"/>
      <c r="R47" s="16" t="s">
        <v>70</v>
      </c>
      <c r="S47" s="17" t="s">
        <v>260</v>
      </c>
      <c r="T47" s="18" t="n">
        <f>37125.26</f>
        <v>37125.26</v>
      </c>
      <c r="U47" s="19" t="n">
        <f>5986959</f>
        <v>5986959.0</v>
      </c>
      <c r="V47" s="19"/>
      <c r="W47" s="23" t="n">
        <v>20.0</v>
      </c>
      <c r="X47" s="19" t="n">
        <f>2238288391750</f>
        <v>2.23828839175E12</v>
      </c>
      <c r="Y47" s="19"/>
      <c r="Z47" s="23" t="n">
        <v>7498700.0</v>
      </c>
      <c r="AA47" s="16"/>
      <c r="AB47" s="20" t="n">
        <f>43899</f>
        <v>43899.0</v>
      </c>
      <c r="AC47" s="21" t="n">
        <f>19</f>
        <v>19.0</v>
      </c>
    </row>
    <row r="48">
      <c r="A48" s="13" t="s">
        <v>46</v>
      </c>
      <c r="B48" s="14" t="s">
        <v>249</v>
      </c>
      <c r="C48" s="14" t="s">
        <v>250</v>
      </c>
      <c r="D48" s="22"/>
      <c r="E48" s="14" t="s">
        <v>72</v>
      </c>
      <c r="F48" s="15" t="s">
        <v>110</v>
      </c>
      <c r="G48" s="15" t="s">
        <v>74</v>
      </c>
      <c r="H48" s="16" t="s">
        <v>112</v>
      </c>
      <c r="I48" s="17" t="s">
        <v>261</v>
      </c>
      <c r="J48" s="16" t="s">
        <v>65</v>
      </c>
      <c r="K48" s="17" t="s">
        <v>262</v>
      </c>
      <c r="L48" s="16"/>
      <c r="M48" s="17"/>
      <c r="N48" s="16" t="s">
        <v>116</v>
      </c>
      <c r="O48" s="17" t="s">
        <v>263</v>
      </c>
      <c r="P48" s="16"/>
      <c r="Q48" s="17"/>
      <c r="R48" s="16" t="s">
        <v>70</v>
      </c>
      <c r="S48" s="17" t="s">
        <v>260</v>
      </c>
      <c r="T48" s="18" t="n">
        <f>37460</f>
        <v>37460.0</v>
      </c>
      <c r="U48" s="19" t="n">
        <f>44951</f>
        <v>44951.0</v>
      </c>
      <c r="V48" s="19"/>
      <c r="W48" s="23"/>
      <c r="X48" s="19" t="n">
        <f>17034928550</f>
        <v>1.703492855E10</v>
      </c>
      <c r="Y48" s="19"/>
      <c r="Z48" s="23"/>
      <c r="AA48" s="16"/>
      <c r="AB48" s="20" t="n">
        <f>2701</f>
        <v>2701.0</v>
      </c>
      <c r="AC48" s="21" t="n">
        <f>10</f>
        <v>10.0</v>
      </c>
    </row>
    <row r="49">
      <c r="A49" s="13" t="s">
        <v>46</v>
      </c>
      <c r="B49" s="14" t="s">
        <v>264</v>
      </c>
      <c r="C49" s="14" t="s">
        <v>265</v>
      </c>
      <c r="D49" s="22"/>
      <c r="E49" s="14" t="s">
        <v>46</v>
      </c>
      <c r="F49" s="15" t="s">
        <v>161</v>
      </c>
      <c r="G49" s="15" t="s">
        <v>50</v>
      </c>
      <c r="H49" s="16" t="s">
        <v>51</v>
      </c>
      <c r="I49" s="17" t="s">
        <v>266</v>
      </c>
      <c r="J49" s="16" t="s">
        <v>267</v>
      </c>
      <c r="K49" s="17" t="s">
        <v>268</v>
      </c>
      <c r="L49" s="16" t="s">
        <v>267</v>
      </c>
      <c r="M49" s="17" t="s">
        <v>269</v>
      </c>
      <c r="N49" s="16" t="s">
        <v>79</v>
      </c>
      <c r="O49" s="17" t="s">
        <v>270</v>
      </c>
      <c r="P49" s="16" t="s">
        <v>79</v>
      </c>
      <c r="Q49" s="17" t="s">
        <v>271</v>
      </c>
      <c r="R49" s="16" t="s">
        <v>58</v>
      </c>
      <c r="S49" s="17" t="s">
        <v>272</v>
      </c>
      <c r="T49" s="18" t="n">
        <f>2619.39</f>
        <v>2619.39</v>
      </c>
      <c r="U49" s="19" t="n">
        <f>1258979</f>
        <v>1258979.0</v>
      </c>
      <c r="V49" s="19" t="n">
        <v>395441.0</v>
      </c>
      <c r="W49" s="23" t="n">
        <v>430274.0</v>
      </c>
      <c r="X49" s="19" t="n">
        <f>32680791245462</f>
        <v>3.2680791245462E13</v>
      </c>
      <c r="Y49" s="19" t="n">
        <v>1.0214266592462E13</v>
      </c>
      <c r="Z49" s="23" t="n">
        <v>1.1089894013E13</v>
      </c>
      <c r="AA49" s="16" t="s">
        <v>60</v>
      </c>
      <c r="AB49" s="20" t="n">
        <f>121872</f>
        <v>121872.0</v>
      </c>
      <c r="AC49" s="21" t="n">
        <f>9</f>
        <v>9.0</v>
      </c>
    </row>
    <row r="50">
      <c r="A50" s="13" t="s">
        <v>46</v>
      </c>
      <c r="B50" s="14" t="s">
        <v>264</v>
      </c>
      <c r="C50" s="14" t="s">
        <v>265</v>
      </c>
      <c r="D50" s="22"/>
      <c r="E50" s="14" t="s">
        <v>61</v>
      </c>
      <c r="F50" s="15" t="s">
        <v>73</v>
      </c>
      <c r="G50" s="15" t="s">
        <v>63</v>
      </c>
      <c r="H50" s="16" t="s">
        <v>51</v>
      </c>
      <c r="I50" s="17" t="s">
        <v>273</v>
      </c>
      <c r="J50" s="16" t="s">
        <v>65</v>
      </c>
      <c r="K50" s="17" t="s">
        <v>274</v>
      </c>
      <c r="L50" s="16" t="s">
        <v>65</v>
      </c>
      <c r="M50" s="17" t="s">
        <v>275</v>
      </c>
      <c r="N50" s="16" t="s">
        <v>79</v>
      </c>
      <c r="O50" s="17" t="s">
        <v>276</v>
      </c>
      <c r="P50" s="16" t="s">
        <v>79</v>
      </c>
      <c r="Q50" s="17" t="s">
        <v>277</v>
      </c>
      <c r="R50" s="16" t="s">
        <v>70</v>
      </c>
      <c r="S50" s="17" t="s">
        <v>278</v>
      </c>
      <c r="T50" s="18" t="n">
        <f>2608.55</f>
        <v>2608.55</v>
      </c>
      <c r="U50" s="19" t="n">
        <f>1692228</f>
        <v>1692228.0</v>
      </c>
      <c r="V50" s="19" t="n">
        <v>514185.0</v>
      </c>
      <c r="W50" s="23" t="n">
        <v>430276.0</v>
      </c>
      <c r="X50" s="19" t="n">
        <f>43860401340724</f>
        <v>4.3860401340724E13</v>
      </c>
      <c r="Y50" s="19" t="n">
        <v>1.3295158472724E13</v>
      </c>
      <c r="Z50" s="23" t="n">
        <v>1.0994137248E13</v>
      </c>
      <c r="AA50" s="16"/>
      <c r="AB50" s="20" t="n">
        <f>474240</f>
        <v>474240.0</v>
      </c>
      <c r="AC50" s="21" t="n">
        <f>19</f>
        <v>19.0</v>
      </c>
    </row>
    <row r="51">
      <c r="A51" s="13" t="s">
        <v>46</v>
      </c>
      <c r="B51" s="14" t="s">
        <v>264</v>
      </c>
      <c r="C51" s="14" t="s">
        <v>265</v>
      </c>
      <c r="D51" s="22"/>
      <c r="E51" s="14" t="s">
        <v>72</v>
      </c>
      <c r="F51" s="15" t="s">
        <v>164</v>
      </c>
      <c r="G51" s="15" t="s">
        <v>74</v>
      </c>
      <c r="H51" s="16"/>
      <c r="I51" s="17" t="s">
        <v>121</v>
      </c>
      <c r="J51" s="16"/>
      <c r="K51" s="17" t="s">
        <v>121</v>
      </c>
      <c r="L51" s="16" t="s">
        <v>65</v>
      </c>
      <c r="M51" s="17" t="s">
        <v>279</v>
      </c>
      <c r="N51" s="16"/>
      <c r="O51" s="17" t="s">
        <v>121</v>
      </c>
      <c r="P51" s="16" t="s">
        <v>280</v>
      </c>
      <c r="Q51" s="17" t="s">
        <v>281</v>
      </c>
      <c r="R51" s="16"/>
      <c r="S51" s="17" t="s">
        <v>121</v>
      </c>
      <c r="T51" s="18" t="n">
        <f>2606.68</f>
        <v>2606.68</v>
      </c>
      <c r="U51" s="19" t="n">
        <f>202</f>
        <v>202.0</v>
      </c>
      <c r="V51" s="19" t="n">
        <v>200.0</v>
      </c>
      <c r="W51" s="23" t="n">
        <v>2.0</v>
      </c>
      <c r="X51" s="19" t="n">
        <f>5376630000</f>
        <v>5.37663E9</v>
      </c>
      <c r="Y51" s="19" t="n">
        <v>5.324E9</v>
      </c>
      <c r="Z51" s="23" t="n">
        <v>5.263E7</v>
      </c>
      <c r="AA51" s="16"/>
      <c r="AB51" s="20" t="n">
        <f>502</f>
        <v>502.0</v>
      </c>
      <c r="AC51" s="21" t="n">
        <f>2</f>
        <v>2.0</v>
      </c>
    </row>
    <row r="52">
      <c r="A52" s="13" t="s">
        <v>46</v>
      </c>
      <c r="B52" s="14" t="s">
        <v>264</v>
      </c>
      <c r="C52" s="14" t="s">
        <v>265</v>
      </c>
      <c r="D52" s="22"/>
      <c r="E52" s="14" t="s">
        <v>82</v>
      </c>
      <c r="F52" s="15" t="s">
        <v>91</v>
      </c>
      <c r="G52" s="15" t="s">
        <v>83</v>
      </c>
      <c r="H52" s="16"/>
      <c r="I52" s="17" t="s">
        <v>121</v>
      </c>
      <c r="J52" s="16"/>
      <c r="K52" s="17" t="s">
        <v>121</v>
      </c>
      <c r="L52" s="16"/>
      <c r="M52" s="17"/>
      <c r="N52" s="16"/>
      <c r="O52" s="17" t="s">
        <v>121</v>
      </c>
      <c r="P52" s="16"/>
      <c r="Q52" s="17"/>
      <c r="R52" s="16"/>
      <c r="S52" s="17" t="s">
        <v>121</v>
      </c>
      <c r="T52" s="18" t="n">
        <f>2583.21</f>
        <v>2583.21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n">
        <f>1490</f>
        <v>1490.0</v>
      </c>
      <c r="AC52" s="21" t="str">
        <f>"－"</f>
        <v>－</v>
      </c>
    </row>
    <row r="53">
      <c r="A53" s="13" t="s">
        <v>46</v>
      </c>
      <c r="B53" s="14" t="s">
        <v>264</v>
      </c>
      <c r="C53" s="14" t="s">
        <v>265</v>
      </c>
      <c r="D53" s="22"/>
      <c r="E53" s="14" t="s">
        <v>90</v>
      </c>
      <c r="F53" s="15" t="s">
        <v>167</v>
      </c>
      <c r="G53" s="15" t="s">
        <v>92</v>
      </c>
      <c r="H53" s="16"/>
      <c r="I53" s="17" t="s">
        <v>121</v>
      </c>
      <c r="J53" s="16"/>
      <c r="K53" s="17" t="s">
        <v>121</v>
      </c>
      <c r="L53" s="16"/>
      <c r="M53" s="17"/>
      <c r="N53" s="16"/>
      <c r="O53" s="17" t="s">
        <v>121</v>
      </c>
      <c r="P53" s="16"/>
      <c r="Q53" s="17"/>
      <c r="R53" s="16"/>
      <c r="S53" s="17" t="s">
        <v>121</v>
      </c>
      <c r="T53" s="18" t="n">
        <f>2582.82</f>
        <v>2582.82</v>
      </c>
      <c r="U53" s="19" t="str">
        <f>"－"</f>
        <v>－</v>
      </c>
      <c r="V53" s="19"/>
      <c r="W53" s="23"/>
      <c r="X53" s="19" t="str">
        <f>"－"</f>
        <v>－</v>
      </c>
      <c r="Y53" s="19"/>
      <c r="Z53" s="23"/>
      <c r="AA53" s="16"/>
      <c r="AB53" s="20" t="str">
        <f>"－"</f>
        <v>－</v>
      </c>
      <c r="AC53" s="21" t="str">
        <f>"－"</f>
        <v>－</v>
      </c>
    </row>
    <row r="54">
      <c r="A54" s="13" t="s">
        <v>46</v>
      </c>
      <c r="B54" s="14" t="s">
        <v>264</v>
      </c>
      <c r="C54" s="14" t="s">
        <v>265</v>
      </c>
      <c r="D54" s="22"/>
      <c r="E54" s="14" t="s">
        <v>99</v>
      </c>
      <c r="F54" s="15" t="s">
        <v>110</v>
      </c>
      <c r="G54" s="15" t="s">
        <v>100</v>
      </c>
      <c r="H54" s="16"/>
      <c r="I54" s="17" t="s">
        <v>121</v>
      </c>
      <c r="J54" s="16"/>
      <c r="K54" s="17" t="s">
        <v>121</v>
      </c>
      <c r="L54" s="16" t="s">
        <v>280</v>
      </c>
      <c r="M54" s="17" t="s">
        <v>282</v>
      </c>
      <c r="N54" s="16"/>
      <c r="O54" s="17" t="s">
        <v>121</v>
      </c>
      <c r="P54" s="16" t="s">
        <v>116</v>
      </c>
      <c r="Q54" s="17" t="s">
        <v>283</v>
      </c>
      <c r="R54" s="16"/>
      <c r="S54" s="17" t="s">
        <v>121</v>
      </c>
      <c r="T54" s="18" t="n">
        <f>2571.25</f>
        <v>2571.25</v>
      </c>
      <c r="U54" s="19" t="n">
        <f>400</f>
        <v>400.0</v>
      </c>
      <c r="V54" s="19" t="n">
        <v>400.0</v>
      </c>
      <c r="W54" s="23"/>
      <c r="X54" s="19" t="n">
        <f>10027450000</f>
        <v>1.002745E10</v>
      </c>
      <c r="Y54" s="19" t="n">
        <v>1.002745E10</v>
      </c>
      <c r="Z54" s="23"/>
      <c r="AA54" s="16"/>
      <c r="AB54" s="20" t="n">
        <f>400</f>
        <v>400.0</v>
      </c>
      <c r="AC54" s="21" t="str">
        <f>"－"</f>
        <v>－</v>
      </c>
    </row>
    <row r="55">
      <c r="A55" s="13" t="s">
        <v>46</v>
      </c>
      <c r="B55" s="14" t="s">
        <v>284</v>
      </c>
      <c r="C55" s="14" t="s">
        <v>285</v>
      </c>
      <c r="D55" s="22"/>
      <c r="E55" s="14" t="s">
        <v>46</v>
      </c>
      <c r="F55" s="15" t="s">
        <v>164</v>
      </c>
      <c r="G55" s="15" t="s">
        <v>50</v>
      </c>
      <c r="H55" s="16" t="s">
        <v>51</v>
      </c>
      <c r="I55" s="17" t="s">
        <v>286</v>
      </c>
      <c r="J55" s="16" t="s">
        <v>267</v>
      </c>
      <c r="K55" s="17" t="s">
        <v>287</v>
      </c>
      <c r="L55" s="16" t="s">
        <v>267</v>
      </c>
      <c r="M55" s="17" t="s">
        <v>288</v>
      </c>
      <c r="N55" s="16" t="s">
        <v>79</v>
      </c>
      <c r="O55" s="17" t="s">
        <v>289</v>
      </c>
      <c r="P55" s="16" t="s">
        <v>79</v>
      </c>
      <c r="Q55" s="17" t="s">
        <v>290</v>
      </c>
      <c r="R55" s="16" t="s">
        <v>58</v>
      </c>
      <c r="S55" s="17" t="s">
        <v>291</v>
      </c>
      <c r="T55" s="18" t="n">
        <f>2619.39</f>
        <v>2619.39</v>
      </c>
      <c r="U55" s="19" t="n">
        <f>280167</f>
        <v>280167.0</v>
      </c>
      <c r="V55" s="19" t="n">
        <v>24192.0</v>
      </c>
      <c r="W55" s="23" t="n">
        <v>15561.0</v>
      </c>
      <c r="X55" s="19" t="n">
        <f>733530924919</f>
        <v>7.33530924919E11</v>
      </c>
      <c r="Y55" s="19" t="n">
        <v>6.2729539019E10</v>
      </c>
      <c r="Z55" s="23" t="n">
        <v>3.99829369E10</v>
      </c>
      <c r="AA55" s="16" t="s">
        <v>60</v>
      </c>
      <c r="AB55" s="20" t="n">
        <f>41857</f>
        <v>41857.0</v>
      </c>
      <c r="AC55" s="21" t="n">
        <f>9</f>
        <v>9.0</v>
      </c>
    </row>
    <row r="56">
      <c r="A56" s="13" t="s">
        <v>46</v>
      </c>
      <c r="B56" s="14" t="s">
        <v>284</v>
      </c>
      <c r="C56" s="14" t="s">
        <v>285</v>
      </c>
      <c r="D56" s="22"/>
      <c r="E56" s="14" t="s">
        <v>61</v>
      </c>
      <c r="F56" s="15" t="s">
        <v>91</v>
      </c>
      <c r="G56" s="15" t="s">
        <v>63</v>
      </c>
      <c r="H56" s="16" t="s">
        <v>51</v>
      </c>
      <c r="I56" s="17" t="s">
        <v>292</v>
      </c>
      <c r="J56" s="16" t="s">
        <v>65</v>
      </c>
      <c r="K56" s="17" t="s">
        <v>293</v>
      </c>
      <c r="L56" s="16" t="s">
        <v>65</v>
      </c>
      <c r="M56" s="17" t="s">
        <v>294</v>
      </c>
      <c r="N56" s="16" t="s">
        <v>79</v>
      </c>
      <c r="O56" s="17" t="s">
        <v>295</v>
      </c>
      <c r="P56" s="16" t="s">
        <v>58</v>
      </c>
      <c r="Q56" s="17" t="s">
        <v>296</v>
      </c>
      <c r="R56" s="16" t="s">
        <v>70</v>
      </c>
      <c r="S56" s="17" t="s">
        <v>297</v>
      </c>
      <c r="T56" s="18" t="n">
        <f>2608.55</f>
        <v>2608.55</v>
      </c>
      <c r="U56" s="19" t="n">
        <f>378779</f>
        <v>378779.0</v>
      </c>
      <c r="V56" s="19" t="n">
        <v>32371.0</v>
      </c>
      <c r="W56" s="23" t="n">
        <v>15562.0</v>
      </c>
      <c r="X56" s="19" t="n">
        <f>989161072944</f>
        <v>9.89161072944E11</v>
      </c>
      <c r="Y56" s="19" t="n">
        <v>8.4356226994E10</v>
      </c>
      <c r="Z56" s="23" t="n">
        <v>3.96380897E10</v>
      </c>
      <c r="AA56" s="16"/>
      <c r="AB56" s="20" t="n">
        <f>39337</f>
        <v>39337.0</v>
      </c>
      <c r="AC56" s="21" t="n">
        <f>19</f>
        <v>19.0</v>
      </c>
    </row>
    <row r="57">
      <c r="A57" s="13" t="s">
        <v>46</v>
      </c>
      <c r="B57" s="14" t="s">
        <v>284</v>
      </c>
      <c r="C57" s="14" t="s">
        <v>285</v>
      </c>
      <c r="D57" s="22"/>
      <c r="E57" s="14" t="s">
        <v>72</v>
      </c>
      <c r="F57" s="15" t="s">
        <v>167</v>
      </c>
      <c r="G57" s="15" t="s">
        <v>74</v>
      </c>
      <c r="H57" s="16" t="s">
        <v>51</v>
      </c>
      <c r="I57" s="17" t="s">
        <v>298</v>
      </c>
      <c r="J57" s="16" t="s">
        <v>65</v>
      </c>
      <c r="K57" s="17" t="s">
        <v>299</v>
      </c>
      <c r="L57" s="16"/>
      <c r="M57" s="17"/>
      <c r="N57" s="16" t="s">
        <v>94</v>
      </c>
      <c r="O57" s="17" t="s">
        <v>300</v>
      </c>
      <c r="P57" s="16"/>
      <c r="Q57" s="17"/>
      <c r="R57" s="16" t="s">
        <v>70</v>
      </c>
      <c r="S57" s="17" t="s">
        <v>301</v>
      </c>
      <c r="T57" s="18" t="n">
        <f>2606.68</f>
        <v>2606.68</v>
      </c>
      <c r="U57" s="19" t="n">
        <f>14</f>
        <v>14.0</v>
      </c>
      <c r="V57" s="19"/>
      <c r="W57" s="23" t="n">
        <v>1.0</v>
      </c>
      <c r="X57" s="19" t="n">
        <f>37311550</f>
        <v>3.731155E7</v>
      </c>
      <c r="Y57" s="19"/>
      <c r="Z57" s="23" t="n">
        <v>2707300.0</v>
      </c>
      <c r="AA57" s="16"/>
      <c r="AB57" s="20" t="n">
        <f>22</f>
        <v>22.0</v>
      </c>
      <c r="AC57" s="21" t="n">
        <f>8</f>
        <v>8.0</v>
      </c>
    </row>
    <row r="58">
      <c r="A58" s="13" t="s">
        <v>46</v>
      </c>
      <c r="B58" s="14" t="s">
        <v>284</v>
      </c>
      <c r="C58" s="14" t="s">
        <v>285</v>
      </c>
      <c r="D58" s="22"/>
      <c r="E58" s="14" t="s">
        <v>82</v>
      </c>
      <c r="F58" s="15" t="s">
        <v>110</v>
      </c>
      <c r="G58" s="15" t="s">
        <v>83</v>
      </c>
      <c r="H58" s="16"/>
      <c r="I58" s="17" t="s">
        <v>121</v>
      </c>
      <c r="J58" s="16"/>
      <c r="K58" s="17" t="s">
        <v>121</v>
      </c>
      <c r="L58" s="16"/>
      <c r="M58" s="17"/>
      <c r="N58" s="16"/>
      <c r="O58" s="17" t="s">
        <v>121</v>
      </c>
      <c r="P58" s="16"/>
      <c r="Q58" s="17"/>
      <c r="R58" s="16"/>
      <c r="S58" s="17" t="s">
        <v>121</v>
      </c>
      <c r="T58" s="18" t="n">
        <f>2593.4</f>
        <v>2593.4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302</v>
      </c>
      <c r="C59" s="14" t="s">
        <v>303</v>
      </c>
      <c r="D59" s="22"/>
      <c r="E59" s="14" t="s">
        <v>46</v>
      </c>
      <c r="F59" s="15" t="s">
        <v>304</v>
      </c>
      <c r="G59" s="15" t="s">
        <v>50</v>
      </c>
      <c r="H59" s="16" t="s">
        <v>225</v>
      </c>
      <c r="I59" s="17" t="s">
        <v>305</v>
      </c>
      <c r="J59" s="16" t="s">
        <v>225</v>
      </c>
      <c r="K59" s="17" t="s">
        <v>305</v>
      </c>
      <c r="L59" s="16" t="s">
        <v>79</v>
      </c>
      <c r="M59" s="17" t="s">
        <v>306</v>
      </c>
      <c r="N59" s="16" t="s">
        <v>225</v>
      </c>
      <c r="O59" s="17" t="s">
        <v>307</v>
      </c>
      <c r="P59" s="16" t="s">
        <v>79</v>
      </c>
      <c r="Q59" s="17" t="s">
        <v>306</v>
      </c>
      <c r="R59" s="16" t="s">
        <v>225</v>
      </c>
      <c r="S59" s="17" t="s">
        <v>307</v>
      </c>
      <c r="T59" s="18" t="n">
        <f>1171.56</f>
        <v>1171.56</v>
      </c>
      <c r="U59" s="19" t="n">
        <f>57</f>
        <v>57.0</v>
      </c>
      <c r="V59" s="19" t="n">
        <v>55.0</v>
      </c>
      <c r="W59" s="23"/>
      <c r="X59" s="19" t="n">
        <f>65526500</f>
        <v>6.55265E7</v>
      </c>
      <c r="Y59" s="19" t="n">
        <v>6.31675E7</v>
      </c>
      <c r="Z59" s="23"/>
      <c r="AA59" s="16" t="s">
        <v>60</v>
      </c>
      <c r="AB59" s="20" t="n">
        <f>10</f>
        <v>10.0</v>
      </c>
      <c r="AC59" s="21" t="n">
        <f>1</f>
        <v>1.0</v>
      </c>
    </row>
    <row r="60">
      <c r="A60" s="13" t="s">
        <v>46</v>
      </c>
      <c r="B60" s="14" t="s">
        <v>302</v>
      </c>
      <c r="C60" s="14" t="s">
        <v>303</v>
      </c>
      <c r="D60" s="22"/>
      <c r="E60" s="14" t="s">
        <v>61</v>
      </c>
      <c r="F60" s="15" t="s">
        <v>304</v>
      </c>
      <c r="G60" s="15" t="s">
        <v>63</v>
      </c>
      <c r="H60" s="16" t="s">
        <v>65</v>
      </c>
      <c r="I60" s="17" t="s">
        <v>308</v>
      </c>
      <c r="J60" s="16" t="s">
        <v>65</v>
      </c>
      <c r="K60" s="17" t="s">
        <v>308</v>
      </c>
      <c r="L60" s="16" t="s">
        <v>79</v>
      </c>
      <c r="M60" s="17" t="s">
        <v>309</v>
      </c>
      <c r="N60" s="16" t="s">
        <v>65</v>
      </c>
      <c r="O60" s="17" t="s">
        <v>308</v>
      </c>
      <c r="P60" s="16" t="s">
        <v>79</v>
      </c>
      <c r="Q60" s="17" t="s">
        <v>309</v>
      </c>
      <c r="R60" s="16" t="s">
        <v>65</v>
      </c>
      <c r="S60" s="17" t="s">
        <v>308</v>
      </c>
      <c r="T60" s="18" t="n">
        <f>1169.45</f>
        <v>1169.45</v>
      </c>
      <c r="U60" s="19" t="n">
        <f>56</f>
        <v>56.0</v>
      </c>
      <c r="V60" s="19" t="n">
        <v>55.0</v>
      </c>
      <c r="W60" s="23"/>
      <c r="X60" s="19" t="n">
        <f>63990000</f>
        <v>6.399E7</v>
      </c>
      <c r="Y60" s="19" t="n">
        <v>6.2755E7</v>
      </c>
      <c r="Z60" s="23"/>
      <c r="AA60" s="16"/>
      <c r="AB60" s="20" t="n">
        <f>56</f>
        <v>56.0</v>
      </c>
      <c r="AC60" s="21" t="n">
        <f>1</f>
        <v>1.0</v>
      </c>
    </row>
    <row r="61">
      <c r="A61" s="13" t="s">
        <v>46</v>
      </c>
      <c r="B61" s="14" t="s">
        <v>302</v>
      </c>
      <c r="C61" s="14" t="s">
        <v>303</v>
      </c>
      <c r="D61" s="22"/>
      <c r="E61" s="14" t="s">
        <v>72</v>
      </c>
      <c r="F61" s="15" t="s">
        <v>304</v>
      </c>
      <c r="G61" s="15" t="s">
        <v>74</v>
      </c>
      <c r="H61" s="16"/>
      <c r="I61" s="17" t="s">
        <v>121</v>
      </c>
      <c r="J61" s="16"/>
      <c r="K61" s="17" t="s">
        <v>121</v>
      </c>
      <c r="L61" s="16"/>
      <c r="M61" s="17"/>
      <c r="N61" s="16"/>
      <c r="O61" s="17" t="s">
        <v>121</v>
      </c>
      <c r="P61" s="16"/>
      <c r="Q61" s="17"/>
      <c r="R61" s="16"/>
      <c r="S61" s="17" t="s">
        <v>121</v>
      </c>
      <c r="T61" s="18" t="n">
        <f>1168.71</f>
        <v>1168.71</v>
      </c>
      <c r="U61" s="19" t="str">
        <f>"－"</f>
        <v>－</v>
      </c>
      <c r="V61" s="19"/>
      <c r="W61" s="23"/>
      <c r="X61" s="19" t="str">
        <f>"－"</f>
        <v>－</v>
      </c>
      <c r="Y61" s="19"/>
      <c r="Z61" s="23"/>
      <c r="AA61" s="16"/>
      <c r="AB61" s="20" t="str">
        <f>"－"</f>
        <v>－</v>
      </c>
      <c r="AC61" s="21" t="str">
        <f>"－"</f>
        <v>－</v>
      </c>
    </row>
    <row r="62">
      <c r="A62" s="13" t="s">
        <v>46</v>
      </c>
      <c r="B62" s="14" t="s">
        <v>302</v>
      </c>
      <c r="C62" s="14" t="s">
        <v>303</v>
      </c>
      <c r="D62" s="22"/>
      <c r="E62" s="14" t="s">
        <v>82</v>
      </c>
      <c r="F62" s="15" t="s">
        <v>304</v>
      </c>
      <c r="G62" s="15" t="s">
        <v>83</v>
      </c>
      <c r="H62" s="16"/>
      <c r="I62" s="17" t="s">
        <v>121</v>
      </c>
      <c r="J62" s="16"/>
      <c r="K62" s="17" t="s">
        <v>121</v>
      </c>
      <c r="L62" s="16"/>
      <c r="M62" s="17"/>
      <c r="N62" s="16"/>
      <c r="O62" s="17" t="s">
        <v>121</v>
      </c>
      <c r="P62" s="16"/>
      <c r="Q62" s="17"/>
      <c r="R62" s="16"/>
      <c r="S62" s="17" t="s">
        <v>121</v>
      </c>
      <c r="T62" s="18" t="n">
        <f>1158.21</f>
        <v>1158.21</v>
      </c>
      <c r="U62" s="19" t="str">
        <f>"－"</f>
        <v>－</v>
      </c>
      <c r="V62" s="19"/>
      <c r="W62" s="23"/>
      <c r="X62" s="19" t="str">
        <f>"－"</f>
        <v>－</v>
      </c>
      <c r="Y62" s="19"/>
      <c r="Z62" s="23"/>
      <c r="AA62" s="16"/>
      <c r="AB62" s="20" t="str">
        <f>"－"</f>
        <v>－</v>
      </c>
      <c r="AC62" s="21" t="str">
        <f>"－"</f>
        <v>－</v>
      </c>
    </row>
    <row r="63">
      <c r="A63" s="13" t="s">
        <v>46</v>
      </c>
      <c r="B63" s="14" t="s">
        <v>302</v>
      </c>
      <c r="C63" s="14" t="s">
        <v>303</v>
      </c>
      <c r="D63" s="22"/>
      <c r="E63" s="14" t="s">
        <v>90</v>
      </c>
      <c r="F63" s="15" t="s">
        <v>167</v>
      </c>
      <c r="G63" s="15" t="s">
        <v>92</v>
      </c>
      <c r="H63" s="16"/>
      <c r="I63" s="17" t="s">
        <v>121</v>
      </c>
      <c r="J63" s="16"/>
      <c r="K63" s="17" t="s">
        <v>121</v>
      </c>
      <c r="L63" s="16"/>
      <c r="M63" s="17"/>
      <c r="N63" s="16"/>
      <c r="O63" s="17" t="s">
        <v>121</v>
      </c>
      <c r="P63" s="16"/>
      <c r="Q63" s="17"/>
      <c r="R63" s="16"/>
      <c r="S63" s="17" t="s">
        <v>121</v>
      </c>
      <c r="T63" s="18" t="n">
        <f>1158.03</f>
        <v>1158.03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302</v>
      </c>
      <c r="C64" s="14" t="s">
        <v>303</v>
      </c>
      <c r="D64" s="22"/>
      <c r="E64" s="14" t="s">
        <v>99</v>
      </c>
      <c r="F64" s="15" t="s">
        <v>110</v>
      </c>
      <c r="G64" s="15" t="s">
        <v>100</v>
      </c>
      <c r="H64" s="16"/>
      <c r="I64" s="17" t="s">
        <v>121</v>
      </c>
      <c r="J64" s="16"/>
      <c r="K64" s="17" t="s">
        <v>121</v>
      </c>
      <c r="L64" s="16"/>
      <c r="M64" s="17"/>
      <c r="N64" s="16"/>
      <c r="O64" s="17" t="s">
        <v>121</v>
      </c>
      <c r="P64" s="16"/>
      <c r="Q64" s="17"/>
      <c r="R64" s="16"/>
      <c r="S64" s="17" t="s">
        <v>121</v>
      </c>
      <c r="T64" s="18" t="n">
        <f>1155.35</f>
        <v>1155.35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str">
        <f>"－"</f>
        <v>－</v>
      </c>
      <c r="AC64" s="21" t="str">
        <f>"－"</f>
        <v>－</v>
      </c>
    </row>
    <row r="65">
      <c r="A65" s="13" t="s">
        <v>46</v>
      </c>
      <c r="B65" s="14" t="s">
        <v>310</v>
      </c>
      <c r="C65" s="14" t="s">
        <v>311</v>
      </c>
      <c r="D65" s="22"/>
      <c r="E65" s="14" t="s">
        <v>46</v>
      </c>
      <c r="F65" s="15" t="s">
        <v>161</v>
      </c>
      <c r="G65" s="15" t="s">
        <v>50</v>
      </c>
      <c r="H65" s="16" t="s">
        <v>51</v>
      </c>
      <c r="I65" s="17" t="s">
        <v>312</v>
      </c>
      <c r="J65" s="16" t="s">
        <v>267</v>
      </c>
      <c r="K65" s="17" t="s">
        <v>313</v>
      </c>
      <c r="L65" s="16" t="s">
        <v>267</v>
      </c>
      <c r="M65" s="17" t="s">
        <v>314</v>
      </c>
      <c r="N65" s="16" t="s">
        <v>79</v>
      </c>
      <c r="O65" s="17" t="s">
        <v>315</v>
      </c>
      <c r="P65" s="16" t="s">
        <v>55</v>
      </c>
      <c r="Q65" s="17" t="s">
        <v>316</v>
      </c>
      <c r="R65" s="16" t="s">
        <v>58</v>
      </c>
      <c r="S65" s="17" t="s">
        <v>317</v>
      </c>
      <c r="T65" s="18" t="n">
        <f>23998.89</f>
        <v>23998.89</v>
      </c>
      <c r="U65" s="19" t="n">
        <f>134583</f>
        <v>134583.0</v>
      </c>
      <c r="V65" s="19" t="n">
        <v>50163.0</v>
      </c>
      <c r="W65" s="23" t="n">
        <v>21774.0</v>
      </c>
      <c r="X65" s="19" t="n">
        <f>319998433508</f>
        <v>3.19998433508E11</v>
      </c>
      <c r="Y65" s="19" t="n">
        <v>1.18676916508E11</v>
      </c>
      <c r="Z65" s="23" t="n">
        <v>5.14686855E10</v>
      </c>
      <c r="AA65" s="16" t="s">
        <v>60</v>
      </c>
      <c r="AB65" s="20" t="n">
        <f>12189</f>
        <v>12189.0</v>
      </c>
      <c r="AC65" s="21" t="n">
        <f>9</f>
        <v>9.0</v>
      </c>
    </row>
    <row r="66">
      <c r="A66" s="13" t="s">
        <v>46</v>
      </c>
      <c r="B66" s="14" t="s">
        <v>310</v>
      </c>
      <c r="C66" s="14" t="s">
        <v>311</v>
      </c>
      <c r="D66" s="22"/>
      <c r="E66" s="14" t="s">
        <v>61</v>
      </c>
      <c r="F66" s="15" t="s">
        <v>73</v>
      </c>
      <c r="G66" s="15" t="s">
        <v>63</v>
      </c>
      <c r="H66" s="16" t="s">
        <v>51</v>
      </c>
      <c r="I66" s="17" t="s">
        <v>318</v>
      </c>
      <c r="J66" s="16" t="s">
        <v>65</v>
      </c>
      <c r="K66" s="17" t="s">
        <v>319</v>
      </c>
      <c r="L66" s="16" t="s">
        <v>65</v>
      </c>
      <c r="M66" s="17" t="s">
        <v>320</v>
      </c>
      <c r="N66" s="16" t="s">
        <v>79</v>
      </c>
      <c r="O66" s="17" t="s">
        <v>321</v>
      </c>
      <c r="P66" s="16" t="s">
        <v>144</v>
      </c>
      <c r="Q66" s="17" t="s">
        <v>322</v>
      </c>
      <c r="R66" s="16" t="s">
        <v>70</v>
      </c>
      <c r="S66" s="17" t="s">
        <v>323</v>
      </c>
      <c r="T66" s="18" t="n">
        <f>23888.95</f>
        <v>23888.95</v>
      </c>
      <c r="U66" s="19" t="n">
        <f>165135</f>
        <v>165135.0</v>
      </c>
      <c r="V66" s="19" t="n">
        <v>63443.0</v>
      </c>
      <c r="W66" s="23" t="n">
        <v>21774.0</v>
      </c>
      <c r="X66" s="19" t="n">
        <f>393463323928</f>
        <v>3.93463323928E11</v>
      </c>
      <c r="Y66" s="19" t="n">
        <v>1.51151069928E11</v>
      </c>
      <c r="Z66" s="23" t="n">
        <v>5.1019704E10</v>
      </c>
      <c r="AA66" s="16"/>
      <c r="AB66" s="20" t="n">
        <f>55557</f>
        <v>55557.0</v>
      </c>
      <c r="AC66" s="21" t="n">
        <f>18</f>
        <v>18.0</v>
      </c>
    </row>
    <row r="67">
      <c r="A67" s="13" t="s">
        <v>46</v>
      </c>
      <c r="B67" s="14" t="s">
        <v>310</v>
      </c>
      <c r="C67" s="14" t="s">
        <v>311</v>
      </c>
      <c r="D67" s="22"/>
      <c r="E67" s="14" t="s">
        <v>72</v>
      </c>
      <c r="F67" s="15" t="s">
        <v>164</v>
      </c>
      <c r="G67" s="15" t="s">
        <v>74</v>
      </c>
      <c r="H67" s="16"/>
      <c r="I67" s="17" t="s">
        <v>121</v>
      </c>
      <c r="J67" s="16"/>
      <c r="K67" s="17" t="s">
        <v>121</v>
      </c>
      <c r="L67" s="16"/>
      <c r="M67" s="17"/>
      <c r="N67" s="16"/>
      <c r="O67" s="17" t="s">
        <v>121</v>
      </c>
      <c r="P67" s="16"/>
      <c r="Q67" s="17"/>
      <c r="R67" s="16"/>
      <c r="S67" s="17" t="s">
        <v>121</v>
      </c>
      <c r="T67" s="18" t="n">
        <f>23847.37</f>
        <v>23847.37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310</v>
      </c>
      <c r="C68" s="14" t="s">
        <v>311</v>
      </c>
      <c r="D68" s="22"/>
      <c r="E68" s="14" t="s">
        <v>82</v>
      </c>
      <c r="F68" s="15" t="s">
        <v>91</v>
      </c>
      <c r="G68" s="15" t="s">
        <v>83</v>
      </c>
      <c r="H68" s="16"/>
      <c r="I68" s="17" t="s">
        <v>121</v>
      </c>
      <c r="J68" s="16"/>
      <c r="K68" s="17" t="s">
        <v>121</v>
      </c>
      <c r="L68" s="16"/>
      <c r="M68" s="17"/>
      <c r="N68" s="16"/>
      <c r="O68" s="17" t="s">
        <v>121</v>
      </c>
      <c r="P68" s="16"/>
      <c r="Q68" s="17"/>
      <c r="R68" s="16"/>
      <c r="S68" s="17" t="s">
        <v>121</v>
      </c>
      <c r="T68" s="18" t="n">
        <f>23640.79</f>
        <v>23640.79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310</v>
      </c>
      <c r="C69" s="14" t="s">
        <v>311</v>
      </c>
      <c r="D69" s="22"/>
      <c r="E69" s="14" t="s">
        <v>90</v>
      </c>
      <c r="F69" s="15" t="s">
        <v>167</v>
      </c>
      <c r="G69" s="15" t="s">
        <v>92</v>
      </c>
      <c r="H69" s="16"/>
      <c r="I69" s="17" t="s">
        <v>121</v>
      </c>
      <c r="J69" s="16"/>
      <c r="K69" s="17" t="s">
        <v>121</v>
      </c>
      <c r="L69" s="16"/>
      <c r="M69" s="17"/>
      <c r="N69" s="16"/>
      <c r="O69" s="17" t="s">
        <v>121</v>
      </c>
      <c r="P69" s="16"/>
      <c r="Q69" s="17"/>
      <c r="R69" s="16"/>
      <c r="S69" s="17" t="s">
        <v>121</v>
      </c>
      <c r="T69" s="18" t="n">
        <f>23630.53</f>
        <v>23630.53</v>
      </c>
      <c r="U69" s="19" t="str">
        <f>"－"</f>
        <v>－</v>
      </c>
      <c r="V69" s="19"/>
      <c r="W69" s="23"/>
      <c r="X69" s="19" t="str">
        <f>"－"</f>
        <v>－</v>
      </c>
      <c r="Y69" s="19"/>
      <c r="Z69" s="23"/>
      <c r="AA69" s="16"/>
      <c r="AB69" s="20" t="str">
        <f>"－"</f>
        <v>－</v>
      </c>
      <c r="AC69" s="21" t="str">
        <f>"－"</f>
        <v>－</v>
      </c>
    </row>
    <row r="70">
      <c r="A70" s="13" t="s">
        <v>46</v>
      </c>
      <c r="B70" s="14" t="s">
        <v>310</v>
      </c>
      <c r="C70" s="14" t="s">
        <v>311</v>
      </c>
      <c r="D70" s="22"/>
      <c r="E70" s="14" t="s">
        <v>99</v>
      </c>
      <c r="F70" s="15" t="s">
        <v>110</v>
      </c>
      <c r="G70" s="15" t="s">
        <v>100</v>
      </c>
      <c r="H70" s="16"/>
      <c r="I70" s="17" t="s">
        <v>121</v>
      </c>
      <c r="J70" s="16"/>
      <c r="K70" s="17" t="s">
        <v>121</v>
      </c>
      <c r="L70" s="16"/>
      <c r="M70" s="17"/>
      <c r="N70" s="16"/>
      <c r="O70" s="17" t="s">
        <v>121</v>
      </c>
      <c r="P70" s="16"/>
      <c r="Q70" s="17"/>
      <c r="R70" s="16"/>
      <c r="S70" s="17" t="s">
        <v>121</v>
      </c>
      <c r="T70" s="18" t="n">
        <f>23498.5</f>
        <v>23498.5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324</v>
      </c>
      <c r="C71" s="14" t="s">
        <v>325</v>
      </c>
      <c r="D71" s="22"/>
      <c r="E71" s="14" t="s">
        <v>46</v>
      </c>
      <c r="F71" s="15" t="s">
        <v>164</v>
      </c>
      <c r="G71" s="15" t="s">
        <v>50</v>
      </c>
      <c r="H71" s="16"/>
      <c r="I71" s="17" t="s">
        <v>121</v>
      </c>
      <c r="J71" s="16"/>
      <c r="K71" s="17" t="s">
        <v>121</v>
      </c>
      <c r="L71" s="16" t="s">
        <v>79</v>
      </c>
      <c r="M71" s="17" t="s">
        <v>326</v>
      </c>
      <c r="N71" s="16"/>
      <c r="O71" s="17" t="s">
        <v>121</v>
      </c>
      <c r="P71" s="16" t="s">
        <v>79</v>
      </c>
      <c r="Q71" s="17" t="s">
        <v>326</v>
      </c>
      <c r="R71" s="16"/>
      <c r="S71" s="17" t="s">
        <v>121</v>
      </c>
      <c r="T71" s="18" t="n">
        <f>1345.83</f>
        <v>1345.83</v>
      </c>
      <c r="U71" s="19" t="n">
        <f>71</f>
        <v>71.0</v>
      </c>
      <c r="V71" s="19" t="n">
        <v>71.0</v>
      </c>
      <c r="W71" s="23"/>
      <c r="X71" s="19" t="n">
        <f>93081000</f>
        <v>9.3081E7</v>
      </c>
      <c r="Y71" s="19" t="n">
        <v>9.3081E7</v>
      </c>
      <c r="Z71" s="23"/>
      <c r="AA71" s="16" t="s">
        <v>60</v>
      </c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324</v>
      </c>
      <c r="C72" s="14" t="s">
        <v>325</v>
      </c>
      <c r="D72" s="22"/>
      <c r="E72" s="14" t="s">
        <v>61</v>
      </c>
      <c r="F72" s="15" t="s">
        <v>91</v>
      </c>
      <c r="G72" s="15" t="s">
        <v>63</v>
      </c>
      <c r="H72" s="16"/>
      <c r="I72" s="17" t="s">
        <v>121</v>
      </c>
      <c r="J72" s="16"/>
      <c r="K72" s="17" t="s">
        <v>121</v>
      </c>
      <c r="L72" s="16" t="s">
        <v>65</v>
      </c>
      <c r="M72" s="17" t="s">
        <v>327</v>
      </c>
      <c r="N72" s="16"/>
      <c r="O72" s="17" t="s">
        <v>121</v>
      </c>
      <c r="P72" s="16" t="s">
        <v>79</v>
      </c>
      <c r="Q72" s="17" t="s">
        <v>328</v>
      </c>
      <c r="R72" s="16"/>
      <c r="S72" s="17" t="s">
        <v>121</v>
      </c>
      <c r="T72" s="18" t="n">
        <f>1340.03</f>
        <v>1340.03</v>
      </c>
      <c r="U72" s="19" t="n">
        <f>146</f>
        <v>146.0</v>
      </c>
      <c r="V72" s="19" t="n">
        <v>146.0</v>
      </c>
      <c r="W72" s="23"/>
      <c r="X72" s="19" t="n">
        <f>196462000</f>
        <v>1.96462E8</v>
      </c>
      <c r="Y72" s="19" t="n">
        <v>1.96462E8</v>
      </c>
      <c r="Z72" s="23"/>
      <c r="AA72" s="16"/>
      <c r="AB72" s="20" t="n">
        <f>146</f>
        <v>146.0</v>
      </c>
      <c r="AC72" s="21" t="str">
        <f>"－"</f>
        <v>－</v>
      </c>
    </row>
    <row r="73">
      <c r="A73" s="13" t="s">
        <v>46</v>
      </c>
      <c r="B73" s="14" t="s">
        <v>324</v>
      </c>
      <c r="C73" s="14" t="s">
        <v>325</v>
      </c>
      <c r="D73" s="22"/>
      <c r="E73" s="14" t="s">
        <v>72</v>
      </c>
      <c r="F73" s="15" t="s">
        <v>167</v>
      </c>
      <c r="G73" s="15" t="s">
        <v>74</v>
      </c>
      <c r="H73" s="16"/>
      <c r="I73" s="17" t="s">
        <v>121</v>
      </c>
      <c r="J73" s="16"/>
      <c r="K73" s="17" t="s">
        <v>121</v>
      </c>
      <c r="L73" s="16"/>
      <c r="M73" s="17"/>
      <c r="N73" s="16"/>
      <c r="O73" s="17" t="s">
        <v>121</v>
      </c>
      <c r="P73" s="16"/>
      <c r="Q73" s="17"/>
      <c r="R73" s="16"/>
      <c r="S73" s="17" t="s">
        <v>121</v>
      </c>
      <c r="T73" s="18" t="n">
        <f>1341.37</f>
        <v>1341.37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324</v>
      </c>
      <c r="C74" s="14" t="s">
        <v>325</v>
      </c>
      <c r="D74" s="22"/>
      <c r="E74" s="14" t="s">
        <v>82</v>
      </c>
      <c r="F74" s="15" t="s">
        <v>110</v>
      </c>
      <c r="G74" s="15" t="s">
        <v>83</v>
      </c>
      <c r="H74" s="16"/>
      <c r="I74" s="17" t="s">
        <v>121</v>
      </c>
      <c r="J74" s="16"/>
      <c r="K74" s="17" t="s">
        <v>121</v>
      </c>
      <c r="L74" s="16"/>
      <c r="M74" s="17"/>
      <c r="N74" s="16"/>
      <c r="O74" s="17" t="s">
        <v>121</v>
      </c>
      <c r="P74" s="16"/>
      <c r="Q74" s="17"/>
      <c r="R74" s="16"/>
      <c r="S74" s="17" t="s">
        <v>121</v>
      </c>
      <c r="T74" s="18" t="n">
        <f>1335.25</f>
        <v>1335.25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str">
        <f>"－"</f>
        <v>－</v>
      </c>
      <c r="AC74" s="21" t="str">
        <f>"－"</f>
        <v>－</v>
      </c>
    </row>
    <row r="75">
      <c r="A75" s="13" t="s">
        <v>46</v>
      </c>
      <c r="B75" s="14" t="s">
        <v>329</v>
      </c>
      <c r="C75" s="14" t="s">
        <v>330</v>
      </c>
      <c r="D75" s="22"/>
      <c r="E75" s="14" t="s">
        <v>46</v>
      </c>
      <c r="F75" s="15" t="s">
        <v>164</v>
      </c>
      <c r="G75" s="15" t="s">
        <v>50</v>
      </c>
      <c r="H75" s="16" t="s">
        <v>267</v>
      </c>
      <c r="I75" s="17" t="s">
        <v>331</v>
      </c>
      <c r="J75" s="16" t="s">
        <v>267</v>
      </c>
      <c r="K75" s="17" t="s">
        <v>331</v>
      </c>
      <c r="L75" s="16" t="s">
        <v>267</v>
      </c>
      <c r="M75" s="17" t="s">
        <v>332</v>
      </c>
      <c r="N75" s="16" t="s">
        <v>267</v>
      </c>
      <c r="O75" s="17" t="s">
        <v>331</v>
      </c>
      <c r="P75" s="16" t="s">
        <v>79</v>
      </c>
      <c r="Q75" s="17" t="s">
        <v>333</v>
      </c>
      <c r="R75" s="16" t="s">
        <v>267</v>
      </c>
      <c r="S75" s="17" t="s">
        <v>331</v>
      </c>
      <c r="T75" s="18" t="n">
        <f>307.36</f>
        <v>307.36</v>
      </c>
      <c r="U75" s="19" t="n">
        <f>67267</f>
        <v>67267.0</v>
      </c>
      <c r="V75" s="19" t="n">
        <v>67081.0</v>
      </c>
      <c r="W75" s="23" t="n">
        <v>184.0</v>
      </c>
      <c r="X75" s="19" t="n">
        <f>204339150289</f>
        <v>2.04339150289E11</v>
      </c>
      <c r="Y75" s="19" t="n">
        <v>2.03769025289E11</v>
      </c>
      <c r="Z75" s="23" t="n">
        <v>5.63785E8</v>
      </c>
      <c r="AA75" s="16" t="s">
        <v>60</v>
      </c>
      <c r="AB75" s="20" t="n">
        <f>14920</f>
        <v>14920.0</v>
      </c>
      <c r="AC75" s="21" t="n">
        <f>3</f>
        <v>3.0</v>
      </c>
    </row>
    <row r="76">
      <c r="A76" s="13" t="s">
        <v>46</v>
      </c>
      <c r="B76" s="14" t="s">
        <v>329</v>
      </c>
      <c r="C76" s="14" t="s">
        <v>330</v>
      </c>
      <c r="D76" s="22"/>
      <c r="E76" s="14" t="s">
        <v>61</v>
      </c>
      <c r="F76" s="15" t="s">
        <v>91</v>
      </c>
      <c r="G76" s="15" t="s">
        <v>63</v>
      </c>
      <c r="H76" s="16" t="s">
        <v>96</v>
      </c>
      <c r="I76" s="17" t="s">
        <v>334</v>
      </c>
      <c r="J76" s="16" t="s">
        <v>96</v>
      </c>
      <c r="K76" s="17" t="s">
        <v>335</v>
      </c>
      <c r="L76" s="16" t="s">
        <v>336</v>
      </c>
      <c r="M76" s="17" t="s">
        <v>337</v>
      </c>
      <c r="N76" s="16" t="s">
        <v>96</v>
      </c>
      <c r="O76" s="17" t="s">
        <v>338</v>
      </c>
      <c r="P76" s="16" t="s">
        <v>58</v>
      </c>
      <c r="Q76" s="17" t="s">
        <v>339</v>
      </c>
      <c r="R76" s="16" t="s">
        <v>96</v>
      </c>
      <c r="S76" s="17" t="s">
        <v>338</v>
      </c>
      <c r="T76" s="18" t="n">
        <f>299.79</f>
        <v>299.79</v>
      </c>
      <c r="U76" s="19" t="n">
        <f>79555</f>
        <v>79555.0</v>
      </c>
      <c r="V76" s="19" t="n">
        <v>79361.0</v>
      </c>
      <c r="W76" s="23" t="n">
        <v>184.0</v>
      </c>
      <c r="X76" s="19" t="n">
        <f>237480597650</f>
        <v>2.3748059765E11</v>
      </c>
      <c r="Y76" s="19" t="n">
        <v>2.3689611465E11</v>
      </c>
      <c r="Z76" s="23" t="n">
        <v>5.55313E8</v>
      </c>
      <c r="AA76" s="16"/>
      <c r="AB76" s="20" t="n">
        <f>45312</f>
        <v>45312.0</v>
      </c>
      <c r="AC76" s="21" t="n">
        <f>3</f>
        <v>3.0</v>
      </c>
    </row>
    <row r="77">
      <c r="A77" s="13" t="s">
        <v>46</v>
      </c>
      <c r="B77" s="14" t="s">
        <v>329</v>
      </c>
      <c r="C77" s="14" t="s">
        <v>330</v>
      </c>
      <c r="D77" s="22"/>
      <c r="E77" s="14" t="s">
        <v>72</v>
      </c>
      <c r="F77" s="15" t="s">
        <v>167</v>
      </c>
      <c r="G77" s="15" t="s">
        <v>74</v>
      </c>
      <c r="H77" s="16"/>
      <c r="I77" s="17" t="s">
        <v>121</v>
      </c>
      <c r="J77" s="16"/>
      <c r="K77" s="17" t="s">
        <v>121</v>
      </c>
      <c r="L77" s="16"/>
      <c r="M77" s="17"/>
      <c r="N77" s="16"/>
      <c r="O77" s="17" t="s">
        <v>121</v>
      </c>
      <c r="P77" s="16"/>
      <c r="Q77" s="17"/>
      <c r="R77" s="16"/>
      <c r="S77" s="17" t="s">
        <v>121</v>
      </c>
      <c r="T77" s="18" t="n">
        <f>300.12</f>
        <v>300.12</v>
      </c>
      <c r="U77" s="19" t="str">
        <f>"－"</f>
        <v>－</v>
      </c>
      <c r="V77" s="19"/>
      <c r="W77" s="23"/>
      <c r="X77" s="19" t="str">
        <f>"－"</f>
        <v>－</v>
      </c>
      <c r="Y77" s="19"/>
      <c r="Z77" s="23"/>
      <c r="AA77" s="16"/>
      <c r="AB77" s="20" t="str">
        <f>"－"</f>
        <v>－</v>
      </c>
      <c r="AC77" s="21" t="str">
        <f>"－"</f>
        <v>－</v>
      </c>
    </row>
    <row r="78">
      <c r="A78" s="13" t="s">
        <v>46</v>
      </c>
      <c r="B78" s="14" t="s">
        <v>329</v>
      </c>
      <c r="C78" s="14" t="s">
        <v>330</v>
      </c>
      <c r="D78" s="22"/>
      <c r="E78" s="14" t="s">
        <v>82</v>
      </c>
      <c r="F78" s="15" t="s">
        <v>110</v>
      </c>
      <c r="G78" s="15" t="s">
        <v>83</v>
      </c>
      <c r="H78" s="16"/>
      <c r="I78" s="17" t="s">
        <v>121</v>
      </c>
      <c r="J78" s="16"/>
      <c r="K78" s="17" t="s">
        <v>121</v>
      </c>
      <c r="L78" s="16"/>
      <c r="M78" s="17"/>
      <c r="N78" s="16"/>
      <c r="O78" s="17" t="s">
        <v>121</v>
      </c>
      <c r="P78" s="16"/>
      <c r="Q78" s="17"/>
      <c r="R78" s="16"/>
      <c r="S78" s="17" t="s">
        <v>121</v>
      </c>
      <c r="T78" s="18" t="n">
        <f>292.82</f>
        <v>292.82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340</v>
      </c>
      <c r="C79" s="14" t="s">
        <v>341</v>
      </c>
      <c r="D79" s="22"/>
      <c r="E79" s="14" t="s">
        <v>46</v>
      </c>
      <c r="F79" s="15" t="s">
        <v>164</v>
      </c>
      <c r="G79" s="15" t="s">
        <v>50</v>
      </c>
      <c r="H79" s="16" t="s">
        <v>51</v>
      </c>
      <c r="I79" s="17" t="s">
        <v>342</v>
      </c>
      <c r="J79" s="16" t="s">
        <v>106</v>
      </c>
      <c r="K79" s="17" t="s">
        <v>343</v>
      </c>
      <c r="L79" s="16" t="s">
        <v>106</v>
      </c>
      <c r="M79" s="17" t="s">
        <v>344</v>
      </c>
      <c r="N79" s="16" t="s">
        <v>55</v>
      </c>
      <c r="O79" s="17" t="s">
        <v>345</v>
      </c>
      <c r="P79" s="16" t="s">
        <v>101</v>
      </c>
      <c r="Q79" s="17" t="s">
        <v>346</v>
      </c>
      <c r="R79" s="16" t="s">
        <v>58</v>
      </c>
      <c r="S79" s="17" t="s">
        <v>347</v>
      </c>
      <c r="T79" s="18" t="n">
        <f>1746.72</f>
        <v>1746.72</v>
      </c>
      <c r="U79" s="19" t="n">
        <f>120658</f>
        <v>120658.0</v>
      </c>
      <c r="V79" s="19" t="n">
        <v>104304.0</v>
      </c>
      <c r="W79" s="23" t="n">
        <v>11174.0</v>
      </c>
      <c r="X79" s="19" t="n">
        <f>211014633720</f>
        <v>2.1101463372E11</v>
      </c>
      <c r="Y79" s="19" t="n">
        <v>1.8234311352E11</v>
      </c>
      <c r="Z79" s="23" t="n">
        <v>1.96009282E10</v>
      </c>
      <c r="AA79" s="16" t="s">
        <v>60</v>
      </c>
      <c r="AB79" s="20" t="n">
        <f>14307</f>
        <v>14307.0</v>
      </c>
      <c r="AC79" s="21" t="n">
        <f>9</f>
        <v>9.0</v>
      </c>
    </row>
    <row r="80">
      <c r="A80" s="13" t="s">
        <v>46</v>
      </c>
      <c r="B80" s="14" t="s">
        <v>340</v>
      </c>
      <c r="C80" s="14" t="s">
        <v>341</v>
      </c>
      <c r="D80" s="22"/>
      <c r="E80" s="14" t="s">
        <v>61</v>
      </c>
      <c r="F80" s="15" t="s">
        <v>91</v>
      </c>
      <c r="G80" s="15" t="s">
        <v>63</v>
      </c>
      <c r="H80" s="16" t="s">
        <v>55</v>
      </c>
      <c r="I80" s="17" t="s">
        <v>348</v>
      </c>
      <c r="J80" s="16" t="s">
        <v>112</v>
      </c>
      <c r="K80" s="17" t="s">
        <v>349</v>
      </c>
      <c r="L80" s="16" t="s">
        <v>65</v>
      </c>
      <c r="M80" s="17" t="s">
        <v>350</v>
      </c>
      <c r="N80" s="16" t="s">
        <v>70</v>
      </c>
      <c r="O80" s="17" t="s">
        <v>351</v>
      </c>
      <c r="P80" s="16" t="s">
        <v>70</v>
      </c>
      <c r="Q80" s="17" t="s">
        <v>352</v>
      </c>
      <c r="R80" s="16" t="s">
        <v>70</v>
      </c>
      <c r="S80" s="17" t="s">
        <v>351</v>
      </c>
      <c r="T80" s="18" t="n">
        <f>1737.58</f>
        <v>1737.58</v>
      </c>
      <c r="U80" s="19" t="n">
        <f>118136</f>
        <v>118136.0</v>
      </c>
      <c r="V80" s="19" t="n">
        <v>103368.0</v>
      </c>
      <c r="W80" s="23" t="n">
        <v>11174.0</v>
      </c>
      <c r="X80" s="19" t="n">
        <f>205389962705</f>
        <v>2.05389962705E11</v>
      </c>
      <c r="Y80" s="19" t="n">
        <v>1.79661251205E11</v>
      </c>
      <c r="Z80" s="23" t="n">
        <v>1.94812645E10</v>
      </c>
      <c r="AA80" s="16"/>
      <c r="AB80" s="20" t="n">
        <f>78987</f>
        <v>78987.0</v>
      </c>
      <c r="AC80" s="21" t="n">
        <f>14</f>
        <v>14.0</v>
      </c>
    </row>
    <row r="81">
      <c r="A81" s="13" t="s">
        <v>46</v>
      </c>
      <c r="B81" s="14" t="s">
        <v>340</v>
      </c>
      <c r="C81" s="14" t="s">
        <v>341</v>
      </c>
      <c r="D81" s="22"/>
      <c r="E81" s="14" t="s">
        <v>72</v>
      </c>
      <c r="F81" s="15" t="s">
        <v>167</v>
      </c>
      <c r="G81" s="15" t="s">
        <v>74</v>
      </c>
      <c r="H81" s="16"/>
      <c r="I81" s="17" t="s">
        <v>121</v>
      </c>
      <c r="J81" s="16"/>
      <c r="K81" s="17" t="s">
        <v>121</v>
      </c>
      <c r="L81" s="16"/>
      <c r="M81" s="17"/>
      <c r="N81" s="16"/>
      <c r="O81" s="17" t="s">
        <v>121</v>
      </c>
      <c r="P81" s="16"/>
      <c r="Q81" s="17"/>
      <c r="R81" s="16"/>
      <c r="S81" s="17" t="s">
        <v>121</v>
      </c>
      <c r="T81" s="18" t="n">
        <f>1710.74</f>
        <v>1710.74</v>
      </c>
      <c r="U81" s="19" t="str">
        <f>"－"</f>
        <v>－</v>
      </c>
      <c r="V81" s="19"/>
      <c r="W81" s="23"/>
      <c r="X81" s="19" t="str">
        <f>"－"</f>
        <v>－</v>
      </c>
      <c r="Y81" s="19"/>
      <c r="Z81" s="23"/>
      <c r="AA81" s="16"/>
      <c r="AB81" s="20" t="str">
        <f>"－"</f>
        <v>－</v>
      </c>
      <c r="AC81" s="21" t="str">
        <f>"－"</f>
        <v>－</v>
      </c>
    </row>
    <row r="82">
      <c r="A82" s="13" t="s">
        <v>46</v>
      </c>
      <c r="B82" s="14" t="s">
        <v>340</v>
      </c>
      <c r="C82" s="14" t="s">
        <v>341</v>
      </c>
      <c r="D82" s="22"/>
      <c r="E82" s="14" t="s">
        <v>82</v>
      </c>
      <c r="F82" s="15" t="s">
        <v>110</v>
      </c>
      <c r="G82" s="15" t="s">
        <v>83</v>
      </c>
      <c r="H82" s="16"/>
      <c r="I82" s="17" t="s">
        <v>121</v>
      </c>
      <c r="J82" s="16"/>
      <c r="K82" s="17" t="s">
        <v>121</v>
      </c>
      <c r="L82" s="16"/>
      <c r="M82" s="17"/>
      <c r="N82" s="16"/>
      <c r="O82" s="17" t="s">
        <v>121</v>
      </c>
      <c r="P82" s="16"/>
      <c r="Q82" s="17"/>
      <c r="R82" s="16"/>
      <c r="S82" s="17" t="s">
        <v>121</v>
      </c>
      <c r="T82" s="18" t="n">
        <f>1703.15</f>
        <v>1703.15</v>
      </c>
      <c r="U82" s="19" t="str">
        <f>"－"</f>
        <v>－</v>
      </c>
      <c r="V82" s="19"/>
      <c r="W82" s="23"/>
      <c r="X82" s="19" t="str">
        <f>"－"</f>
        <v>－</v>
      </c>
      <c r="Y82" s="19"/>
      <c r="Z82" s="23"/>
      <c r="AA82" s="16"/>
      <c r="AB82" s="20" t="str">
        <f>"－"</f>
        <v>－</v>
      </c>
      <c r="AC82" s="21" t="str">
        <f>"－"</f>
        <v>－</v>
      </c>
    </row>
    <row r="83">
      <c r="A83" s="13" t="s">
        <v>46</v>
      </c>
      <c r="B83" s="14" t="s">
        <v>353</v>
      </c>
      <c r="C83" s="14" t="s">
        <v>354</v>
      </c>
      <c r="D83" s="22"/>
      <c r="E83" s="14" t="s">
        <v>46</v>
      </c>
      <c r="F83" s="15" t="s">
        <v>161</v>
      </c>
      <c r="G83" s="15" t="s">
        <v>50</v>
      </c>
      <c r="H83" s="16"/>
      <c r="I83" s="17" t="s">
        <v>121</v>
      </c>
      <c r="J83" s="16"/>
      <c r="K83" s="17" t="s">
        <v>121</v>
      </c>
      <c r="L83" s="16"/>
      <c r="M83" s="17"/>
      <c r="N83" s="16"/>
      <c r="O83" s="17" t="s">
        <v>121</v>
      </c>
      <c r="P83" s="16"/>
      <c r="Q83" s="17"/>
      <c r="R83" s="16"/>
      <c r="S83" s="17" t="s">
        <v>121</v>
      </c>
      <c r="T83" s="18" t="n">
        <f>1700</f>
        <v>1700.0</v>
      </c>
      <c r="U83" s="19" t="str">
        <f>"－"</f>
        <v>－</v>
      </c>
      <c r="V83" s="19"/>
      <c r="W83" s="23"/>
      <c r="X83" s="19" t="str">
        <f>"－"</f>
        <v>－</v>
      </c>
      <c r="Y83" s="19"/>
      <c r="Z83" s="23"/>
      <c r="AA83" s="16" t="s">
        <v>60</v>
      </c>
      <c r="AB83" s="20" t="str">
        <f>"－"</f>
        <v>－</v>
      </c>
      <c r="AC83" s="21" t="str">
        <f>"－"</f>
        <v>－</v>
      </c>
    </row>
    <row r="84">
      <c r="A84" s="13" t="s">
        <v>46</v>
      </c>
      <c r="B84" s="14" t="s">
        <v>353</v>
      </c>
      <c r="C84" s="14" t="s">
        <v>354</v>
      </c>
      <c r="D84" s="22"/>
      <c r="E84" s="14" t="s">
        <v>61</v>
      </c>
      <c r="F84" s="15" t="s">
        <v>73</v>
      </c>
      <c r="G84" s="15" t="s">
        <v>63</v>
      </c>
      <c r="H84" s="16"/>
      <c r="I84" s="17" t="s">
        <v>121</v>
      </c>
      <c r="J84" s="16"/>
      <c r="K84" s="17" t="s">
        <v>121</v>
      </c>
      <c r="L84" s="16"/>
      <c r="M84" s="17"/>
      <c r="N84" s="16"/>
      <c r="O84" s="17" t="s">
        <v>121</v>
      </c>
      <c r="P84" s="16"/>
      <c r="Q84" s="17"/>
      <c r="R84" s="16"/>
      <c r="S84" s="17" t="s">
        <v>121</v>
      </c>
      <c r="T84" s="18" t="n">
        <f>1686.87</f>
        <v>1686.87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353</v>
      </c>
      <c r="C85" s="14" t="s">
        <v>354</v>
      </c>
      <c r="D85" s="22"/>
      <c r="E85" s="14" t="s">
        <v>72</v>
      </c>
      <c r="F85" s="15" t="s">
        <v>164</v>
      </c>
      <c r="G85" s="15" t="s">
        <v>74</v>
      </c>
      <c r="H85" s="16"/>
      <c r="I85" s="17" t="s">
        <v>121</v>
      </c>
      <c r="J85" s="16"/>
      <c r="K85" s="17" t="s">
        <v>121</v>
      </c>
      <c r="L85" s="16"/>
      <c r="M85" s="17"/>
      <c r="N85" s="16"/>
      <c r="O85" s="17" t="s">
        <v>121</v>
      </c>
      <c r="P85" s="16"/>
      <c r="Q85" s="17"/>
      <c r="R85" s="16"/>
      <c r="S85" s="17" t="s">
        <v>121</v>
      </c>
      <c r="T85" s="18" t="n">
        <f>1685.84</f>
        <v>1685.84</v>
      </c>
      <c r="U85" s="19" t="str">
        <f>"－"</f>
        <v>－</v>
      </c>
      <c r="V85" s="19"/>
      <c r="W85" s="23"/>
      <c r="X85" s="19" t="str">
        <f>"－"</f>
        <v>－</v>
      </c>
      <c r="Y85" s="19"/>
      <c r="Z85" s="23"/>
      <c r="AA85" s="16"/>
      <c r="AB85" s="20" t="str">
        <f>"－"</f>
        <v>－</v>
      </c>
      <c r="AC85" s="21" t="str">
        <f>"－"</f>
        <v>－</v>
      </c>
    </row>
    <row r="86">
      <c r="A86" s="13" t="s">
        <v>46</v>
      </c>
      <c r="B86" s="14" t="s">
        <v>353</v>
      </c>
      <c r="C86" s="14" t="s">
        <v>354</v>
      </c>
      <c r="D86" s="22"/>
      <c r="E86" s="14" t="s">
        <v>82</v>
      </c>
      <c r="F86" s="15" t="s">
        <v>91</v>
      </c>
      <c r="G86" s="15" t="s">
        <v>83</v>
      </c>
      <c r="H86" s="16"/>
      <c r="I86" s="17" t="s">
        <v>121</v>
      </c>
      <c r="J86" s="16"/>
      <c r="K86" s="17" t="s">
        <v>121</v>
      </c>
      <c r="L86" s="16"/>
      <c r="M86" s="17"/>
      <c r="N86" s="16"/>
      <c r="O86" s="17" t="s">
        <v>121</v>
      </c>
      <c r="P86" s="16"/>
      <c r="Q86" s="17"/>
      <c r="R86" s="16"/>
      <c r="S86" s="17" t="s">
        <v>121</v>
      </c>
      <c r="T86" s="18" t="n">
        <f>1670.68</f>
        <v>1670.68</v>
      </c>
      <c r="U86" s="19" t="str">
        <f>"－"</f>
        <v>－</v>
      </c>
      <c r="V86" s="19"/>
      <c r="W86" s="23"/>
      <c r="X86" s="19" t="str">
        <f>"－"</f>
        <v>－</v>
      </c>
      <c r="Y86" s="19"/>
      <c r="Z86" s="23"/>
      <c r="AA86" s="16"/>
      <c r="AB86" s="20" t="str">
        <f>"－"</f>
        <v>－</v>
      </c>
      <c r="AC86" s="21" t="str">
        <f>"－"</f>
        <v>－</v>
      </c>
    </row>
    <row r="87">
      <c r="A87" s="13" t="s">
        <v>46</v>
      </c>
      <c r="B87" s="14" t="s">
        <v>353</v>
      </c>
      <c r="C87" s="14" t="s">
        <v>354</v>
      </c>
      <c r="D87" s="22"/>
      <c r="E87" s="14" t="s">
        <v>90</v>
      </c>
      <c r="F87" s="15" t="s">
        <v>167</v>
      </c>
      <c r="G87" s="15" t="s">
        <v>92</v>
      </c>
      <c r="H87" s="16"/>
      <c r="I87" s="17" t="s">
        <v>121</v>
      </c>
      <c r="J87" s="16"/>
      <c r="K87" s="17" t="s">
        <v>121</v>
      </c>
      <c r="L87" s="16"/>
      <c r="M87" s="17"/>
      <c r="N87" s="16"/>
      <c r="O87" s="17" t="s">
        <v>121</v>
      </c>
      <c r="P87" s="16"/>
      <c r="Q87" s="17"/>
      <c r="R87" s="16"/>
      <c r="S87" s="17" t="s">
        <v>121</v>
      </c>
      <c r="T87" s="18" t="n">
        <f>1670.47</f>
        <v>1670.47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353</v>
      </c>
      <c r="C88" s="14" t="s">
        <v>354</v>
      </c>
      <c r="D88" s="22"/>
      <c r="E88" s="14" t="s">
        <v>99</v>
      </c>
      <c r="F88" s="15" t="s">
        <v>110</v>
      </c>
      <c r="G88" s="15" t="s">
        <v>100</v>
      </c>
      <c r="H88" s="16"/>
      <c r="I88" s="17" t="s">
        <v>121</v>
      </c>
      <c r="J88" s="16"/>
      <c r="K88" s="17" t="s">
        <v>121</v>
      </c>
      <c r="L88" s="16"/>
      <c r="M88" s="17"/>
      <c r="N88" s="16"/>
      <c r="O88" s="17" t="s">
        <v>121</v>
      </c>
      <c r="P88" s="16"/>
      <c r="Q88" s="17"/>
      <c r="R88" s="16"/>
      <c r="S88" s="17" t="s">
        <v>121</v>
      </c>
      <c r="T88" s="18" t="n">
        <f>1657.75</f>
        <v>1657.75</v>
      </c>
      <c r="U88" s="19" t="str">
        <f>"－"</f>
        <v>－</v>
      </c>
      <c r="V88" s="19"/>
      <c r="W88" s="23"/>
      <c r="X88" s="19" t="str">
        <f>"－"</f>
        <v>－</v>
      </c>
      <c r="Y88" s="19"/>
      <c r="Z88" s="23"/>
      <c r="AA88" s="16"/>
      <c r="AB88" s="20" t="str">
        <f>"－"</f>
        <v>－</v>
      </c>
      <c r="AC88" s="21" t="str">
        <f>"－"</f>
        <v>－</v>
      </c>
    </row>
    <row r="89">
      <c r="A89" s="13" t="s">
        <v>46</v>
      </c>
      <c r="B89" s="14" t="s">
        <v>355</v>
      </c>
      <c r="C89" s="14" t="s">
        <v>356</v>
      </c>
      <c r="D89" s="22"/>
      <c r="E89" s="14" t="s">
        <v>46</v>
      </c>
      <c r="F89" s="15" t="s">
        <v>161</v>
      </c>
      <c r="G89" s="15" t="s">
        <v>50</v>
      </c>
      <c r="H89" s="16" t="s">
        <v>51</v>
      </c>
      <c r="I89" s="17" t="s">
        <v>357</v>
      </c>
      <c r="J89" s="16" t="s">
        <v>225</v>
      </c>
      <c r="K89" s="17" t="s">
        <v>358</v>
      </c>
      <c r="L89" s="16" t="s">
        <v>267</v>
      </c>
      <c r="M89" s="17" t="s">
        <v>359</v>
      </c>
      <c r="N89" s="16" t="s">
        <v>55</v>
      </c>
      <c r="O89" s="17" t="s">
        <v>360</v>
      </c>
      <c r="P89" s="16" t="s">
        <v>55</v>
      </c>
      <c r="Q89" s="17" t="s">
        <v>361</v>
      </c>
      <c r="R89" s="16" t="s">
        <v>58</v>
      </c>
      <c r="S89" s="17" t="s">
        <v>362</v>
      </c>
      <c r="T89" s="18" t="n">
        <f>653.67</f>
        <v>653.67</v>
      </c>
      <c r="U89" s="19" t="n">
        <f>149050</f>
        <v>149050.0</v>
      </c>
      <c r="V89" s="19" t="n">
        <v>35209.0</v>
      </c>
      <c r="W89" s="23" t="n">
        <v>16480.0</v>
      </c>
      <c r="X89" s="19" t="n">
        <f>96848355170</f>
        <v>9.684835517E10</v>
      </c>
      <c r="Y89" s="19" t="n">
        <v>2.278422217E10</v>
      </c>
      <c r="Z89" s="23" t="n">
        <v>1.0649586E10</v>
      </c>
      <c r="AA89" s="16" t="s">
        <v>60</v>
      </c>
      <c r="AB89" s="20" t="n">
        <f>5493</f>
        <v>5493.0</v>
      </c>
      <c r="AC89" s="21" t="n">
        <f>9</f>
        <v>9.0</v>
      </c>
    </row>
    <row r="90">
      <c r="A90" s="13" t="s">
        <v>46</v>
      </c>
      <c r="B90" s="14" t="s">
        <v>355</v>
      </c>
      <c r="C90" s="14" t="s">
        <v>356</v>
      </c>
      <c r="D90" s="22"/>
      <c r="E90" s="14" t="s">
        <v>61</v>
      </c>
      <c r="F90" s="15" t="s">
        <v>73</v>
      </c>
      <c r="G90" s="15" t="s">
        <v>63</v>
      </c>
      <c r="H90" s="16" t="s">
        <v>51</v>
      </c>
      <c r="I90" s="17" t="s">
        <v>363</v>
      </c>
      <c r="J90" s="16" t="s">
        <v>225</v>
      </c>
      <c r="K90" s="17" t="s">
        <v>364</v>
      </c>
      <c r="L90" s="16" t="s">
        <v>65</v>
      </c>
      <c r="M90" s="17" t="s">
        <v>365</v>
      </c>
      <c r="N90" s="16" t="s">
        <v>55</v>
      </c>
      <c r="O90" s="17" t="s">
        <v>366</v>
      </c>
      <c r="P90" s="16" t="s">
        <v>55</v>
      </c>
      <c r="Q90" s="17" t="s">
        <v>367</v>
      </c>
      <c r="R90" s="16" t="s">
        <v>70</v>
      </c>
      <c r="S90" s="17" t="s">
        <v>368</v>
      </c>
      <c r="T90" s="18" t="n">
        <f>654.84</f>
        <v>654.84</v>
      </c>
      <c r="U90" s="19" t="n">
        <f>158360</f>
        <v>158360.0</v>
      </c>
      <c r="V90" s="19" t="n">
        <v>40382.0</v>
      </c>
      <c r="W90" s="23" t="n">
        <v>16480.0</v>
      </c>
      <c r="X90" s="19" t="n">
        <f>101672250160</f>
        <v>1.0167225016E11</v>
      </c>
      <c r="Y90" s="19" t="n">
        <v>2.585900116E10</v>
      </c>
      <c r="Z90" s="23" t="n">
        <v>1.0479249E10</v>
      </c>
      <c r="AA90" s="16"/>
      <c r="AB90" s="20" t="n">
        <f>39368</f>
        <v>39368.0</v>
      </c>
      <c r="AC90" s="21" t="n">
        <f>19</f>
        <v>19.0</v>
      </c>
    </row>
    <row r="91">
      <c r="A91" s="13" t="s">
        <v>46</v>
      </c>
      <c r="B91" s="14" t="s">
        <v>355</v>
      </c>
      <c r="C91" s="14" t="s">
        <v>356</v>
      </c>
      <c r="D91" s="22"/>
      <c r="E91" s="14" t="s">
        <v>72</v>
      </c>
      <c r="F91" s="15" t="s">
        <v>164</v>
      </c>
      <c r="G91" s="15" t="s">
        <v>74</v>
      </c>
      <c r="H91" s="16" t="s">
        <v>51</v>
      </c>
      <c r="I91" s="17" t="s">
        <v>369</v>
      </c>
      <c r="J91" s="16" t="s">
        <v>267</v>
      </c>
      <c r="K91" s="17" t="s">
        <v>370</v>
      </c>
      <c r="L91" s="16" t="s">
        <v>114</v>
      </c>
      <c r="M91" s="17" t="s">
        <v>371</v>
      </c>
      <c r="N91" s="16" t="s">
        <v>55</v>
      </c>
      <c r="O91" s="17" t="s">
        <v>372</v>
      </c>
      <c r="P91" s="16" t="s">
        <v>70</v>
      </c>
      <c r="Q91" s="17" t="s">
        <v>373</v>
      </c>
      <c r="R91" s="16" t="s">
        <v>70</v>
      </c>
      <c r="S91" s="17" t="s">
        <v>374</v>
      </c>
      <c r="T91" s="18" t="n">
        <f>654.89</f>
        <v>654.89</v>
      </c>
      <c r="U91" s="19" t="n">
        <f>448</f>
        <v>448.0</v>
      </c>
      <c r="V91" s="19" t="n">
        <v>14.0</v>
      </c>
      <c r="W91" s="23"/>
      <c r="X91" s="19" t="n">
        <f>285510800</f>
        <v>2.855108E8</v>
      </c>
      <c r="Y91" s="19" t="n">
        <v>9013800.0</v>
      </c>
      <c r="Z91" s="23"/>
      <c r="AA91" s="16"/>
      <c r="AB91" s="20" t="n">
        <f>271</f>
        <v>271.0</v>
      </c>
      <c r="AC91" s="21" t="n">
        <f>19</f>
        <v>19.0</v>
      </c>
    </row>
    <row r="92">
      <c r="A92" s="13" t="s">
        <v>46</v>
      </c>
      <c r="B92" s="14" t="s">
        <v>355</v>
      </c>
      <c r="C92" s="14" t="s">
        <v>356</v>
      </c>
      <c r="D92" s="22"/>
      <c r="E92" s="14" t="s">
        <v>82</v>
      </c>
      <c r="F92" s="15" t="s">
        <v>91</v>
      </c>
      <c r="G92" s="15" t="s">
        <v>83</v>
      </c>
      <c r="H92" s="16" t="s">
        <v>267</v>
      </c>
      <c r="I92" s="17" t="s">
        <v>375</v>
      </c>
      <c r="J92" s="16" t="s">
        <v>225</v>
      </c>
      <c r="K92" s="17" t="s">
        <v>376</v>
      </c>
      <c r="L92" s="16"/>
      <c r="M92" s="17"/>
      <c r="N92" s="16" t="s">
        <v>144</v>
      </c>
      <c r="O92" s="17" t="s">
        <v>377</v>
      </c>
      <c r="P92" s="16"/>
      <c r="Q92" s="17"/>
      <c r="R92" s="16" t="s">
        <v>70</v>
      </c>
      <c r="S92" s="17" t="s">
        <v>378</v>
      </c>
      <c r="T92" s="18" t="n">
        <f>655.11</f>
        <v>655.11</v>
      </c>
      <c r="U92" s="19" t="n">
        <f>87</f>
        <v>87.0</v>
      </c>
      <c r="V92" s="19"/>
      <c r="W92" s="23"/>
      <c r="X92" s="19" t="n">
        <f>54775000</f>
        <v>5.4775E7</v>
      </c>
      <c r="Y92" s="19"/>
      <c r="Z92" s="23"/>
      <c r="AA92" s="16"/>
      <c r="AB92" s="20" t="n">
        <f>91</f>
        <v>91.0</v>
      </c>
      <c r="AC92" s="21" t="n">
        <f>15</f>
        <v>15.0</v>
      </c>
    </row>
    <row r="93">
      <c r="A93" s="13" t="s">
        <v>46</v>
      </c>
      <c r="B93" s="14" t="s">
        <v>355</v>
      </c>
      <c r="C93" s="14" t="s">
        <v>356</v>
      </c>
      <c r="D93" s="22"/>
      <c r="E93" s="14" t="s">
        <v>90</v>
      </c>
      <c r="F93" s="15" t="s">
        <v>167</v>
      </c>
      <c r="G93" s="15" t="s">
        <v>92</v>
      </c>
      <c r="H93" s="16" t="s">
        <v>114</v>
      </c>
      <c r="I93" s="17" t="s">
        <v>374</v>
      </c>
      <c r="J93" s="16" t="s">
        <v>114</v>
      </c>
      <c r="K93" s="17" t="s">
        <v>374</v>
      </c>
      <c r="L93" s="16"/>
      <c r="M93" s="17"/>
      <c r="N93" s="16" t="s">
        <v>70</v>
      </c>
      <c r="O93" s="17" t="s">
        <v>378</v>
      </c>
      <c r="P93" s="16"/>
      <c r="Q93" s="17"/>
      <c r="R93" s="16" t="s">
        <v>70</v>
      </c>
      <c r="S93" s="17" t="s">
        <v>379</v>
      </c>
      <c r="T93" s="18" t="n">
        <f>655.63</f>
        <v>655.63</v>
      </c>
      <c r="U93" s="19" t="n">
        <f>4</f>
        <v>4.0</v>
      </c>
      <c r="V93" s="19"/>
      <c r="W93" s="23"/>
      <c r="X93" s="19" t="n">
        <f>2514000</f>
        <v>2514000.0</v>
      </c>
      <c r="Y93" s="19"/>
      <c r="Z93" s="23"/>
      <c r="AA93" s="16"/>
      <c r="AB93" s="20" t="n">
        <f>4</f>
        <v>4.0</v>
      </c>
      <c r="AC93" s="21" t="n">
        <f>2</f>
        <v>2.0</v>
      </c>
    </row>
    <row r="94">
      <c r="A94" s="13" t="s">
        <v>46</v>
      </c>
      <c r="B94" s="14" t="s">
        <v>355</v>
      </c>
      <c r="C94" s="14" t="s">
        <v>356</v>
      </c>
      <c r="D94" s="22"/>
      <c r="E94" s="14" t="s">
        <v>99</v>
      </c>
      <c r="F94" s="15" t="s">
        <v>110</v>
      </c>
      <c r="G94" s="15" t="s">
        <v>100</v>
      </c>
      <c r="H94" s="16"/>
      <c r="I94" s="17" t="s">
        <v>121</v>
      </c>
      <c r="J94" s="16"/>
      <c r="K94" s="17" t="s">
        <v>121</v>
      </c>
      <c r="L94" s="16"/>
      <c r="M94" s="17"/>
      <c r="N94" s="16"/>
      <c r="O94" s="17" t="s">
        <v>121</v>
      </c>
      <c r="P94" s="16"/>
      <c r="Q94" s="17"/>
      <c r="R94" s="16"/>
      <c r="S94" s="17" t="s">
        <v>121</v>
      </c>
      <c r="T94" s="18" t="n">
        <f>656.7</f>
        <v>656.7</v>
      </c>
      <c r="U94" s="19" t="str">
        <f>"－"</f>
        <v>－</v>
      </c>
      <c r="V94" s="19"/>
      <c r="W94" s="23"/>
      <c r="X94" s="19" t="str">
        <f>"－"</f>
        <v>－</v>
      </c>
      <c r="Y94" s="19"/>
      <c r="Z94" s="23"/>
      <c r="AA94" s="16"/>
      <c r="AB94" s="20" t="str">
        <f>"－"</f>
        <v>－</v>
      </c>
      <c r="AC94" s="21" t="str">
        <f>"－"</f>
        <v>－</v>
      </c>
    </row>
    <row r="95">
      <c r="A95" s="13" t="s">
        <v>46</v>
      </c>
      <c r="B95" s="14" t="s">
        <v>380</v>
      </c>
      <c r="C95" s="14" t="s">
        <v>381</v>
      </c>
      <c r="D95" s="22"/>
      <c r="E95" s="14" t="s">
        <v>46</v>
      </c>
      <c r="F95" s="15" t="s">
        <v>382</v>
      </c>
      <c r="G95" s="15" t="s">
        <v>383</v>
      </c>
      <c r="H95" s="16" t="s">
        <v>51</v>
      </c>
      <c r="I95" s="17" t="s">
        <v>384</v>
      </c>
      <c r="J95" s="16" t="s">
        <v>280</v>
      </c>
      <c r="K95" s="17" t="s">
        <v>385</v>
      </c>
      <c r="L95" s="16" t="s">
        <v>280</v>
      </c>
      <c r="M95" s="17" t="s">
        <v>386</v>
      </c>
      <c r="N95" s="16" t="s">
        <v>58</v>
      </c>
      <c r="O95" s="17" t="s">
        <v>387</v>
      </c>
      <c r="P95" s="16" t="s">
        <v>58</v>
      </c>
      <c r="Q95" s="17" t="s">
        <v>388</v>
      </c>
      <c r="R95" s="16" t="s">
        <v>280</v>
      </c>
      <c r="S95" s="17" t="s">
        <v>389</v>
      </c>
      <c r="T95" s="18" t="n">
        <f>41258.79</f>
        <v>41258.79</v>
      </c>
      <c r="U95" s="19" t="n">
        <f>20250</f>
        <v>20250.0</v>
      </c>
      <c r="V95" s="19" t="n">
        <v>274.0</v>
      </c>
      <c r="W95" s="23"/>
      <c r="X95" s="19" t="n">
        <f>83220586250</f>
        <v>8.322058625E10</v>
      </c>
      <c r="Y95" s="19" t="n">
        <v>1.12544515E9</v>
      </c>
      <c r="Z95" s="23"/>
      <c r="AA95" s="16" t="s">
        <v>60</v>
      </c>
      <c r="AB95" s="20" t="n">
        <f>1609</f>
        <v>1609.0</v>
      </c>
      <c r="AC95" s="21" t="n">
        <f>14</f>
        <v>14.0</v>
      </c>
    </row>
    <row r="96">
      <c r="A96" s="13" t="s">
        <v>46</v>
      </c>
      <c r="B96" s="14" t="s">
        <v>380</v>
      </c>
      <c r="C96" s="14" t="s">
        <v>381</v>
      </c>
      <c r="D96" s="22"/>
      <c r="E96" s="14" t="s">
        <v>61</v>
      </c>
      <c r="F96" s="15" t="s">
        <v>390</v>
      </c>
      <c r="G96" s="15" t="s">
        <v>391</v>
      </c>
      <c r="H96" s="16" t="s">
        <v>51</v>
      </c>
      <c r="I96" s="17" t="s">
        <v>392</v>
      </c>
      <c r="J96" s="16" t="s">
        <v>70</v>
      </c>
      <c r="K96" s="17" t="s">
        <v>393</v>
      </c>
      <c r="L96" s="16" t="s">
        <v>70</v>
      </c>
      <c r="M96" s="17" t="s">
        <v>394</v>
      </c>
      <c r="N96" s="16" t="s">
        <v>58</v>
      </c>
      <c r="O96" s="17" t="s">
        <v>395</v>
      </c>
      <c r="P96" s="16" t="s">
        <v>58</v>
      </c>
      <c r="Q96" s="17" t="s">
        <v>396</v>
      </c>
      <c r="R96" s="16" t="s">
        <v>70</v>
      </c>
      <c r="S96" s="17" t="s">
        <v>397</v>
      </c>
      <c r="T96" s="18" t="n">
        <f>41779.53</f>
        <v>41779.53</v>
      </c>
      <c r="U96" s="19" t="n">
        <f>9217</f>
        <v>9217.0</v>
      </c>
      <c r="V96" s="19" t="n">
        <v>143.0</v>
      </c>
      <c r="W96" s="23"/>
      <c r="X96" s="19" t="n">
        <f>38939821710</f>
        <v>3.893982171E10</v>
      </c>
      <c r="Y96" s="19" t="n">
        <v>6.0628971E8</v>
      </c>
      <c r="Z96" s="23"/>
      <c r="AA96" s="16"/>
      <c r="AB96" s="20" t="n">
        <f>1752</f>
        <v>1752.0</v>
      </c>
      <c r="AC96" s="21" t="n">
        <f>19</f>
        <v>19.0</v>
      </c>
    </row>
    <row r="97">
      <c r="A97" s="13" t="s">
        <v>46</v>
      </c>
      <c r="B97" s="14" t="s">
        <v>380</v>
      </c>
      <c r="C97" s="14" t="s">
        <v>381</v>
      </c>
      <c r="D97" s="22"/>
      <c r="E97" s="14" t="s">
        <v>72</v>
      </c>
      <c r="F97" s="15" t="s">
        <v>304</v>
      </c>
      <c r="G97" s="15" t="s">
        <v>398</v>
      </c>
      <c r="H97" s="16" t="s">
        <v>280</v>
      </c>
      <c r="I97" s="17" t="s">
        <v>399</v>
      </c>
      <c r="J97" s="16" t="s">
        <v>70</v>
      </c>
      <c r="K97" s="17" t="s">
        <v>400</v>
      </c>
      <c r="L97" s="16"/>
      <c r="M97" s="17"/>
      <c r="N97" s="16" t="s">
        <v>280</v>
      </c>
      <c r="O97" s="17" t="s">
        <v>399</v>
      </c>
      <c r="P97" s="16"/>
      <c r="Q97" s="17"/>
      <c r="R97" s="16" t="s">
        <v>70</v>
      </c>
      <c r="S97" s="17" t="s">
        <v>401</v>
      </c>
      <c r="T97" s="18" t="n">
        <f>42135.89</f>
        <v>42135.89</v>
      </c>
      <c r="U97" s="19" t="n">
        <f>33</f>
        <v>33.0</v>
      </c>
      <c r="V97" s="19"/>
      <c r="W97" s="23"/>
      <c r="X97" s="19" t="n">
        <f>140984300</f>
        <v>1.409843E8</v>
      </c>
      <c r="Y97" s="19"/>
      <c r="Z97" s="23"/>
      <c r="AA97" s="16"/>
      <c r="AB97" s="20" t="n">
        <f>23</f>
        <v>23.0</v>
      </c>
      <c r="AC97" s="21" t="n">
        <f>6</f>
        <v>6.0</v>
      </c>
    </row>
    <row r="98">
      <c r="A98" s="13" t="s">
        <v>46</v>
      </c>
      <c r="B98" s="14" t="s">
        <v>380</v>
      </c>
      <c r="C98" s="14" t="s">
        <v>381</v>
      </c>
      <c r="D98" s="22"/>
      <c r="E98" s="14" t="s">
        <v>82</v>
      </c>
      <c r="F98" s="15" t="s">
        <v>402</v>
      </c>
      <c r="G98" s="15" t="s">
        <v>403</v>
      </c>
      <c r="H98" s="16" t="s">
        <v>144</v>
      </c>
      <c r="I98" s="17" t="s">
        <v>404</v>
      </c>
      <c r="J98" s="16" t="s">
        <v>144</v>
      </c>
      <c r="K98" s="17" t="s">
        <v>404</v>
      </c>
      <c r="L98" s="16"/>
      <c r="M98" s="17"/>
      <c r="N98" s="16" t="s">
        <v>144</v>
      </c>
      <c r="O98" s="17" t="s">
        <v>404</v>
      </c>
      <c r="P98" s="16"/>
      <c r="Q98" s="17"/>
      <c r="R98" s="16" t="s">
        <v>144</v>
      </c>
      <c r="S98" s="17" t="s">
        <v>404</v>
      </c>
      <c r="T98" s="18" t="n">
        <f>42607.32</f>
        <v>42607.32</v>
      </c>
      <c r="U98" s="19" t="n">
        <f>1</f>
        <v>1.0</v>
      </c>
      <c r="V98" s="19"/>
      <c r="W98" s="23"/>
      <c r="X98" s="19" t="n">
        <f>4237800</f>
        <v>4237800.0</v>
      </c>
      <c r="Y98" s="19"/>
      <c r="Z98" s="23"/>
      <c r="AA98" s="16"/>
      <c r="AB98" s="20" t="n">
        <f>1</f>
        <v>1.0</v>
      </c>
      <c r="AC98" s="21" t="n">
        <f>1</f>
        <v>1.0</v>
      </c>
    </row>
    <row r="99">
      <c r="A99" s="13" t="s">
        <v>46</v>
      </c>
      <c r="B99" s="14" t="s">
        <v>380</v>
      </c>
      <c r="C99" s="14" t="s">
        <v>381</v>
      </c>
      <c r="D99" s="22"/>
      <c r="E99" s="14" t="s">
        <v>90</v>
      </c>
      <c r="F99" s="15" t="s">
        <v>405</v>
      </c>
      <c r="G99" s="15" t="s">
        <v>406</v>
      </c>
      <c r="H99" s="16"/>
      <c r="I99" s="17" t="s">
        <v>121</v>
      </c>
      <c r="J99" s="16"/>
      <c r="K99" s="17" t="s">
        <v>121</v>
      </c>
      <c r="L99" s="16"/>
      <c r="M99" s="17"/>
      <c r="N99" s="16"/>
      <c r="O99" s="17" t="s">
        <v>121</v>
      </c>
      <c r="P99" s="16"/>
      <c r="Q99" s="17"/>
      <c r="R99" s="16"/>
      <c r="S99" s="17" t="s">
        <v>121</v>
      </c>
      <c r="T99" s="18" t="n">
        <f>43785</f>
        <v>43785.0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407</v>
      </c>
      <c r="C100" s="14" t="s">
        <v>408</v>
      </c>
      <c r="D100" s="22"/>
      <c r="E100" s="14" t="s">
        <v>46</v>
      </c>
      <c r="F100" s="15" t="s">
        <v>409</v>
      </c>
      <c r="G100" s="15" t="s">
        <v>410</v>
      </c>
      <c r="H100" s="16"/>
      <c r="I100" s="17" t="s">
        <v>121</v>
      </c>
      <c r="J100" s="16"/>
      <c r="K100" s="17" t="s">
        <v>121</v>
      </c>
      <c r="L100" s="16"/>
      <c r="M100" s="17"/>
      <c r="N100" s="16"/>
      <c r="O100" s="17" t="s">
        <v>121</v>
      </c>
      <c r="P100" s="16"/>
      <c r="Q100" s="17"/>
      <c r="R100" s="16"/>
      <c r="S100" s="17" t="s">
        <v>121</v>
      </c>
      <c r="T100" s="18" t="n">
        <f>21465.18</f>
        <v>21465.18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 t="s">
        <v>60</v>
      </c>
      <c r="AB100" s="20" t="str">
        <f>"－"</f>
        <v>－</v>
      </c>
      <c r="AC100" s="21" t="str">
        <f>"－"</f>
        <v>－</v>
      </c>
    </row>
    <row r="101">
      <c r="A101" s="13" t="s">
        <v>46</v>
      </c>
      <c r="B101" s="14" t="s">
        <v>407</v>
      </c>
      <c r="C101" s="14" t="s">
        <v>408</v>
      </c>
      <c r="D101" s="22"/>
      <c r="E101" s="14" t="s">
        <v>176</v>
      </c>
      <c r="F101" s="15" t="s">
        <v>411</v>
      </c>
      <c r="G101" s="15" t="s">
        <v>412</v>
      </c>
      <c r="H101" s="16"/>
      <c r="I101" s="17" t="s">
        <v>121</v>
      </c>
      <c r="J101" s="16"/>
      <c r="K101" s="17" t="s">
        <v>121</v>
      </c>
      <c r="L101" s="16"/>
      <c r="M101" s="17"/>
      <c r="N101" s="16"/>
      <c r="O101" s="17" t="s">
        <v>121</v>
      </c>
      <c r="P101" s="16"/>
      <c r="Q101" s="17"/>
      <c r="R101" s="16"/>
      <c r="S101" s="17" t="s">
        <v>121</v>
      </c>
      <c r="T101" s="18" t="n">
        <f>21872.53</f>
        <v>21872.53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str">
        <f>"－"</f>
        <v>－</v>
      </c>
      <c r="AC101" s="21" t="str">
        <f>"－"</f>
        <v>－</v>
      </c>
    </row>
    <row r="102">
      <c r="A102" s="13" t="s">
        <v>46</v>
      </c>
      <c r="B102" s="14" t="s">
        <v>407</v>
      </c>
      <c r="C102" s="14" t="s">
        <v>408</v>
      </c>
      <c r="D102" s="22"/>
      <c r="E102" s="14" t="s">
        <v>185</v>
      </c>
      <c r="F102" s="15" t="s">
        <v>413</v>
      </c>
      <c r="G102" s="15" t="s">
        <v>414</v>
      </c>
      <c r="H102" s="16"/>
      <c r="I102" s="17" t="s">
        <v>121</v>
      </c>
      <c r="J102" s="16"/>
      <c r="K102" s="17" t="s">
        <v>121</v>
      </c>
      <c r="L102" s="16"/>
      <c r="M102" s="17"/>
      <c r="N102" s="16"/>
      <c r="O102" s="17" t="s">
        <v>121</v>
      </c>
      <c r="P102" s="16"/>
      <c r="Q102" s="17"/>
      <c r="R102" s="16"/>
      <c r="S102" s="17" t="s">
        <v>121</v>
      </c>
      <c r="T102" s="18" t="n">
        <f>22446.13</f>
        <v>22446.13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str">
        <f>"－"</f>
        <v>－</v>
      </c>
      <c r="AC102" s="21" t="str">
        <f>"－"</f>
        <v>－</v>
      </c>
    </row>
    <row r="103">
      <c r="A103" s="13" t="s">
        <v>46</v>
      </c>
      <c r="B103" s="14" t="s">
        <v>407</v>
      </c>
      <c r="C103" s="14" t="s">
        <v>408</v>
      </c>
      <c r="D103" s="22"/>
      <c r="E103" s="14" t="s">
        <v>61</v>
      </c>
      <c r="F103" s="15" t="s">
        <v>415</v>
      </c>
      <c r="G103" s="15" t="s">
        <v>416</v>
      </c>
      <c r="H103" s="16"/>
      <c r="I103" s="17" t="s">
        <v>121</v>
      </c>
      <c r="J103" s="16"/>
      <c r="K103" s="17" t="s">
        <v>121</v>
      </c>
      <c r="L103" s="16"/>
      <c r="M103" s="17"/>
      <c r="N103" s="16"/>
      <c r="O103" s="17" t="s">
        <v>121</v>
      </c>
      <c r="P103" s="16"/>
      <c r="Q103" s="17"/>
      <c r="R103" s="16"/>
      <c r="S103" s="17" t="s">
        <v>121</v>
      </c>
      <c r="T103" s="18" t="n">
        <f>21876.05</f>
        <v>21876.05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/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407</v>
      </c>
      <c r="C104" s="14" t="s">
        <v>408</v>
      </c>
      <c r="D104" s="22"/>
      <c r="E104" s="14" t="s">
        <v>72</v>
      </c>
      <c r="F104" s="15" t="s">
        <v>417</v>
      </c>
      <c r="G104" s="15" t="s">
        <v>418</v>
      </c>
      <c r="H104" s="16"/>
      <c r="I104" s="17" t="s">
        <v>121</v>
      </c>
      <c r="J104" s="16"/>
      <c r="K104" s="17" t="s">
        <v>121</v>
      </c>
      <c r="L104" s="16"/>
      <c r="M104" s="17"/>
      <c r="N104" s="16"/>
      <c r="O104" s="17" t="s">
        <v>121</v>
      </c>
      <c r="P104" s="16"/>
      <c r="Q104" s="17"/>
      <c r="R104" s="16"/>
      <c r="S104" s="17" t="s">
        <v>121</v>
      </c>
      <c r="T104" s="18" t="n">
        <f>21872.47</f>
        <v>21872.47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407</v>
      </c>
      <c r="C105" s="14" t="s">
        <v>408</v>
      </c>
      <c r="D105" s="22"/>
      <c r="E105" s="14" t="s">
        <v>82</v>
      </c>
      <c r="F105" s="15" t="s">
        <v>419</v>
      </c>
      <c r="G105" s="15" t="s">
        <v>420</v>
      </c>
      <c r="H105" s="16"/>
      <c r="I105" s="17" t="s">
        <v>121</v>
      </c>
      <c r="J105" s="16"/>
      <c r="K105" s="17" t="s">
        <v>121</v>
      </c>
      <c r="L105" s="16"/>
      <c r="M105" s="17"/>
      <c r="N105" s="16"/>
      <c r="O105" s="17" t="s">
        <v>121</v>
      </c>
      <c r="P105" s="16"/>
      <c r="Q105" s="17"/>
      <c r="R105" s="16"/>
      <c r="S105" s="17" t="s">
        <v>121</v>
      </c>
      <c r="T105" s="18" t="n">
        <f>21873.11</f>
        <v>21873.11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421</v>
      </c>
      <c r="C106" s="14" t="s">
        <v>422</v>
      </c>
      <c r="D106" s="22"/>
      <c r="E106" s="14" t="s">
        <v>46</v>
      </c>
      <c r="F106" s="15" t="s">
        <v>423</v>
      </c>
      <c r="G106" s="15" t="s">
        <v>424</v>
      </c>
      <c r="H106" s="16"/>
      <c r="I106" s="17" t="s">
        <v>121</v>
      </c>
      <c r="J106" s="16"/>
      <c r="K106" s="17" t="s">
        <v>121</v>
      </c>
      <c r="L106" s="16"/>
      <c r="M106" s="17"/>
      <c r="N106" s="16"/>
      <c r="O106" s="17" t="s">
        <v>121</v>
      </c>
      <c r="P106" s="16"/>
      <c r="Q106" s="17"/>
      <c r="R106" s="16"/>
      <c r="S106" s="17" t="s">
        <v>121</v>
      </c>
      <c r="T106" s="18" t="n">
        <f>11967.78</f>
        <v>11967.78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 t="s">
        <v>60</v>
      </c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421</v>
      </c>
      <c r="C107" s="14" t="s">
        <v>422</v>
      </c>
      <c r="D107" s="22"/>
      <c r="E107" s="14" t="s">
        <v>176</v>
      </c>
      <c r="F107" s="15" t="s">
        <v>425</v>
      </c>
      <c r="G107" s="15" t="s">
        <v>426</v>
      </c>
      <c r="H107" s="16"/>
      <c r="I107" s="17" t="s">
        <v>121</v>
      </c>
      <c r="J107" s="16"/>
      <c r="K107" s="17" t="s">
        <v>121</v>
      </c>
      <c r="L107" s="16"/>
      <c r="M107" s="17"/>
      <c r="N107" s="16"/>
      <c r="O107" s="17" t="s">
        <v>121</v>
      </c>
      <c r="P107" s="16"/>
      <c r="Q107" s="17"/>
      <c r="R107" s="16"/>
      <c r="S107" s="17" t="s">
        <v>121</v>
      </c>
      <c r="T107" s="18" t="n">
        <f>12120.53</f>
        <v>12120.53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421</v>
      </c>
      <c r="C108" s="14" t="s">
        <v>422</v>
      </c>
      <c r="D108" s="22"/>
      <c r="E108" s="14" t="s">
        <v>185</v>
      </c>
      <c r="F108" s="15" t="s">
        <v>427</v>
      </c>
      <c r="G108" s="15" t="s">
        <v>428</v>
      </c>
      <c r="H108" s="16"/>
      <c r="I108" s="17" t="s">
        <v>121</v>
      </c>
      <c r="J108" s="16"/>
      <c r="K108" s="17" t="s">
        <v>121</v>
      </c>
      <c r="L108" s="16"/>
      <c r="M108" s="17"/>
      <c r="N108" s="16"/>
      <c r="O108" s="17" t="s">
        <v>121</v>
      </c>
      <c r="P108" s="16"/>
      <c r="Q108" s="17"/>
      <c r="R108" s="16"/>
      <c r="S108" s="17" t="s">
        <v>121</v>
      </c>
      <c r="T108" s="18" t="n">
        <f>14205</f>
        <v>14205.0</v>
      </c>
      <c r="U108" s="19" t="str">
        <f>"－"</f>
        <v>－</v>
      </c>
      <c r="V108" s="19"/>
      <c r="W108" s="23"/>
      <c r="X108" s="19" t="str">
        <f>"－"</f>
        <v>－</v>
      </c>
      <c r="Y108" s="19"/>
      <c r="Z108" s="23"/>
      <c r="AA108" s="16"/>
      <c r="AB108" s="20" t="str">
        <f>"－"</f>
        <v>－</v>
      </c>
      <c r="AC108" s="21" t="str">
        <f>"－"</f>
        <v>－</v>
      </c>
    </row>
    <row r="109">
      <c r="A109" s="13" t="s">
        <v>46</v>
      </c>
      <c r="B109" s="14" t="s">
        <v>421</v>
      </c>
      <c r="C109" s="14" t="s">
        <v>422</v>
      </c>
      <c r="D109" s="22"/>
      <c r="E109" s="14" t="s">
        <v>61</v>
      </c>
      <c r="F109" s="15" t="s">
        <v>429</v>
      </c>
      <c r="G109" s="15" t="s">
        <v>430</v>
      </c>
      <c r="H109" s="16"/>
      <c r="I109" s="17" t="s">
        <v>121</v>
      </c>
      <c r="J109" s="16"/>
      <c r="K109" s="17" t="s">
        <v>121</v>
      </c>
      <c r="L109" s="16"/>
      <c r="M109" s="17"/>
      <c r="N109" s="16"/>
      <c r="O109" s="17" t="s">
        <v>121</v>
      </c>
      <c r="P109" s="16"/>
      <c r="Q109" s="17"/>
      <c r="R109" s="16"/>
      <c r="S109" s="17" t="s">
        <v>121</v>
      </c>
      <c r="T109" s="18" t="n">
        <f>12170</f>
        <v>12170.0</v>
      </c>
      <c r="U109" s="19" t="str">
        <f>"－"</f>
        <v>－</v>
      </c>
      <c r="V109" s="19"/>
      <c r="W109" s="23"/>
      <c r="X109" s="19" t="str">
        <f>"－"</f>
        <v>－</v>
      </c>
      <c r="Y109" s="19"/>
      <c r="Z109" s="23"/>
      <c r="AA109" s="16"/>
      <c r="AB109" s="20" t="str">
        <f>"－"</f>
        <v>－</v>
      </c>
      <c r="AC109" s="21" t="str">
        <f>"－"</f>
        <v>－</v>
      </c>
    </row>
    <row r="110">
      <c r="A110" s="13" t="s">
        <v>46</v>
      </c>
      <c r="B110" s="14" t="s">
        <v>421</v>
      </c>
      <c r="C110" s="14" t="s">
        <v>422</v>
      </c>
      <c r="D110" s="22"/>
      <c r="E110" s="14" t="s">
        <v>72</v>
      </c>
      <c r="F110" s="15" t="s">
        <v>431</v>
      </c>
      <c r="G110" s="15" t="s">
        <v>432</v>
      </c>
      <c r="H110" s="16"/>
      <c r="I110" s="17" t="s">
        <v>121</v>
      </c>
      <c r="J110" s="16"/>
      <c r="K110" s="17" t="s">
        <v>121</v>
      </c>
      <c r="L110" s="16"/>
      <c r="M110" s="17"/>
      <c r="N110" s="16"/>
      <c r="O110" s="17" t="s">
        <v>121</v>
      </c>
      <c r="P110" s="16"/>
      <c r="Q110" s="17"/>
      <c r="R110" s="16"/>
      <c r="S110" s="17" t="s">
        <v>121</v>
      </c>
      <c r="T110" s="18" t="n">
        <f>12187.63</f>
        <v>12187.63</v>
      </c>
      <c r="U110" s="19" t="str">
        <f>"－"</f>
        <v>－</v>
      </c>
      <c r="V110" s="19"/>
      <c r="W110" s="23"/>
      <c r="X110" s="19" t="str">
        <f>"－"</f>
        <v>－</v>
      </c>
      <c r="Y110" s="19"/>
      <c r="Z110" s="23"/>
      <c r="AA110" s="16"/>
      <c r="AB110" s="20" t="str">
        <f>"－"</f>
        <v>－</v>
      </c>
      <c r="AC110" s="21" t="str">
        <f>"－"</f>
        <v>－</v>
      </c>
    </row>
    <row r="111">
      <c r="A111" s="13" t="s">
        <v>46</v>
      </c>
      <c r="B111" s="14" t="s">
        <v>433</v>
      </c>
      <c r="C111" s="14" t="s">
        <v>434</v>
      </c>
      <c r="D111" s="22"/>
      <c r="E111" s="14" t="s">
        <v>61</v>
      </c>
      <c r="F111" s="15" t="s">
        <v>435</v>
      </c>
      <c r="G111" s="15" t="s">
        <v>436</v>
      </c>
      <c r="H111" s="16"/>
      <c r="I111" s="17" t="s">
        <v>121</v>
      </c>
      <c r="J111" s="16"/>
      <c r="K111" s="17" t="s">
        <v>121</v>
      </c>
      <c r="L111" s="16"/>
      <c r="M111" s="17"/>
      <c r="N111" s="16"/>
      <c r="O111" s="17" t="s">
        <v>121</v>
      </c>
      <c r="P111" s="16"/>
      <c r="Q111" s="17"/>
      <c r="R111" s="16"/>
      <c r="S111" s="17" t="s">
        <v>121</v>
      </c>
      <c r="T111" s="18" t="n">
        <f>695.53</f>
        <v>695.53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n">
        <f>5951</f>
        <v>5951.0</v>
      </c>
      <c r="AC111" s="21" t="str">
        <f>"－"</f>
        <v>－</v>
      </c>
    </row>
    <row r="112">
      <c r="A112" s="13" t="s">
        <v>46</v>
      </c>
      <c r="B112" s="14" t="s">
        <v>433</v>
      </c>
      <c r="C112" s="14" t="s">
        <v>434</v>
      </c>
      <c r="D112" s="22"/>
      <c r="E112" s="14" t="s">
        <v>99</v>
      </c>
      <c r="F112" s="15" t="s">
        <v>437</v>
      </c>
      <c r="G112" s="15" t="s">
        <v>438</v>
      </c>
      <c r="H112" s="16"/>
      <c r="I112" s="17" t="s">
        <v>121</v>
      </c>
      <c r="J112" s="16"/>
      <c r="K112" s="17" t="s">
        <v>121</v>
      </c>
      <c r="L112" s="16"/>
      <c r="M112" s="17"/>
      <c r="N112" s="16"/>
      <c r="O112" s="17" t="s">
        <v>121</v>
      </c>
      <c r="P112" s="16"/>
      <c r="Q112" s="17"/>
      <c r="R112" s="16"/>
      <c r="S112" s="17" t="s">
        <v>121</v>
      </c>
      <c r="T112" s="18" t="n">
        <f>749.05</f>
        <v>749.05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n">
        <f>978</f>
        <v>978.0</v>
      </c>
      <c r="AC112" s="21" t="str">
        <f>"－"</f>
        <v>－</v>
      </c>
    </row>
    <row r="113">
      <c r="A113" s="13" t="s">
        <v>46</v>
      </c>
      <c r="B113" s="14" t="s">
        <v>433</v>
      </c>
      <c r="C113" s="14" t="s">
        <v>434</v>
      </c>
      <c r="D113" s="22"/>
      <c r="E113" s="14" t="s">
        <v>122</v>
      </c>
      <c r="F113" s="15" t="s">
        <v>439</v>
      </c>
      <c r="G113" s="15" t="s">
        <v>440</v>
      </c>
      <c r="H113" s="16"/>
      <c r="I113" s="17" t="s">
        <v>121</v>
      </c>
      <c r="J113" s="16"/>
      <c r="K113" s="17" t="s">
        <v>121</v>
      </c>
      <c r="L113" s="16"/>
      <c r="M113" s="17"/>
      <c r="N113" s="16"/>
      <c r="O113" s="17" t="s">
        <v>121</v>
      </c>
      <c r="P113" s="16"/>
      <c r="Q113" s="17"/>
      <c r="R113" s="16"/>
      <c r="S113" s="17" t="s">
        <v>121</v>
      </c>
      <c r="T113" s="18" t="n">
        <f>778.63</f>
        <v>778.63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n">
        <f>978</f>
        <v>978.0</v>
      </c>
      <c r="AC113" s="21" t="str">
        <f>"－"</f>
        <v>－</v>
      </c>
    </row>
    <row r="114">
      <c r="A114" s="13" t="s">
        <v>46</v>
      </c>
      <c r="B114" s="14" t="s">
        <v>433</v>
      </c>
      <c r="C114" s="14" t="s">
        <v>434</v>
      </c>
      <c r="D114" s="22"/>
      <c r="E114" s="14" t="s">
        <v>131</v>
      </c>
      <c r="F114" s="15" t="s">
        <v>441</v>
      </c>
      <c r="G114" s="15" t="s">
        <v>442</v>
      </c>
      <c r="H114" s="16"/>
      <c r="I114" s="17" t="s">
        <v>121</v>
      </c>
      <c r="J114" s="16"/>
      <c r="K114" s="17" t="s">
        <v>121</v>
      </c>
      <c r="L114" s="16"/>
      <c r="M114" s="17"/>
      <c r="N114" s="16"/>
      <c r="O114" s="17" t="s">
        <v>121</v>
      </c>
      <c r="P114" s="16"/>
      <c r="Q114" s="17"/>
      <c r="R114" s="16"/>
      <c r="S114" s="17" t="s">
        <v>121</v>
      </c>
      <c r="T114" s="18" t="n">
        <f>778.21</f>
        <v>778.21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433</v>
      </c>
      <c r="C115" s="14" t="s">
        <v>434</v>
      </c>
      <c r="D115" s="22"/>
      <c r="E115" s="14" t="s">
        <v>141</v>
      </c>
      <c r="F115" s="15" t="s">
        <v>443</v>
      </c>
      <c r="G115" s="15" t="s">
        <v>444</v>
      </c>
      <c r="H115" s="16"/>
      <c r="I115" s="17" t="s">
        <v>121</v>
      </c>
      <c r="J115" s="16"/>
      <c r="K115" s="17" t="s">
        <v>121</v>
      </c>
      <c r="L115" s="16"/>
      <c r="M115" s="17"/>
      <c r="N115" s="16"/>
      <c r="O115" s="17" t="s">
        <v>121</v>
      </c>
      <c r="P115" s="16"/>
      <c r="Q115" s="17"/>
      <c r="R115" s="16"/>
      <c r="S115" s="17" t="s">
        <v>121</v>
      </c>
      <c r="T115" s="18" t="n">
        <f>772.31</f>
        <v>772.31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433</v>
      </c>
      <c r="C116" s="14" t="s">
        <v>434</v>
      </c>
      <c r="D116" s="22"/>
      <c r="E116" s="14" t="s">
        <v>150</v>
      </c>
      <c r="F116" s="15" t="s">
        <v>445</v>
      </c>
      <c r="G116" s="15" t="s">
        <v>446</v>
      </c>
      <c r="H116" s="16"/>
      <c r="I116" s="17" t="s">
        <v>121</v>
      </c>
      <c r="J116" s="16"/>
      <c r="K116" s="17" t="s">
        <v>121</v>
      </c>
      <c r="L116" s="16"/>
      <c r="M116" s="17"/>
      <c r="N116" s="16"/>
      <c r="O116" s="17" t="s">
        <v>121</v>
      </c>
      <c r="P116" s="16"/>
      <c r="Q116" s="17"/>
      <c r="R116" s="16"/>
      <c r="S116" s="17" t="s">
        <v>121</v>
      </c>
      <c r="T116" s="18" t="n">
        <f>661.78</f>
        <v>661.78</v>
      </c>
      <c r="U116" s="19" t="str">
        <f>"－"</f>
        <v>－</v>
      </c>
      <c r="V116" s="19"/>
      <c r="W116" s="23"/>
      <c r="X116" s="19" t="str">
        <f>"－"</f>
        <v>－</v>
      </c>
      <c r="Y116" s="19"/>
      <c r="Z116" s="23"/>
      <c r="AA116" s="16"/>
      <c r="AB116" s="20" t="str">
        <f>"－"</f>
        <v>－</v>
      </c>
      <c r="AC116" s="21" t="str">
        <f>"－"</f>
        <v>－</v>
      </c>
    </row>
    <row r="117">
      <c r="A117" s="13" t="s">
        <v>46</v>
      </c>
      <c r="B117" s="14" t="s">
        <v>433</v>
      </c>
      <c r="C117" s="14" t="s">
        <v>434</v>
      </c>
      <c r="D117" s="22"/>
      <c r="E117" s="14" t="s">
        <v>157</v>
      </c>
      <c r="F117" s="15" t="s">
        <v>447</v>
      </c>
      <c r="G117" s="15" t="s">
        <v>448</v>
      </c>
      <c r="H117" s="16"/>
      <c r="I117" s="17" t="s">
        <v>121</v>
      </c>
      <c r="J117" s="16"/>
      <c r="K117" s="17" t="s">
        <v>121</v>
      </c>
      <c r="L117" s="16"/>
      <c r="M117" s="17"/>
      <c r="N117" s="16"/>
      <c r="O117" s="17" t="s">
        <v>121</v>
      </c>
      <c r="P117" s="16"/>
      <c r="Q117" s="17"/>
      <c r="R117" s="16"/>
      <c r="S117" s="17" t="s">
        <v>121</v>
      </c>
      <c r="T117" s="18" t="n">
        <f>661.78</f>
        <v>661.78</v>
      </c>
      <c r="U117" s="19" t="str">
        <f>"－"</f>
        <v>－</v>
      </c>
      <c r="V117" s="19"/>
      <c r="W117" s="23"/>
      <c r="X117" s="19" t="str">
        <f>"－"</f>
        <v>－</v>
      </c>
      <c r="Y117" s="19"/>
      <c r="Z117" s="23"/>
      <c r="AA117" s="16"/>
      <c r="AB117" s="20" t="str">
        <f>"－"</f>
        <v>－</v>
      </c>
      <c r="AC117" s="21" t="str">
        <f>"－"</f>
        <v>－</v>
      </c>
    </row>
    <row r="118">
      <c r="A118" s="13" t="s">
        <v>46</v>
      </c>
      <c r="B118" s="14" t="s">
        <v>433</v>
      </c>
      <c r="C118" s="14" t="s">
        <v>434</v>
      </c>
      <c r="D118" s="22"/>
      <c r="E118" s="14" t="s">
        <v>163</v>
      </c>
      <c r="F118" s="15" t="s">
        <v>449</v>
      </c>
      <c r="G118" s="15" t="s">
        <v>450</v>
      </c>
      <c r="H118" s="16"/>
      <c r="I118" s="17" t="s">
        <v>121</v>
      </c>
      <c r="J118" s="16"/>
      <c r="K118" s="17" t="s">
        <v>121</v>
      </c>
      <c r="L118" s="16"/>
      <c r="M118" s="17"/>
      <c r="N118" s="16"/>
      <c r="O118" s="17" t="s">
        <v>121</v>
      </c>
      <c r="P118" s="16"/>
      <c r="Q118" s="17"/>
      <c r="R118" s="16"/>
      <c r="S118" s="17" t="s">
        <v>121</v>
      </c>
      <c r="T118" s="18" t="n">
        <f>661.78</f>
        <v>661.78</v>
      </c>
      <c r="U118" s="19" t="str">
        <f>"－"</f>
        <v>－</v>
      </c>
      <c r="V118" s="19"/>
      <c r="W118" s="23"/>
      <c r="X118" s="19" t="str">
        <f>"－"</f>
        <v>－</v>
      </c>
      <c r="Y118" s="19"/>
      <c r="Z118" s="23"/>
      <c r="AA118" s="16"/>
      <c r="AB118" s="20" t="str">
        <f>"－"</f>
        <v>－</v>
      </c>
      <c r="AC118" s="21" t="str">
        <f>"－"</f>
        <v>－</v>
      </c>
    </row>
    <row r="119">
      <c r="A119" s="13" t="s">
        <v>46</v>
      </c>
      <c r="B119" s="14" t="s">
        <v>451</v>
      </c>
      <c r="C119" s="14" t="s">
        <v>452</v>
      </c>
      <c r="D119" s="22"/>
      <c r="E119" s="14" t="s">
        <v>46</v>
      </c>
      <c r="F119" s="15" t="s">
        <v>453</v>
      </c>
      <c r="G119" s="15" t="s">
        <v>454</v>
      </c>
      <c r="H119" s="16" t="s">
        <v>51</v>
      </c>
      <c r="I119" s="17" t="s">
        <v>455</v>
      </c>
      <c r="J119" s="16" t="s">
        <v>55</v>
      </c>
      <c r="K119" s="17" t="s">
        <v>456</v>
      </c>
      <c r="L119" s="16"/>
      <c r="M119" s="17"/>
      <c r="N119" s="16" t="s">
        <v>51</v>
      </c>
      <c r="O119" s="17" t="s">
        <v>457</v>
      </c>
      <c r="P119" s="16"/>
      <c r="Q119" s="17"/>
      <c r="R119" s="16" t="s">
        <v>106</v>
      </c>
      <c r="S119" s="17" t="s">
        <v>458</v>
      </c>
      <c r="T119" s="18" t="n">
        <f>28.16</f>
        <v>28.16</v>
      </c>
      <c r="U119" s="19" t="n">
        <f>83</f>
        <v>83.0</v>
      </c>
      <c r="V119" s="19"/>
      <c r="W119" s="23"/>
      <c r="X119" s="19" t="n">
        <f>23706500</f>
        <v>2.37065E7</v>
      </c>
      <c r="Y119" s="19"/>
      <c r="Z119" s="23"/>
      <c r="AA119" s="16" t="s">
        <v>60</v>
      </c>
      <c r="AB119" s="20" t="n">
        <f>85</f>
        <v>85.0</v>
      </c>
      <c r="AC119" s="21" t="n">
        <f>7</f>
        <v>7.0</v>
      </c>
    </row>
    <row r="120">
      <c r="A120" s="13" t="s">
        <v>46</v>
      </c>
      <c r="B120" s="14" t="s">
        <v>451</v>
      </c>
      <c r="C120" s="14" t="s">
        <v>452</v>
      </c>
      <c r="D120" s="22"/>
      <c r="E120" s="14" t="s">
        <v>176</v>
      </c>
      <c r="F120" s="15" t="s">
        <v>459</v>
      </c>
      <c r="G120" s="15" t="s">
        <v>460</v>
      </c>
      <c r="H120" s="16" t="s">
        <v>51</v>
      </c>
      <c r="I120" s="17" t="s">
        <v>461</v>
      </c>
      <c r="J120" s="16" t="s">
        <v>70</v>
      </c>
      <c r="K120" s="17" t="s">
        <v>462</v>
      </c>
      <c r="L120" s="16"/>
      <c r="M120" s="17"/>
      <c r="N120" s="16" t="s">
        <v>51</v>
      </c>
      <c r="O120" s="17" t="s">
        <v>461</v>
      </c>
      <c r="P120" s="16"/>
      <c r="Q120" s="17"/>
      <c r="R120" s="16" t="s">
        <v>70</v>
      </c>
      <c r="S120" s="17" t="s">
        <v>463</v>
      </c>
      <c r="T120" s="18" t="n">
        <f>26.13</f>
        <v>26.13</v>
      </c>
      <c r="U120" s="19" t="n">
        <f>100</f>
        <v>100.0</v>
      </c>
      <c r="V120" s="19"/>
      <c r="W120" s="23"/>
      <c r="X120" s="19" t="n">
        <f>26424500</f>
        <v>2.64245E7</v>
      </c>
      <c r="Y120" s="19"/>
      <c r="Z120" s="23"/>
      <c r="AA120" s="16"/>
      <c r="AB120" s="20" t="n">
        <f>56</f>
        <v>56.0</v>
      </c>
      <c r="AC120" s="21" t="n">
        <f>16</f>
        <v>16.0</v>
      </c>
    </row>
    <row r="121">
      <c r="A121" s="13" t="s">
        <v>46</v>
      </c>
      <c r="B121" s="14" t="s">
        <v>451</v>
      </c>
      <c r="C121" s="14" t="s">
        <v>452</v>
      </c>
      <c r="D121" s="22"/>
      <c r="E121" s="14" t="s">
        <v>185</v>
      </c>
      <c r="F121" s="15" t="s">
        <v>464</v>
      </c>
      <c r="G121" s="15" t="s">
        <v>465</v>
      </c>
      <c r="H121" s="16" t="s">
        <v>106</v>
      </c>
      <c r="I121" s="17" t="s">
        <v>466</v>
      </c>
      <c r="J121" s="16" t="s">
        <v>106</v>
      </c>
      <c r="K121" s="17" t="s">
        <v>467</v>
      </c>
      <c r="L121" s="16"/>
      <c r="M121" s="17"/>
      <c r="N121" s="16" t="s">
        <v>144</v>
      </c>
      <c r="O121" s="17" t="s">
        <v>468</v>
      </c>
      <c r="P121" s="16"/>
      <c r="Q121" s="17"/>
      <c r="R121" s="16" t="s">
        <v>114</v>
      </c>
      <c r="S121" s="17" t="s">
        <v>469</v>
      </c>
      <c r="T121" s="18" t="n">
        <f>25.16</f>
        <v>25.16</v>
      </c>
      <c r="U121" s="19" t="n">
        <f>24</f>
        <v>24.0</v>
      </c>
      <c r="V121" s="19"/>
      <c r="W121" s="23"/>
      <c r="X121" s="19" t="n">
        <f>6102500</f>
        <v>6102500.0</v>
      </c>
      <c r="Y121" s="19"/>
      <c r="Z121" s="23"/>
      <c r="AA121" s="16"/>
      <c r="AB121" s="20" t="n">
        <f>11</f>
        <v>11.0</v>
      </c>
      <c r="AC121" s="21" t="n">
        <f>6</f>
        <v>6.0</v>
      </c>
    </row>
    <row r="122">
      <c r="A122" s="13" t="s">
        <v>46</v>
      </c>
      <c r="B122" s="14" t="s">
        <v>451</v>
      </c>
      <c r="C122" s="14" t="s">
        <v>452</v>
      </c>
      <c r="D122" s="22"/>
      <c r="E122" s="14" t="s">
        <v>61</v>
      </c>
      <c r="F122" s="15" t="s">
        <v>470</v>
      </c>
      <c r="G122" s="15" t="s">
        <v>471</v>
      </c>
      <c r="H122" s="16" t="s">
        <v>106</v>
      </c>
      <c r="I122" s="17" t="s">
        <v>472</v>
      </c>
      <c r="J122" s="16" t="s">
        <v>58</v>
      </c>
      <c r="K122" s="17" t="s">
        <v>473</v>
      </c>
      <c r="L122" s="16"/>
      <c r="M122" s="17"/>
      <c r="N122" s="16" t="s">
        <v>114</v>
      </c>
      <c r="O122" s="17" t="s">
        <v>474</v>
      </c>
      <c r="P122" s="16"/>
      <c r="Q122" s="17"/>
      <c r="R122" s="16" t="s">
        <v>114</v>
      </c>
      <c r="S122" s="17" t="s">
        <v>474</v>
      </c>
      <c r="T122" s="18" t="n">
        <f>25.09</f>
        <v>25.09</v>
      </c>
      <c r="U122" s="19" t="n">
        <f>6</f>
        <v>6.0</v>
      </c>
      <c r="V122" s="19"/>
      <c r="W122" s="23"/>
      <c r="X122" s="19" t="n">
        <f>1615500</f>
        <v>1615500.0</v>
      </c>
      <c r="Y122" s="19"/>
      <c r="Z122" s="23"/>
      <c r="AA122" s="16"/>
      <c r="AB122" s="20" t="n">
        <f>5</f>
        <v>5.0</v>
      </c>
      <c r="AC122" s="21" t="n">
        <f>5</f>
        <v>5.0</v>
      </c>
    </row>
    <row r="123">
      <c r="A123" s="13" t="s">
        <v>46</v>
      </c>
      <c r="B123" s="14" t="s">
        <v>451</v>
      </c>
      <c r="C123" s="14" t="s">
        <v>452</v>
      </c>
      <c r="D123" s="22"/>
      <c r="E123" s="14" t="s">
        <v>197</v>
      </c>
      <c r="F123" s="15" t="s">
        <v>475</v>
      </c>
      <c r="G123" s="15" t="s">
        <v>476</v>
      </c>
      <c r="H123" s="16"/>
      <c r="I123" s="17" t="s">
        <v>121</v>
      </c>
      <c r="J123" s="16"/>
      <c r="K123" s="17" t="s">
        <v>121</v>
      </c>
      <c r="L123" s="16"/>
      <c r="M123" s="17"/>
      <c r="N123" s="16"/>
      <c r="O123" s="17" t="s">
        <v>121</v>
      </c>
      <c r="P123" s="16"/>
      <c r="Q123" s="17"/>
      <c r="R123" s="16"/>
      <c r="S123" s="17" t="s">
        <v>121</v>
      </c>
      <c r="T123" s="18" t="n">
        <f>23.85</f>
        <v>23.85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451</v>
      </c>
      <c r="C124" s="14" t="s">
        <v>452</v>
      </c>
      <c r="D124" s="22"/>
      <c r="E124" s="14" t="s">
        <v>477</v>
      </c>
      <c r="F124" s="15" t="s">
        <v>478</v>
      </c>
      <c r="G124" s="15" t="s">
        <v>479</v>
      </c>
      <c r="H124" s="16"/>
      <c r="I124" s="17" t="s">
        <v>121</v>
      </c>
      <c r="J124" s="16"/>
      <c r="K124" s="17" t="s">
        <v>121</v>
      </c>
      <c r="L124" s="16"/>
      <c r="M124" s="17"/>
      <c r="N124" s="16"/>
      <c r="O124" s="17" t="s">
        <v>121</v>
      </c>
      <c r="P124" s="16"/>
      <c r="Q124" s="17"/>
      <c r="R124" s="16"/>
      <c r="S124" s="17" t="s">
        <v>121</v>
      </c>
      <c r="T124" s="18" t="n">
        <f>23.54</f>
        <v>23.54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451</v>
      </c>
      <c r="C125" s="14" t="s">
        <v>452</v>
      </c>
      <c r="D125" s="22"/>
      <c r="E125" s="14" t="s">
        <v>72</v>
      </c>
      <c r="F125" s="15" t="s">
        <v>480</v>
      </c>
      <c r="G125" s="15" t="s">
        <v>481</v>
      </c>
      <c r="H125" s="16"/>
      <c r="I125" s="17" t="s">
        <v>121</v>
      </c>
      <c r="J125" s="16"/>
      <c r="K125" s="17" t="s">
        <v>121</v>
      </c>
      <c r="L125" s="16"/>
      <c r="M125" s="17"/>
      <c r="N125" s="16"/>
      <c r="O125" s="17" t="s">
        <v>121</v>
      </c>
      <c r="P125" s="16"/>
      <c r="Q125" s="17"/>
      <c r="R125" s="16"/>
      <c r="S125" s="17" t="s">
        <v>121</v>
      </c>
      <c r="T125" s="18" t="n">
        <f>23.37</f>
        <v>23.37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  <row r="126">
      <c r="A126" s="13" t="s">
        <v>46</v>
      </c>
      <c r="B126" s="14" t="s">
        <v>451</v>
      </c>
      <c r="C126" s="14" t="s">
        <v>452</v>
      </c>
      <c r="D126" s="22"/>
      <c r="E126" s="14" t="s">
        <v>482</v>
      </c>
      <c r="F126" s="15" t="s">
        <v>483</v>
      </c>
      <c r="G126" s="15" t="s">
        <v>484</v>
      </c>
      <c r="H126" s="16"/>
      <c r="I126" s="17" t="s">
        <v>121</v>
      </c>
      <c r="J126" s="16"/>
      <c r="K126" s="17" t="s">
        <v>121</v>
      </c>
      <c r="L126" s="16"/>
      <c r="M126" s="17"/>
      <c r="N126" s="16"/>
      <c r="O126" s="17" t="s">
        <v>121</v>
      </c>
      <c r="P126" s="16"/>
      <c r="Q126" s="17"/>
      <c r="R126" s="16"/>
      <c r="S126" s="17" t="s">
        <v>121</v>
      </c>
      <c r="T126" s="18" t="n">
        <f>23.16</f>
        <v>23.16</v>
      </c>
      <c r="U126" s="19" t="str">
        <f>"－"</f>
        <v>－</v>
      </c>
      <c r="V126" s="19"/>
      <c r="W126" s="23"/>
      <c r="X126" s="19" t="str">
        <f>"－"</f>
        <v>－</v>
      </c>
      <c r="Y126" s="19"/>
      <c r="Z126" s="23"/>
      <c r="AA126" s="16"/>
      <c r="AB126" s="20" t="str">
        <f>"－"</f>
        <v>－</v>
      </c>
      <c r="AC126" s="21" t="str">
        <f>"－"</f>
        <v>－</v>
      </c>
    </row>
    <row r="127">
      <c r="A127" s="13" t="s">
        <v>46</v>
      </c>
      <c r="B127" s="14" t="s">
        <v>451</v>
      </c>
      <c r="C127" s="14" t="s">
        <v>452</v>
      </c>
      <c r="D127" s="22"/>
      <c r="E127" s="14" t="s">
        <v>485</v>
      </c>
      <c r="F127" s="15" t="s">
        <v>486</v>
      </c>
      <c r="G127" s="15" t="s">
        <v>487</v>
      </c>
      <c r="H127" s="16"/>
      <c r="I127" s="17" t="s">
        <v>121</v>
      </c>
      <c r="J127" s="16"/>
      <c r="K127" s="17" t="s">
        <v>121</v>
      </c>
      <c r="L127" s="16"/>
      <c r="M127" s="17"/>
      <c r="N127" s="16"/>
      <c r="O127" s="17" t="s">
        <v>121</v>
      </c>
      <c r="P127" s="16"/>
      <c r="Q127" s="17"/>
      <c r="R127" s="16"/>
      <c r="S127" s="17" t="s">
        <v>121</v>
      </c>
      <c r="T127" s="18" t="n">
        <f>22.67</f>
        <v>22.67</v>
      </c>
      <c r="U127" s="19" t="str">
        <f>"－"</f>
        <v>－</v>
      </c>
      <c r="V127" s="19"/>
      <c r="W127" s="23"/>
      <c r="X127" s="19" t="str">
        <f>"－"</f>
        <v>－</v>
      </c>
      <c r="Y127" s="19"/>
      <c r="Z127" s="23"/>
      <c r="AA127" s="16"/>
      <c r="AB127" s="20" t="str">
        <f>"－"</f>
        <v>－</v>
      </c>
      <c r="AC127" s="21" t="str">
        <f>"－"</f>
        <v>－</v>
      </c>
    </row>
    <row r="128">
      <c r="A128" s="13" t="s">
        <v>46</v>
      </c>
      <c r="B128" s="14" t="s">
        <v>488</v>
      </c>
      <c r="C128" s="14" t="s">
        <v>489</v>
      </c>
      <c r="D128" s="22"/>
      <c r="E128" s="14" t="s">
        <v>46</v>
      </c>
      <c r="F128" s="15" t="s">
        <v>164</v>
      </c>
      <c r="G128" s="15" t="s">
        <v>50</v>
      </c>
      <c r="H128" s="16"/>
      <c r="I128" s="17" t="s">
        <v>121</v>
      </c>
      <c r="J128" s="16"/>
      <c r="K128" s="17" t="s">
        <v>121</v>
      </c>
      <c r="L128" s="16"/>
      <c r="M128" s="17"/>
      <c r="N128" s="16"/>
      <c r="O128" s="17" t="s">
        <v>121</v>
      </c>
      <c r="P128" s="16"/>
      <c r="Q128" s="17"/>
      <c r="R128" s="16"/>
      <c r="S128" s="17" t="s">
        <v>121</v>
      </c>
      <c r="T128" s="18" t="n">
        <f>3007.44</f>
        <v>3007.44</v>
      </c>
      <c r="U128" s="19" t="str">
        <f>"－"</f>
        <v>－</v>
      </c>
      <c r="V128" s="19"/>
      <c r="W128" s="23"/>
      <c r="X128" s="19" t="str">
        <f>"－"</f>
        <v>－</v>
      </c>
      <c r="Y128" s="19"/>
      <c r="Z128" s="23"/>
      <c r="AA128" s="16" t="s">
        <v>60</v>
      </c>
      <c r="AB128" s="20" t="str">
        <f>"－"</f>
        <v>－</v>
      </c>
      <c r="AC128" s="21" t="str">
        <f>"－"</f>
        <v>－</v>
      </c>
    </row>
    <row r="129">
      <c r="A129" s="13" t="s">
        <v>46</v>
      </c>
      <c r="B129" s="14" t="s">
        <v>488</v>
      </c>
      <c r="C129" s="14" t="s">
        <v>489</v>
      </c>
      <c r="D129" s="22"/>
      <c r="E129" s="14" t="s">
        <v>61</v>
      </c>
      <c r="F129" s="15" t="s">
        <v>91</v>
      </c>
      <c r="G129" s="15" t="s">
        <v>63</v>
      </c>
      <c r="H129" s="16"/>
      <c r="I129" s="17" t="s">
        <v>121</v>
      </c>
      <c r="J129" s="16"/>
      <c r="K129" s="17" t="s">
        <v>121</v>
      </c>
      <c r="L129" s="16"/>
      <c r="M129" s="17"/>
      <c r="N129" s="16"/>
      <c r="O129" s="17" t="s">
        <v>121</v>
      </c>
      <c r="P129" s="16"/>
      <c r="Q129" s="17"/>
      <c r="R129" s="16"/>
      <c r="S129" s="17" t="s">
        <v>121</v>
      </c>
      <c r="T129" s="18" t="n">
        <f>2994.39</f>
        <v>2994.39</v>
      </c>
      <c r="U129" s="19" t="str">
        <f>"－"</f>
        <v>－</v>
      </c>
      <c r="V129" s="19"/>
      <c r="W129" s="23"/>
      <c r="X129" s="19" t="str">
        <f>"－"</f>
        <v>－</v>
      </c>
      <c r="Y129" s="19"/>
      <c r="Z129" s="23"/>
      <c r="AA129" s="16"/>
      <c r="AB129" s="20" t="str">
        <f>"－"</f>
        <v>－</v>
      </c>
      <c r="AC129" s="21" t="str">
        <f>"－"</f>
        <v>－</v>
      </c>
    </row>
    <row r="130">
      <c r="A130" s="13" t="s">
        <v>46</v>
      </c>
      <c r="B130" s="14" t="s">
        <v>488</v>
      </c>
      <c r="C130" s="14" t="s">
        <v>489</v>
      </c>
      <c r="D130" s="22"/>
      <c r="E130" s="14" t="s">
        <v>72</v>
      </c>
      <c r="F130" s="15" t="s">
        <v>167</v>
      </c>
      <c r="G130" s="15" t="s">
        <v>74</v>
      </c>
      <c r="H130" s="16"/>
      <c r="I130" s="17" t="s">
        <v>121</v>
      </c>
      <c r="J130" s="16"/>
      <c r="K130" s="17" t="s">
        <v>121</v>
      </c>
      <c r="L130" s="16"/>
      <c r="M130" s="17"/>
      <c r="N130" s="16"/>
      <c r="O130" s="17" t="s">
        <v>121</v>
      </c>
      <c r="P130" s="16"/>
      <c r="Q130" s="17"/>
      <c r="R130" s="16"/>
      <c r="S130" s="17" t="s">
        <v>121</v>
      </c>
      <c r="T130" s="18" t="n">
        <f>2992.47</f>
        <v>2992.47</v>
      </c>
      <c r="U130" s="19" t="str">
        <f>"－"</f>
        <v>－</v>
      </c>
      <c r="V130" s="19"/>
      <c r="W130" s="23"/>
      <c r="X130" s="19" t="str">
        <f>"－"</f>
        <v>－</v>
      </c>
      <c r="Y130" s="19"/>
      <c r="Z130" s="23"/>
      <c r="AA130" s="16"/>
      <c r="AB130" s="20" t="str">
        <f>"－"</f>
        <v>－</v>
      </c>
      <c r="AC130" s="21" t="str">
        <f>"－"</f>
        <v>－</v>
      </c>
    </row>
    <row r="131">
      <c r="A131" s="13" t="s">
        <v>46</v>
      </c>
      <c r="B131" s="14" t="s">
        <v>488</v>
      </c>
      <c r="C131" s="14" t="s">
        <v>489</v>
      </c>
      <c r="D131" s="22"/>
      <c r="E131" s="14" t="s">
        <v>82</v>
      </c>
      <c r="F131" s="15" t="s">
        <v>110</v>
      </c>
      <c r="G131" s="15" t="s">
        <v>83</v>
      </c>
      <c r="H131" s="16"/>
      <c r="I131" s="17" t="s">
        <v>121</v>
      </c>
      <c r="J131" s="16"/>
      <c r="K131" s="17" t="s">
        <v>121</v>
      </c>
      <c r="L131" s="16"/>
      <c r="M131" s="17"/>
      <c r="N131" s="16"/>
      <c r="O131" s="17" t="s">
        <v>121</v>
      </c>
      <c r="P131" s="16"/>
      <c r="Q131" s="17"/>
      <c r="R131" s="16"/>
      <c r="S131" s="17" t="s">
        <v>121</v>
      </c>
      <c r="T131" s="18" t="n">
        <f>2977</f>
        <v>2977.0</v>
      </c>
      <c r="U131" s="19" t="str">
        <f>"－"</f>
        <v>－</v>
      </c>
      <c r="V131" s="19"/>
      <c r="W131" s="23"/>
      <c r="X131" s="19" t="str">
        <f>"－"</f>
        <v>－</v>
      </c>
      <c r="Y131" s="19"/>
      <c r="Z131" s="23"/>
      <c r="AA131" s="16"/>
      <c r="AB131" s="20" t="str">
        <f>"－"</f>
        <v>－</v>
      </c>
      <c r="AC131" s="21" t="str">
        <f>"－"</f>
        <v>－</v>
      </c>
    </row>
    <row r="132">
      <c r="A132" s="13" t="s">
        <v>46</v>
      </c>
      <c r="B132" s="14" t="s">
        <v>490</v>
      </c>
      <c r="C132" s="14" t="s">
        <v>491</v>
      </c>
      <c r="D132" s="22"/>
      <c r="E132" s="14" t="s">
        <v>46</v>
      </c>
      <c r="F132" s="15" t="s">
        <v>164</v>
      </c>
      <c r="G132" s="15" t="s">
        <v>50</v>
      </c>
      <c r="H132" s="16"/>
      <c r="I132" s="17" t="s">
        <v>121</v>
      </c>
      <c r="J132" s="16"/>
      <c r="K132" s="17" t="s">
        <v>121</v>
      </c>
      <c r="L132" s="16"/>
      <c r="M132" s="17"/>
      <c r="N132" s="16"/>
      <c r="O132" s="17" t="s">
        <v>121</v>
      </c>
      <c r="P132" s="16"/>
      <c r="Q132" s="17"/>
      <c r="R132" s="16"/>
      <c r="S132" s="17" t="s">
        <v>121</v>
      </c>
      <c r="T132" s="18" t="n">
        <f>1799.17</f>
        <v>1799.17</v>
      </c>
      <c r="U132" s="19" t="str">
        <f>"－"</f>
        <v>－</v>
      </c>
      <c r="V132" s="19"/>
      <c r="W132" s="23"/>
      <c r="X132" s="19" t="str">
        <f>"－"</f>
        <v>－</v>
      </c>
      <c r="Y132" s="19"/>
      <c r="Z132" s="23"/>
      <c r="AA132" s="16" t="s">
        <v>60</v>
      </c>
      <c r="AB132" s="20" t="str">
        <f>"－"</f>
        <v>－</v>
      </c>
      <c r="AC132" s="21" t="str">
        <f>"－"</f>
        <v>－</v>
      </c>
    </row>
    <row r="133">
      <c r="A133" s="13" t="s">
        <v>46</v>
      </c>
      <c r="B133" s="14" t="s">
        <v>490</v>
      </c>
      <c r="C133" s="14" t="s">
        <v>491</v>
      </c>
      <c r="D133" s="22"/>
      <c r="E133" s="14" t="s">
        <v>61</v>
      </c>
      <c r="F133" s="15" t="s">
        <v>91</v>
      </c>
      <c r="G133" s="15" t="s">
        <v>63</v>
      </c>
      <c r="H133" s="16"/>
      <c r="I133" s="17" t="s">
        <v>121</v>
      </c>
      <c r="J133" s="16"/>
      <c r="K133" s="17" t="s">
        <v>121</v>
      </c>
      <c r="L133" s="16"/>
      <c r="M133" s="17"/>
      <c r="N133" s="16"/>
      <c r="O133" s="17" t="s">
        <v>121</v>
      </c>
      <c r="P133" s="16"/>
      <c r="Q133" s="17"/>
      <c r="R133" s="16"/>
      <c r="S133" s="17" t="s">
        <v>121</v>
      </c>
      <c r="T133" s="18" t="n">
        <f>1788.42</f>
        <v>1788.42</v>
      </c>
      <c r="U133" s="19" t="str">
        <f>"－"</f>
        <v>－</v>
      </c>
      <c r="V133" s="19"/>
      <c r="W133" s="23"/>
      <c r="X133" s="19" t="str">
        <f>"－"</f>
        <v>－</v>
      </c>
      <c r="Y133" s="19"/>
      <c r="Z133" s="23"/>
      <c r="AA133" s="16"/>
      <c r="AB133" s="20" t="str">
        <f>"－"</f>
        <v>－</v>
      </c>
      <c r="AC133" s="21" t="str">
        <f>"－"</f>
        <v>－</v>
      </c>
    </row>
    <row r="134">
      <c r="A134" s="13" t="s">
        <v>46</v>
      </c>
      <c r="B134" s="14" t="s">
        <v>490</v>
      </c>
      <c r="C134" s="14" t="s">
        <v>491</v>
      </c>
      <c r="D134" s="22"/>
      <c r="E134" s="14" t="s">
        <v>72</v>
      </c>
      <c r="F134" s="15" t="s">
        <v>167</v>
      </c>
      <c r="G134" s="15" t="s">
        <v>74</v>
      </c>
      <c r="H134" s="16"/>
      <c r="I134" s="17" t="s">
        <v>121</v>
      </c>
      <c r="J134" s="16"/>
      <c r="K134" s="17" t="s">
        <v>121</v>
      </c>
      <c r="L134" s="16"/>
      <c r="M134" s="17"/>
      <c r="N134" s="16"/>
      <c r="O134" s="17" t="s">
        <v>121</v>
      </c>
      <c r="P134" s="16"/>
      <c r="Q134" s="17"/>
      <c r="R134" s="16"/>
      <c r="S134" s="17" t="s">
        <v>121</v>
      </c>
      <c r="T134" s="18" t="n">
        <f>1787.32</f>
        <v>1787.32</v>
      </c>
      <c r="U134" s="19" t="str">
        <f>"－"</f>
        <v>－</v>
      </c>
      <c r="V134" s="19"/>
      <c r="W134" s="23"/>
      <c r="X134" s="19" t="str">
        <f>"－"</f>
        <v>－</v>
      </c>
      <c r="Y134" s="19"/>
      <c r="Z134" s="23"/>
      <c r="AA134" s="16"/>
      <c r="AB134" s="20" t="str">
        <f>"－"</f>
        <v>－</v>
      </c>
      <c r="AC134" s="21" t="str">
        <f>"－"</f>
        <v>－</v>
      </c>
    </row>
    <row r="135">
      <c r="A135" s="13" t="s">
        <v>46</v>
      </c>
      <c r="B135" s="14" t="s">
        <v>490</v>
      </c>
      <c r="C135" s="14" t="s">
        <v>491</v>
      </c>
      <c r="D135" s="22"/>
      <c r="E135" s="14" t="s">
        <v>82</v>
      </c>
      <c r="F135" s="15" t="s">
        <v>110</v>
      </c>
      <c r="G135" s="15" t="s">
        <v>83</v>
      </c>
      <c r="H135" s="16"/>
      <c r="I135" s="17" t="s">
        <v>121</v>
      </c>
      <c r="J135" s="16"/>
      <c r="K135" s="17" t="s">
        <v>121</v>
      </c>
      <c r="L135" s="16"/>
      <c r="M135" s="17"/>
      <c r="N135" s="16"/>
      <c r="O135" s="17" t="s">
        <v>121</v>
      </c>
      <c r="P135" s="16"/>
      <c r="Q135" s="17"/>
      <c r="R135" s="16"/>
      <c r="S135" s="17" t="s">
        <v>121</v>
      </c>
      <c r="T135" s="18" t="n">
        <f>1775.45</f>
        <v>1775.45</v>
      </c>
      <c r="U135" s="19" t="str">
        <f>"－"</f>
        <v>－</v>
      </c>
      <c r="V135" s="19"/>
      <c r="W135" s="23"/>
      <c r="X135" s="19" t="str">
        <f>"－"</f>
        <v>－</v>
      </c>
      <c r="Y135" s="19"/>
      <c r="Z135" s="23"/>
      <c r="AA135" s="16"/>
      <c r="AB135" s="20" t="str">
        <f>"－"</f>
        <v>－</v>
      </c>
      <c r="AC135" s="21" t="str">
        <f>"－"</f>
        <v>－</v>
      </c>
    </row>
    <row r="136">
      <c r="A136" s="13" t="s">
        <v>46</v>
      </c>
      <c r="B136" s="14" t="s">
        <v>492</v>
      </c>
      <c r="C136" s="14" t="s">
        <v>493</v>
      </c>
      <c r="D136" s="22"/>
      <c r="E136" s="14" t="s">
        <v>46</v>
      </c>
      <c r="F136" s="15" t="s">
        <v>164</v>
      </c>
      <c r="G136" s="15" t="s">
        <v>50</v>
      </c>
      <c r="H136" s="16"/>
      <c r="I136" s="17" t="s">
        <v>121</v>
      </c>
      <c r="J136" s="16"/>
      <c r="K136" s="17" t="s">
        <v>121</v>
      </c>
      <c r="L136" s="16"/>
      <c r="M136" s="17"/>
      <c r="N136" s="16"/>
      <c r="O136" s="17" t="s">
        <v>121</v>
      </c>
      <c r="P136" s="16"/>
      <c r="Q136" s="17"/>
      <c r="R136" s="16"/>
      <c r="S136" s="17" t="s">
        <v>121</v>
      </c>
      <c r="T136" s="18" t="n">
        <f>36827.78</f>
        <v>36827.78</v>
      </c>
      <c r="U136" s="19" t="str">
        <f>"－"</f>
        <v>－</v>
      </c>
      <c r="V136" s="19"/>
      <c r="W136" s="23"/>
      <c r="X136" s="19" t="str">
        <f>"－"</f>
        <v>－</v>
      </c>
      <c r="Y136" s="19"/>
      <c r="Z136" s="23"/>
      <c r="AA136" s="16" t="s">
        <v>60</v>
      </c>
      <c r="AB136" s="20" t="str">
        <f>"－"</f>
        <v>－</v>
      </c>
      <c r="AC136" s="21" t="str">
        <f>"－"</f>
        <v>－</v>
      </c>
    </row>
    <row r="137">
      <c r="A137" s="13" t="s">
        <v>46</v>
      </c>
      <c r="B137" s="14" t="s">
        <v>492</v>
      </c>
      <c r="C137" s="14" t="s">
        <v>493</v>
      </c>
      <c r="D137" s="22"/>
      <c r="E137" s="14" t="s">
        <v>61</v>
      </c>
      <c r="F137" s="15" t="s">
        <v>91</v>
      </c>
      <c r="G137" s="15" t="s">
        <v>63</v>
      </c>
      <c r="H137" s="16"/>
      <c r="I137" s="17" t="s">
        <v>121</v>
      </c>
      <c r="J137" s="16"/>
      <c r="K137" s="17" t="s">
        <v>121</v>
      </c>
      <c r="L137" s="16"/>
      <c r="M137" s="17"/>
      <c r="N137" s="16"/>
      <c r="O137" s="17" t="s">
        <v>121</v>
      </c>
      <c r="P137" s="16"/>
      <c r="Q137" s="17"/>
      <c r="R137" s="16"/>
      <c r="S137" s="17" t="s">
        <v>121</v>
      </c>
      <c r="T137" s="18" t="n">
        <f>36952.63</f>
        <v>36952.63</v>
      </c>
      <c r="U137" s="19" t="str">
        <f>"－"</f>
        <v>－</v>
      </c>
      <c r="V137" s="19"/>
      <c r="W137" s="23"/>
      <c r="X137" s="19" t="str">
        <f>"－"</f>
        <v>－</v>
      </c>
      <c r="Y137" s="19"/>
      <c r="Z137" s="23"/>
      <c r="AA137" s="16"/>
      <c r="AB137" s="20" t="str">
        <f>"－"</f>
        <v>－</v>
      </c>
      <c r="AC137" s="21" t="str">
        <f>"－"</f>
        <v>－</v>
      </c>
    </row>
    <row r="138">
      <c r="A138" s="13" t="s">
        <v>46</v>
      </c>
      <c r="B138" s="14" t="s">
        <v>492</v>
      </c>
      <c r="C138" s="14" t="s">
        <v>493</v>
      </c>
      <c r="D138" s="22"/>
      <c r="E138" s="14" t="s">
        <v>72</v>
      </c>
      <c r="F138" s="15" t="s">
        <v>167</v>
      </c>
      <c r="G138" s="15" t="s">
        <v>74</v>
      </c>
      <c r="H138" s="16"/>
      <c r="I138" s="17" t="s">
        <v>121</v>
      </c>
      <c r="J138" s="16"/>
      <c r="K138" s="17" t="s">
        <v>121</v>
      </c>
      <c r="L138" s="16"/>
      <c r="M138" s="17"/>
      <c r="N138" s="16"/>
      <c r="O138" s="17" t="s">
        <v>121</v>
      </c>
      <c r="P138" s="16"/>
      <c r="Q138" s="17"/>
      <c r="R138" s="16"/>
      <c r="S138" s="17" t="s">
        <v>121</v>
      </c>
      <c r="T138" s="18" t="n">
        <f>36922.63</f>
        <v>36922.63</v>
      </c>
      <c r="U138" s="19" t="str">
        <f>"－"</f>
        <v>－</v>
      </c>
      <c r="V138" s="19"/>
      <c r="W138" s="23"/>
      <c r="X138" s="19" t="str">
        <f>"－"</f>
        <v>－</v>
      </c>
      <c r="Y138" s="19"/>
      <c r="Z138" s="23"/>
      <c r="AA138" s="16"/>
      <c r="AB138" s="20" t="str">
        <f>"－"</f>
        <v>－</v>
      </c>
      <c r="AC138" s="21" t="str">
        <f>"－"</f>
        <v>－</v>
      </c>
    </row>
    <row r="139">
      <c r="A139" s="13" t="s">
        <v>46</v>
      </c>
      <c r="B139" s="14" t="s">
        <v>492</v>
      </c>
      <c r="C139" s="14" t="s">
        <v>493</v>
      </c>
      <c r="D139" s="22"/>
      <c r="E139" s="14" t="s">
        <v>82</v>
      </c>
      <c r="F139" s="15" t="s">
        <v>110</v>
      </c>
      <c r="G139" s="15" t="s">
        <v>83</v>
      </c>
      <c r="H139" s="16"/>
      <c r="I139" s="17" t="s">
        <v>121</v>
      </c>
      <c r="J139" s="16"/>
      <c r="K139" s="17" t="s">
        <v>121</v>
      </c>
      <c r="L139" s="16"/>
      <c r="M139" s="17"/>
      <c r="N139" s="16"/>
      <c r="O139" s="17" t="s">
        <v>121</v>
      </c>
      <c r="P139" s="16"/>
      <c r="Q139" s="17"/>
      <c r="R139" s="16"/>
      <c r="S139" s="17" t="s">
        <v>121</v>
      </c>
      <c r="T139" s="18" t="n">
        <f>37017</f>
        <v>37017.0</v>
      </c>
      <c r="U139" s="19" t="str">
        <f>"－"</f>
        <v>－</v>
      </c>
      <c r="V139" s="19"/>
      <c r="W139" s="23"/>
      <c r="X139" s="19" t="str">
        <f>"－"</f>
        <v>－</v>
      </c>
      <c r="Y139" s="19"/>
      <c r="Z139" s="23"/>
      <c r="AA139" s="16"/>
      <c r="AB139" s="20" t="str">
        <f>"－"</f>
        <v>－</v>
      </c>
      <c r="AC139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6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