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revIDLastSave="0" documentId="13_ncr:1_{7CC55A63-2C9B-418F-94EE-FD33B83DA6C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BO_DM0000" sheetId="8" r:id="rId1"/>
  </sheets>
  <definedNames>
    <definedName name="_xlnm.Print_Titles" localSheetId="0">BO_DM0000!$1:$6</definedName>
  </definedNames>
  <calcPr calcId="191029"/>
</workbook>
</file>

<file path=xl/sharedStrings.xml><?xml version="1.0" encoding="utf-8"?>
<sst xmlns="http://schemas.openxmlformats.org/spreadsheetml/2006/main" count="1638" uniqueCount="451">
  <si>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</si>
  <si>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</si>
  <si>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</si>
  <si>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</si>
  <si>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</si>
  <si>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</si>
  <si>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</si>
  <si>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</si>
  <si>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sb="0" eb="2">
      <t>トリヒキ</t>
    </rPh>
    <rPh sb="2" eb="4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</si>
  <si>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</si>
  <si>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</si>
  <si>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</si>
  <si>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</si>
  <si>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</si>
  <si>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</si>
  <si>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</si>
  <si>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</si>
  <si>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sb="0" eb="2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</si>
  <si>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</si>
  <si>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</si>
  <si>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</si>
  <si>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</si>
  <si>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</si>
  <si>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</si>
  <si>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</si>
  <si>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</si>
  <si>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</si>
  <si>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</si>
  <si>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</si>
  <si>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sb="4" eb="6">
      <t>スウチ</t>
    </rPh>
    <phoneticPr fontId="6"/>
  </si>
  <si>
    <t>Average
Settlement
Price(￥/point)</t>
    <phoneticPr fontId="6"/>
  </si>
  <si>
    <t>日</t>
    <rPh sb="0" eb="1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</si>
  <si>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</si>
  <si>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</si>
  <si>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</si>
  <si>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</si>
  <si>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sb="0" eb="2">
      <t>ショウヒン</t>
    </rPh>
    <rPh sb="2" eb="3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</si>
  <si>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</si>
  <si>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</si>
  <si>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</si>
  <si>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</si>
  <si>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</si>
  <si>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</si>
  <si>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</si>
  <si>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</si>
  <si>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</si>
  <si>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2025/07</t>
  </si>
  <si>
    <t>日経225先物</t>
  </si>
  <si>
    <t>Nikkei 225 Futures</t>
  </si>
  <si>
    <t>2025/09</t>
  </si>
  <si>
    <t>2024/03/08</t>
  </si>
  <si>
    <t>2025/09/11</t>
  </si>
  <si>
    <t>01</t>
  </si>
  <si>
    <t>40,470</t>
  </si>
  <si>
    <t>24</t>
  </si>
  <si>
    <t>42,080</t>
  </si>
  <si>
    <t>42,079.9000</t>
  </si>
  <si>
    <t>17</t>
  </si>
  <si>
    <t>39,130</t>
  </si>
  <si>
    <t>04</t>
  </si>
  <si>
    <t>38,000.0000</t>
  </si>
  <si>
    <t>31</t>
  </si>
  <si>
    <t>41,200</t>
  </si>
  <si>
    <t>2025/12</t>
  </si>
  <si>
    <t>2018/07/17</t>
  </si>
  <si>
    <t>2025/12/11</t>
  </si>
  <si>
    <t>40,120</t>
  </si>
  <si>
    <t>41,830</t>
  </si>
  <si>
    <t>41,818.0000</t>
  </si>
  <si>
    <t>38,980</t>
  </si>
  <si>
    <t>09</t>
  </si>
  <si>
    <t>38,500.0000</t>
  </si>
  <si>
    <t>40,950</t>
  </si>
  <si>
    <t>2026/03</t>
  </si>
  <si>
    <t>2024/09/13</t>
  </si>
  <si>
    <t>2026/03/12</t>
  </si>
  <si>
    <t>39,960</t>
  </si>
  <si>
    <t>41,770</t>
  </si>
  <si>
    <t>28</t>
  </si>
  <si>
    <t>40,925.0000</t>
  </si>
  <si>
    <t>14</t>
  </si>
  <si>
    <t>39,050</t>
  </si>
  <si>
    <t>39,498.0000</t>
  </si>
  <si>
    <t>30</t>
  </si>
  <si>
    <t>40,410</t>
  </si>
  <si>
    <t>2026/06</t>
  </si>
  <si>
    <t>2026/06/11</t>
  </si>
  <si>
    <t>39,680</t>
  </si>
  <si>
    <t>25</t>
  </si>
  <si>
    <t>41,060</t>
  </si>
  <si>
    <t>40,855.0000</t>
  </si>
  <si>
    <t>38,800</t>
  </si>
  <si>
    <t>02</t>
  </si>
  <si>
    <t>39,100.0000</t>
  </si>
  <si>
    <t>2026/09</t>
  </si>
  <si>
    <t>2025/03/14</t>
  </si>
  <si>
    <t>2026/09/10</t>
  </si>
  <si>
    <t>18</t>
  </si>
  <si>
    <t>39,400</t>
  </si>
  <si>
    <t>23</t>
  </si>
  <si>
    <t>40,500</t>
  </si>
  <si>
    <t>39,300</t>
  </si>
  <si>
    <t>29</t>
  </si>
  <si>
    <t>40,400</t>
  </si>
  <si>
    <t>2026/12</t>
  </si>
  <si>
    <t>2018/12/14</t>
  </si>
  <si>
    <t>2026/12/10</t>
  </si>
  <si>
    <t>03</t>
  </si>
  <si>
    <t>38,970</t>
  </si>
  <si>
    <t>41,370</t>
  </si>
  <si>
    <t>41,260.0000</t>
  </si>
  <si>
    <t>38,880</t>
  </si>
  <si>
    <t>38,800.0000</t>
  </si>
  <si>
    <t>40,050</t>
  </si>
  <si>
    <t>2027/06</t>
  </si>
  <si>
    <t>2019/06/14</t>
  </si>
  <si>
    <t>2027/06/10</t>
  </si>
  <si>
    <t>15</t>
  </si>
  <si>
    <t>38,550</t>
  </si>
  <si>
    <t>39,830</t>
  </si>
  <si>
    <t>2027/12</t>
  </si>
  <si>
    <t>2019/12/13</t>
  </si>
  <si>
    <t>2027/12/09</t>
  </si>
  <si>
    <t>38,500</t>
  </si>
  <si>
    <t>22</t>
  </si>
  <si>
    <t>38,950</t>
  </si>
  <si>
    <t>40,928.0000</t>
  </si>
  <si>
    <t>38,780.0000</t>
  </si>
  <si>
    <t>2028/06</t>
  </si>
  <si>
    <t>2020/06/12</t>
  </si>
  <si>
    <t>2028/06/08</t>
  </si>
  <si>
    <t>－</t>
  </si>
  <si>
    <t>2028/12</t>
  </si>
  <si>
    <t>2020/12/11</t>
  </si>
  <si>
    <t>2028/12/07</t>
  </si>
  <si>
    <t>2029/06</t>
  </si>
  <si>
    <t>2021/06/11</t>
  </si>
  <si>
    <t>2029/06/07</t>
  </si>
  <si>
    <t>38,240</t>
  </si>
  <si>
    <t>2029/12</t>
  </si>
  <si>
    <t>2021/12/10</t>
  </si>
  <si>
    <t>2029/12/13</t>
  </si>
  <si>
    <t>38,230.0000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</si>
  <si>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</si>
  <si>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</si>
  <si>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</si>
  <si>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</si>
  <si>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</si>
  <si>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</si>
  <si>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</si>
  <si>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</si>
  <si>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</si>
  <si>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</si>
  <si>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</si>
  <si>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</si>
  <si>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</si>
  <si>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</si>
  <si>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</si>
  <si>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2032/12</t>
  </si>
  <si>
    <t>2024/12/13</t>
  </si>
  <si>
    <t>2032/12/09</t>
  </si>
  <si>
    <t>2033/06</t>
  </si>
  <si>
    <t>2025/06/13</t>
  </si>
  <si>
    <t>2033/06/09</t>
  </si>
  <si>
    <t>日経225mini</t>
  </si>
  <si>
    <t>Nikkei 225 mini</t>
  </si>
  <si>
    <t>2025/02/14</t>
  </si>
  <si>
    <t>2025/07/10</t>
  </si>
  <si>
    <t>40,439.8000</t>
  </si>
  <si>
    <t>08</t>
  </si>
  <si>
    <t>39,340</t>
  </si>
  <si>
    <t>39,335.0000</t>
  </si>
  <si>
    <t>10</t>
  </si>
  <si>
    <t>39,650</t>
  </si>
  <si>
    <t>*</t>
  </si>
  <si>
    <t>2025/08</t>
  </si>
  <si>
    <t>2025/04/11</t>
  </si>
  <si>
    <t>2025/08/07</t>
  </si>
  <si>
    <t>40,425</t>
  </si>
  <si>
    <t>42,080.0000</t>
  </si>
  <si>
    <t>39,140</t>
  </si>
  <si>
    <t>39,145.2000</t>
  </si>
  <si>
    <t>40,460</t>
  </si>
  <si>
    <t>39,130.1000</t>
  </si>
  <si>
    <t>2025/10</t>
  </si>
  <si>
    <t>2025/05/09</t>
  </si>
  <si>
    <t>2025/10/09</t>
  </si>
  <si>
    <t>40,245</t>
  </si>
  <si>
    <t>41,730</t>
  </si>
  <si>
    <t>41,780.0000</t>
  </si>
  <si>
    <t>38,935</t>
  </si>
  <si>
    <t>38,910.0000</t>
  </si>
  <si>
    <t>40,900</t>
  </si>
  <si>
    <t>2025/11</t>
  </si>
  <si>
    <t>2025/07/11</t>
  </si>
  <si>
    <t>2025/11/13</t>
  </si>
  <si>
    <t>11</t>
  </si>
  <si>
    <t>41,810</t>
  </si>
  <si>
    <t>41,189.7000</t>
  </si>
  <si>
    <t>39,030</t>
  </si>
  <si>
    <t>40,860</t>
  </si>
  <si>
    <t>40,235</t>
  </si>
  <si>
    <t>41,845</t>
  </si>
  <si>
    <t>41,834.9000</t>
  </si>
  <si>
    <t>38,895</t>
  </si>
  <si>
    <t>38,925.1000</t>
  </si>
  <si>
    <t>40,965</t>
  </si>
  <si>
    <t>40,215</t>
  </si>
  <si>
    <t>41,835</t>
  </si>
  <si>
    <t>41,794.9000</t>
  </si>
  <si>
    <t>38,885</t>
  </si>
  <si>
    <t>39,079.9000</t>
  </si>
  <si>
    <t>40,970</t>
  </si>
  <si>
    <t>40,010</t>
  </si>
  <si>
    <t>41,585</t>
  </si>
  <si>
    <t>38,650</t>
  </si>
  <si>
    <t>40,630</t>
  </si>
  <si>
    <t>39,920</t>
  </si>
  <si>
    <t>41,600</t>
  </si>
  <si>
    <t>38,830</t>
  </si>
  <si>
    <t>40,650</t>
  </si>
  <si>
    <t>41,400</t>
  </si>
  <si>
    <t>38,450</t>
  </si>
  <si>
    <t>40,480</t>
  </si>
  <si>
    <t>38,855</t>
  </si>
  <si>
    <t>41,100</t>
  </si>
  <si>
    <t>38,440</t>
  </si>
  <si>
    <t>39,980</t>
  </si>
  <si>
    <t>39,100</t>
  </si>
  <si>
    <t>41,000</t>
  </si>
  <si>
    <t>38,100</t>
  </si>
  <si>
    <t>40,170</t>
  </si>
  <si>
    <t>38,685</t>
  </si>
  <si>
    <t>40,600</t>
  </si>
  <si>
    <t>38,300</t>
  </si>
  <si>
    <t>39,245</t>
  </si>
  <si>
    <t>40,635</t>
  </si>
  <si>
    <t>38,000</t>
  </si>
  <si>
    <t>39,825</t>
  </si>
  <si>
    <t>38,610</t>
  </si>
  <si>
    <t>38,020</t>
  </si>
  <si>
    <t>39,550</t>
  </si>
  <si>
    <t>38,870</t>
  </si>
  <si>
    <t>40,440</t>
  </si>
  <si>
    <t>37,890</t>
  </si>
  <si>
    <t>39,705</t>
  </si>
  <si>
    <t>38,395</t>
  </si>
  <si>
    <t>40,035</t>
  </si>
  <si>
    <t>37,780</t>
  </si>
  <si>
    <t>38,805</t>
  </si>
  <si>
    <t>日経225マイクロ先物</t>
  </si>
  <si>
    <t>Nikkei 225 Micro Futures</t>
  </si>
  <si>
    <t>39,210</t>
  </si>
  <si>
    <t>39,660</t>
  </si>
  <si>
    <t>40,355</t>
  </si>
  <si>
    <t>42,085</t>
  </si>
  <si>
    <t>39,135</t>
  </si>
  <si>
    <t>40,475</t>
  </si>
  <si>
    <t>41,195</t>
  </si>
  <si>
    <t>39,625</t>
  </si>
  <si>
    <t>41,760</t>
  </si>
  <si>
    <t>38,900</t>
  </si>
  <si>
    <t>40,205</t>
  </si>
  <si>
    <t>40,975</t>
  </si>
  <si>
    <t>TOPIX先物</t>
  </si>
  <si>
    <t>TOPIX Futures</t>
  </si>
  <si>
    <t>2,854.0</t>
  </si>
  <si>
    <t>2,988.5</t>
  </si>
  <si>
    <t>2,987.0500</t>
  </si>
  <si>
    <t>2,788.5</t>
  </si>
  <si>
    <t>2,800.9000</t>
  </si>
  <si>
    <t>2,949.0</t>
  </si>
  <si>
    <t>2,805.0</t>
  </si>
  <si>
    <t>2,955.5</t>
  </si>
  <si>
    <t>2,935.1000</t>
  </si>
  <si>
    <t>2,777.0</t>
  </si>
  <si>
    <t>2,811.3000</t>
  </si>
  <si>
    <t>2,920.0</t>
  </si>
  <si>
    <t>2,778.0000</t>
  </si>
  <si>
    <t>2025/05/26</t>
  </si>
  <si>
    <t>2,800.0000</t>
  </si>
  <si>
    <t>2,750.0000</t>
  </si>
  <si>
    <t>16</t>
  </si>
  <si>
    <t>2,695.0000</t>
  </si>
  <si>
    <t>ミニTOPIX先物</t>
  </si>
  <si>
    <t>mini-TOPIX Futures</t>
  </si>
  <si>
    <t>2,852.75</t>
  </si>
  <si>
    <t>2,988.50</t>
  </si>
  <si>
    <t>2,988.2000</t>
  </si>
  <si>
    <t>2,788.50</t>
  </si>
  <si>
    <t>2,788.2500</t>
  </si>
  <si>
    <t>2,949.00</t>
  </si>
  <si>
    <t>2,800.00</t>
  </si>
  <si>
    <t>2,961.50</t>
  </si>
  <si>
    <t>2,913.5500</t>
  </si>
  <si>
    <t>2,807.0500</t>
  </si>
  <si>
    <t>2,911.25</t>
  </si>
  <si>
    <t>JPXプライム150指数先物</t>
  </si>
  <si>
    <t>JPX Prime 150 Index Futures</t>
  </si>
  <si>
    <t>JPX日経インデックス400先物</t>
  </si>
  <si>
    <t>JPX-Nikkei Index 400 Futures</t>
  </si>
  <si>
    <t>25,890</t>
  </si>
  <si>
    <t>26,930</t>
  </si>
  <si>
    <t>26,915.0000</t>
  </si>
  <si>
    <t>25,210</t>
  </si>
  <si>
    <t>25,239.9000</t>
  </si>
  <si>
    <t>26,570</t>
  </si>
  <si>
    <t>TOPIX Core30先物</t>
  </si>
  <si>
    <t>TOPIX Core30 Futures</t>
  </si>
  <si>
    <t>東証銀行業株価指数先物</t>
  </si>
  <si>
    <t>TOPIX Banks Index Futures</t>
  </si>
  <si>
    <t>384.1</t>
  </si>
  <si>
    <t>411.2</t>
  </si>
  <si>
    <t>425.5260</t>
  </si>
  <si>
    <t>381.9600</t>
  </si>
  <si>
    <t>410.4</t>
  </si>
  <si>
    <t>東証REIT指数先物</t>
  </si>
  <si>
    <t>TSE REIT Index Futures</t>
  </si>
  <si>
    <t>1,755.5</t>
  </si>
  <si>
    <t>1,854.5</t>
  </si>
  <si>
    <t>1,853.0000</t>
  </si>
  <si>
    <t>1,755.3000</t>
  </si>
  <si>
    <t>1,845.0</t>
  </si>
  <si>
    <t>RNプライム指数先物</t>
  </si>
  <si>
    <t>RN Prime Index Futures</t>
  </si>
  <si>
    <t>東証グロース市場250指数先物</t>
  </si>
  <si>
    <t>TSE Growth Market 250 Index Futures</t>
  </si>
  <si>
    <t>743.0</t>
  </si>
  <si>
    <t>761.0</t>
  </si>
  <si>
    <t>764.1400</t>
  </si>
  <si>
    <t>07</t>
  </si>
  <si>
    <t>698.0</t>
  </si>
  <si>
    <t>699.0000</t>
  </si>
  <si>
    <t>755.0</t>
  </si>
  <si>
    <t>732.0</t>
  </si>
  <si>
    <t>750.0</t>
  </si>
  <si>
    <t>748.9000</t>
  </si>
  <si>
    <t>690.0</t>
  </si>
  <si>
    <t>699.9000</t>
  </si>
  <si>
    <t>741.0</t>
  </si>
  <si>
    <t>705.0</t>
  </si>
  <si>
    <t>739.0</t>
  </si>
  <si>
    <t>687.0</t>
  </si>
  <si>
    <t>685.0</t>
  </si>
  <si>
    <t>715.0</t>
  </si>
  <si>
    <t>694.0</t>
  </si>
  <si>
    <t>NYダウ先物</t>
  </si>
  <si>
    <t>DJIA Futures</t>
  </si>
  <si>
    <t>2024/09/24</t>
  </si>
  <si>
    <t>2025/09/19</t>
  </si>
  <si>
    <t>44,357</t>
  </si>
  <si>
    <t>45,288</t>
  </si>
  <si>
    <t>45,254.0000</t>
  </si>
  <si>
    <t>43,969</t>
  </si>
  <si>
    <t>44,024.0000</t>
  </si>
  <si>
    <t>44,752</t>
  </si>
  <si>
    <t>2024/12/23</t>
  </si>
  <si>
    <t>2025/12/19</t>
  </si>
  <si>
    <t>44,675</t>
  </si>
  <si>
    <t>45,448</t>
  </si>
  <si>
    <t>45,445.1000</t>
  </si>
  <si>
    <t>44,325</t>
  </si>
  <si>
    <t>45,228.1000</t>
  </si>
  <si>
    <t>44,701</t>
  </si>
  <si>
    <t>2025/03/24</t>
  </si>
  <si>
    <t>2026/03/19</t>
  </si>
  <si>
    <t>2025/06/23</t>
  </si>
  <si>
    <t>2026/06/18</t>
  </si>
  <si>
    <t>台湾加権指数先物</t>
  </si>
  <si>
    <t>TAIEX Futures</t>
  </si>
  <si>
    <t>2025/05/21</t>
  </si>
  <si>
    <t>2025/07/15</t>
  </si>
  <si>
    <t>2025/06/18</t>
  </si>
  <si>
    <t>2025/08/19</t>
  </si>
  <si>
    <t>2024/10/16</t>
  </si>
  <si>
    <t>2025/09/16</t>
  </si>
  <si>
    <t>2025/01/15</t>
  </si>
  <si>
    <t>2025/12/16</t>
  </si>
  <si>
    <t>2025/04/16</t>
  </si>
  <si>
    <t>2026/03/17</t>
  </si>
  <si>
    <t>2025/07/16</t>
  </si>
  <si>
    <t>2026/06/16</t>
  </si>
  <si>
    <t>FTSE中国50指数先物</t>
  </si>
  <si>
    <t>FTSE China 50 Index Futures</t>
  </si>
  <si>
    <t>2025/05/30</t>
  </si>
  <si>
    <t>2025/07/30</t>
  </si>
  <si>
    <t>2025/06/30</t>
  </si>
  <si>
    <t>2025/08/28</t>
  </si>
  <si>
    <t>2025/01/28</t>
  </si>
  <si>
    <t>2025/09/29</t>
  </si>
  <si>
    <t>2025/04/30</t>
  </si>
  <si>
    <t>2025/12/30</t>
  </si>
  <si>
    <t>2025/07/31</t>
  </si>
  <si>
    <t>2026/03/30</t>
  </si>
  <si>
    <t>日経平均・配当指数先物</t>
  </si>
  <si>
    <t>Nikkei 225 Dividend Index Futures</t>
  </si>
  <si>
    <t>2018/01/04</t>
  </si>
  <si>
    <t>2026/03/31</t>
  </si>
  <si>
    <t>2019/01/04</t>
  </si>
  <si>
    <t>2027/03/31</t>
  </si>
  <si>
    <t>2020/01/06</t>
  </si>
  <si>
    <t>2028/03/31</t>
  </si>
  <si>
    <t>847.0000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</si>
  <si>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</si>
  <si>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</si>
  <si>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</si>
  <si>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</si>
  <si>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</si>
  <si>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</si>
  <si>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</si>
  <si>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</si>
  <si>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2025/01/06</t>
  </si>
  <si>
    <t>2033/03/31</t>
  </si>
  <si>
    <t>日経平均VI先物</t>
  </si>
  <si>
    <t>Nikkei 225 VI Futures</t>
  </si>
  <si>
    <t>2024/11/13</t>
  </si>
  <si>
    <t>2025/07/08</t>
  </si>
  <si>
    <t>25.65</t>
  </si>
  <si>
    <t>26.70</t>
  </si>
  <si>
    <t>24.70</t>
  </si>
  <si>
    <t>2024/12/11</t>
  </si>
  <si>
    <t>2025/08/12</t>
  </si>
  <si>
    <t>24.15</t>
  </si>
  <si>
    <t>25.20</t>
  </si>
  <si>
    <t>22.00</t>
  </si>
  <si>
    <t>22.95</t>
  </si>
  <si>
    <t>2025/09/09</t>
  </si>
  <si>
    <t>23.00</t>
  </si>
  <si>
    <t>23.70</t>
  </si>
  <si>
    <t>22.05</t>
  </si>
  <si>
    <t>23.55</t>
  </si>
  <si>
    <t>2025/02/12</t>
  </si>
  <si>
    <t>2025/10/14</t>
  </si>
  <si>
    <t>2025/03/12</t>
  </si>
  <si>
    <t>2025/11/11</t>
  </si>
  <si>
    <t>2025/04/09</t>
  </si>
  <si>
    <t>2025/12/09</t>
  </si>
  <si>
    <t>2026/01</t>
  </si>
  <si>
    <t>2025/05/14</t>
  </si>
  <si>
    <t>2026/01/13</t>
  </si>
  <si>
    <t>2026/02</t>
  </si>
  <si>
    <t>2025/06/11</t>
  </si>
  <si>
    <t>2026/02/09</t>
  </si>
  <si>
    <t>2025/07/09</t>
  </si>
  <si>
    <t>2026/03/10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</si>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</sst>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0" fontId="95" fillId="0" borderId="0" xfId="1946" applyFont="1">
      <alignment vertical="center"/>
    </xf>
    <xf numFmtId="0" fontId="19" fillId="0" borderId="0" xfId="1946" applyFont="1">
      <alignment vertical="center"/>
    </xf>
    <xf numFmtId="0" fontId="19" fillId="0" borderId="9" xfId="1946" applyFont="1" applyFill="1" applyBorder="1">
      <alignment vertical="center"/>
    </xf>
    <xf numFmtId="0" fontId="95" fillId="0" borderId="0" xfId="1946" applyFont="1" applyFill="1">
      <alignment vertical="center"/>
    </xf>
    <xf numFmtId="0" fontId="19" fillId="0" borderId="20" xfId="1946" applyFont="1" applyFill="1" applyBorder="1">
      <alignment vertical="center"/>
    </xf>
    <xf numFmtId="0" fontId="19" fillId="0" borderId="8" xfId="1946" applyFont="1" applyFill="1" applyBorder="1">
      <alignment vertical="center"/>
    </xf>
    <xf numFmtId="0" fontId="7" fillId="0" borderId="39" xfId="1946" applyNumberFormat="1" applyFont="1" applyFill="1" applyBorder="1" applyAlignment="1">
      <alignment horizontal="center" vertical="center" wrapText="1"/>
    </xf>
    <xf numFmtId="0" fontId="7" fillId="0" borderId="44" xfId="1946" applyNumberFormat="1" applyFont="1" applyFill="1" applyBorder="1" applyAlignment="1">
      <alignment horizontal="center"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23" xfId="1946" applyNumberFormat="1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  <xf numFmtId="49" fontId="7" fillId="0" borderId="36" xfId="1946" applyNumberFormat="1" applyFont="1" applyFill="1" applyBorder="1" applyAlignment="1">
      <alignment vertical="center"/>
    </xf>
    <xf numFmtId="49" fontId="7" fillId="0" borderId="21" xfId="1946" applyNumberFormat="1" applyFont="1" applyFill="1" applyBorder="1" applyAlignment="1">
      <alignment vertical="center"/>
    </xf>
    <xf numFmtId="49" fontId="7" fillId="0" borderId="22" xfId="1946" applyNumberFormat="1" applyFont="1" applyFill="1" applyBorder="1" applyAlignment="1">
      <alignment vertical="center"/>
    </xf>
    <xf numFmtId="49" fontId="7" fillId="0" borderId="22" xfId="1946" applyNumberFormat="1" applyFont="1" applyFill="1" applyBorder="1" applyAlignment="1">
      <alignment horizontal="right" vertical="center"/>
    </xf>
    <xf numFmtId="49" fontId="7" fillId="0" borderId="23" xfId="1946" applyNumberFormat="1" applyFont="1" applyFill="1" applyBorder="1" applyAlignment="1">
      <alignment horizontal="right" vertical="center"/>
    </xf>
    <xf numFmtId="4" fontId="7" fillId="0" borderId="21" xfId="1946" applyNumberFormat="1" applyFont="1" applyFill="1" applyBorder="1" applyAlignment="1">
      <alignment horizontal="right" vertical="center"/>
    </xf>
    <xf numFmtId="3" fontId="7" fillId="0" borderId="21" xfId="1946" applyNumberFormat="1" applyFont="1" applyFill="1" applyBorder="1" applyAlignment="1">
      <alignment horizontal="right" vertical="center"/>
    </xf>
    <xf numFmtId="3" fontId="7" fillId="0" borderId="23" xfId="1946" applyNumberFormat="1" applyFont="1" applyFill="1" applyBorder="1" applyAlignment="1">
      <alignment horizontal="right" vertical="center"/>
    </xf>
    <xf numFmtId="189" fontId="7" fillId="0" borderId="37" xfId="1946" applyNumberFormat="1" applyFont="1" applyFill="1" applyBorder="1" applyAlignment="1">
      <alignment horizontal="right" vertical="center"/>
    </xf>
    <xf numFmtId="49" fontId="7" fillId="0" borderId="21" xfId="1946" applyNumberFormat="1" applyFont="1" applyBorder="1">
      <alignment vertical="center"/>
    </xf>
    <xf numFmtId="3" fontId="7" fillId="0" borderId="21" xfId="1946" applyNumberFormat="1" applyFont="1" applyBorder="1" applyAlignment="1">
      <alignment horizontal="right" vertical="center"/>
    </xf>
    <xf numFmtId="0" fontId="94" fillId="0" borderId="9" xfId="1946" applyFont="1" applyFill="1" applyBorder="1" applyAlignment="1">
      <alignment vertical="center" wrapText="1"/>
    </xf>
    <xf numFmtId="0" fontId="94" fillId="0" borderId="6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top" wrapText="1"/>
    </xf>
    <xf numFmtId="0" fontId="7" fillId="0" borderId="9" xfId="1946" applyNumberFormat="1" applyFont="1" applyFill="1" applyBorder="1" applyAlignment="1">
      <alignment horizontal="center" vertical="top" wrapText="1"/>
    </xf>
    <xf numFmtId="0" fontId="7" fillId="0" borderId="33" xfId="1946" applyNumberFormat="1" applyFont="1" applyFill="1" applyBorder="1" applyAlignment="1">
      <alignment horizontal="center" vertical="top" wrapText="1"/>
    </xf>
    <xf numFmtId="0" fontId="93" fillId="0" borderId="7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0" fontId="93" fillId="0" borderId="5" xfId="1946" applyFont="1" applyFill="1" applyBorder="1" applyAlignment="1">
      <alignment vertical="center" wrapText="1"/>
    </xf>
    <xf numFmtId="0" fontId="93" fillId="0" borderId="9" xfId="1946" applyFont="1" applyFill="1" applyBorder="1" applyAlignment="1">
      <alignment vertical="center" wrapText="1"/>
    </xf>
    <xf numFmtId="0" fontId="7" fillId="0" borderId="34" xfId="1946" applyNumberFormat="1" applyFont="1" applyFill="1" applyBorder="1" applyAlignment="1">
      <alignment horizontal="center"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30" xfId="1946" applyNumberFormat="1" applyFont="1" applyFill="1" applyBorder="1" applyAlignment="1">
      <alignment horizontal="center" vertical="top" wrapText="1"/>
    </xf>
    <xf numFmtId="0" fontId="7" fillId="0" borderId="31" xfId="1946" applyNumberFormat="1" applyFont="1" applyFill="1" applyBorder="1" applyAlignment="1">
      <alignment horizontal="center" vertical="top" wrapText="1"/>
    </xf>
    <xf numFmtId="0" fontId="7" fillId="0" borderId="40" xfId="1946" applyNumberFormat="1" applyFont="1" applyFill="1" applyBorder="1" applyAlignment="1">
      <alignment horizontal="center" vertical="center" wrapText="1"/>
    </xf>
    <xf numFmtId="0" fontId="7" fillId="0" borderId="41" xfId="1946" applyNumberFormat="1" applyFont="1" applyFill="1" applyBorder="1" applyAlignment="1">
      <alignment horizontal="center" vertical="center" wrapText="1"/>
    </xf>
    <xf numFmtId="0" fontId="7" fillId="0" borderId="42" xfId="1946" applyNumberFormat="1" applyFont="1" applyFill="1" applyBorder="1" applyAlignment="1">
      <alignment horizontal="center" vertical="center" wrapText="1"/>
    </xf>
    <xf numFmtId="0" fontId="7" fillId="0" borderId="43" xfId="1946" applyNumberFormat="1" applyFont="1" applyFill="1" applyBorder="1" applyAlignment="1">
      <alignment horizontal="center" vertical="center" wrapText="1"/>
    </xf>
    <xf numFmtId="0" fontId="7" fillId="0" borderId="38" xfId="1946" applyNumberFormat="1" applyFont="1" applyFill="1" applyBorder="1" applyAlignment="1">
      <alignment horizontal="center" vertical="center" wrapText="1"/>
    </xf>
    <xf numFmtId="0" fontId="7" fillId="0" borderId="29" xfId="1946" applyNumberFormat="1" applyFont="1" applyFill="1" applyBorder="1" applyAlignment="1">
      <alignment horizontal="center" vertical="center" wrapText="1"/>
    </xf>
    <xf numFmtId="0" fontId="7" fillId="0" borderId="24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center" wrapText="1"/>
    </xf>
    <xf numFmtId="0" fontId="7" fillId="0" borderId="33" xfId="1946" applyNumberFormat="1" applyFont="1" applyFill="1" applyBorder="1" applyAlignment="1">
      <alignment horizontal="center" vertical="center" wrapText="1"/>
    </xf>
    <xf numFmtId="0" fontId="7" fillId="0" borderId="25" xfId="1946" applyNumberFormat="1" applyFont="1" applyFill="1" applyBorder="1" applyAlignment="1">
      <alignment horizontal="center" vertical="center" wrapText="1"/>
    </xf>
    <xf numFmtId="0" fontId="7" fillId="0" borderId="28" xfId="1946" applyNumberFormat="1" applyFont="1" applyFill="1" applyBorder="1" applyAlignment="1">
      <alignment horizontal="center" vertical="center" wrapText="1"/>
    </xf>
    <xf numFmtId="0" fontId="7" fillId="0" borderId="26" xfId="1946" applyNumberFormat="1" applyFont="1" applyFill="1" applyBorder="1" applyAlignment="1">
      <alignment horizontal="center" vertical="center" wrapText="1"/>
    </xf>
    <xf numFmtId="0" fontId="96" fillId="0" borderId="23" xfId="1946" applyNumberFormat="1" applyFont="1" applyFill="1" applyBorder="1" applyAlignment="1">
      <alignment horizontal="center" vertical="center" wrapText="1"/>
    </xf>
    <xf numFmtId="0" fontId="7" fillId="0" borderId="45" xfId="1946" applyNumberFormat="1" applyFont="1" applyFill="1" applyBorder="1" applyAlignment="1">
      <alignment horizontal="center" vertical="center" wrapText="1"/>
    </xf>
    <xf numFmtId="0" fontId="7" fillId="0" borderId="27" xfId="1946" applyNumberFormat="1" applyFont="1" applyFill="1" applyBorder="1" applyAlignment="1">
      <alignment horizontal="center" vertical="center" wrapText="1"/>
    </xf>
    <xf numFmtId="0" fontId="7" fillId="0" borderId="22" xfId="1946" applyNumberFormat="1" applyFont="1" applyFill="1" applyBorder="1" applyAlignment="1">
      <alignment horizontal="center" vertical="center" wrapText="1"/>
    </xf>
    <xf numFmtId="0" fontId="7" fillId="0" borderId="23" xfId="1946" applyNumberFormat="1" applyFont="1" applyFill="1" applyBorder="1" applyAlignment="1">
      <alignment horizontal="center" vertical="center" wrapText="1"/>
    </xf>
    <xf numFmtId="0" fontId="7" fillId="0" borderId="35" xfId="1946" applyNumberFormat="1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33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r="1" spans="1:29" ht="30" customHeight="1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r="2" spans="1:29" ht="30" customHeight="1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r="3" spans="1:29" s="4" customFormat="1" ht="14.1" customHeight="1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r="4" spans="1:29" s="4" customFormat="1" ht="9" customHeight="1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r="5" spans="1:29" s="4" customFormat="1" ht="27" customHeight="1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r="6" spans="1:29" s="4" customFormat="1" ht="36" customHeight="1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r="7" spans="1:29" s="4" customFormat="1" ht="13.5" customHeight="1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59</v>
      </c>
      <c r="Q7" s="17" t="s">
        <v>60</v>
      </c>
      <c r="R7" s="16" t="s">
        <v>61</v>
      </c>
      <c r="S7" s="17" t="s">
        <v>62</v>
      </c>
      <c r="T7" s="18" t="n">
        <f>40167.27</f>
        <v>40167.27</v>
      </c>
      <c r="U7" s="19" t="n">
        <f>970421</f>
        <v>970421.0</v>
      </c>
      <c r="V7" s="19" t="n">
        <v>216458.0</v>
      </c>
      <c r="W7" s="23" t="n">
        <v>93.0</v>
      </c>
      <c r="X7" s="19" t="n">
        <f>39064157375549</f>
        <v>3.9064157375549E13</v>
      </c>
      <c r="Y7" s="19" t="n">
        <v>8.712415304549E12</v>
      </c>
      <c r="Z7" s="23" t="n">
        <v>3.762981E9</v>
      </c>
      <c r="AA7" s="16"/>
      <c r="AB7" s="20" t="n">
        <f>146844</f>
        <v>146844.0</v>
      </c>
      <c r="AC7" s="21" t="n">
        <f>22</f>
        <v>22.0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63</v>
      </c>
      <c r="F8" s="15" t="s">
        <v>64</v>
      </c>
      <c r="G8" s="15" t="s">
        <v>65</v>
      </c>
      <c r="H8" s="16" t="s">
        <v>52</v>
      </c>
      <c r="I8" s="17" t="s">
        <v>66</v>
      </c>
      <c r="J8" s="16" t="s">
        <v>54</v>
      </c>
      <c r="K8" s="17" t="s">
        <v>67</v>
      </c>
      <c r="L8" s="16" t="s">
        <v>54</v>
      </c>
      <c r="M8" s="17" t="s">
        <v>68</v>
      </c>
      <c r="N8" s="16" t="s">
        <v>57</v>
      </c>
      <c r="O8" s="17" t="s">
        <v>69</v>
      </c>
      <c r="P8" s="16" t="s">
        <v>70</v>
      </c>
      <c r="Q8" s="17" t="s">
        <v>71</v>
      </c>
      <c r="R8" s="16" t="s">
        <v>61</v>
      </c>
      <c r="S8" s="17" t="s">
        <v>72</v>
      </c>
      <c r="T8" s="18" t="n">
        <f>39931.82</f>
        <v>39931.82</v>
      </c>
      <c r="U8" s="19" t="n">
        <f>14141</f>
        <v>14141.0</v>
      </c>
      <c r="V8" s="19" t="n">
        <v>11096.0</v>
      </c>
      <c r="W8" s="23" t="n">
        <v>93.0</v>
      </c>
      <c r="X8" s="19" t="n">
        <f>567569128600</f>
        <v>5.675691286E11</v>
      </c>
      <c r="Y8" s="19" t="n">
        <v>4.453396436E11</v>
      </c>
      <c r="Z8" s="23" t="n">
        <v>3.741025E9</v>
      </c>
      <c r="AA8" s="16"/>
      <c r="AB8" s="20" t="n">
        <f>25833</f>
        <v>25833.0</v>
      </c>
      <c r="AC8" s="21" t="n">
        <f>22</f>
        <v>22.0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73</v>
      </c>
      <c r="F9" s="15" t="s">
        <v>74</v>
      </c>
      <c r="G9" s="15" t="s">
        <v>75</v>
      </c>
      <c r="H9" s="16" t="s">
        <v>52</v>
      </c>
      <c r="I9" s="17" t="s">
        <v>76</v>
      </c>
      <c r="J9" s="16" t="s">
        <v>54</v>
      </c>
      <c r="K9" s="17" t="s">
        <v>77</v>
      </c>
      <c r="L9" s="16" t="s">
        <v>78</v>
      </c>
      <c r="M9" s="17" t="s">
        <v>79</v>
      </c>
      <c r="N9" s="16" t="s">
        <v>80</v>
      </c>
      <c r="O9" s="17" t="s">
        <v>81</v>
      </c>
      <c r="P9" s="16" t="s">
        <v>70</v>
      </c>
      <c r="Q9" s="17" t="s">
        <v>82</v>
      </c>
      <c r="R9" s="16" t="s">
        <v>83</v>
      </c>
      <c r="S9" s="17" t="s">
        <v>84</v>
      </c>
      <c r="T9" s="18" t="n">
        <f>39922.73</f>
        <v>39922.73</v>
      </c>
      <c r="U9" s="19" t="n">
        <f>1899</f>
        <v>1899.0</v>
      </c>
      <c r="V9" s="19" t="n">
        <v>1820.0</v>
      </c>
      <c r="W9" s="23"/>
      <c r="X9" s="19" t="n">
        <f>76006890000</f>
        <v>7.600689E10</v>
      </c>
      <c r="Y9" s="19" t="n">
        <v>7.284185E10</v>
      </c>
      <c r="Z9" s="23"/>
      <c r="AA9" s="16"/>
      <c r="AB9" s="20" t="n">
        <f>6533</f>
        <v>6533.0</v>
      </c>
      <c r="AC9" s="21" t="n">
        <f>18</f>
        <v>18.0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85</v>
      </c>
      <c r="F10" s="15" t="s">
        <v>64</v>
      </c>
      <c r="G10" s="15" t="s">
        <v>86</v>
      </c>
      <c r="H10" s="16" t="s">
        <v>52</v>
      </c>
      <c r="I10" s="17" t="s">
        <v>87</v>
      </c>
      <c r="J10" s="16" t="s">
        <v>88</v>
      </c>
      <c r="K10" s="17" t="s">
        <v>89</v>
      </c>
      <c r="L10" s="16" t="s">
        <v>54</v>
      </c>
      <c r="M10" s="17" t="s">
        <v>90</v>
      </c>
      <c r="N10" s="16" t="s">
        <v>80</v>
      </c>
      <c r="O10" s="17" t="s">
        <v>91</v>
      </c>
      <c r="P10" s="16" t="s">
        <v>92</v>
      </c>
      <c r="Q10" s="17" t="s">
        <v>93</v>
      </c>
      <c r="R10" s="16" t="s">
        <v>88</v>
      </c>
      <c r="S10" s="17" t="s">
        <v>89</v>
      </c>
      <c r="T10" s="18" t="n">
        <f>39672.27</f>
        <v>39672.27</v>
      </c>
      <c r="U10" s="19" t="n">
        <f>1929</f>
        <v>1929.0</v>
      </c>
      <c r="V10" s="19" t="n">
        <v>1902.0</v>
      </c>
      <c r="W10" s="23"/>
      <c r="X10" s="19" t="n">
        <f>77290390000</f>
        <v>7.729039E10</v>
      </c>
      <c r="Y10" s="19" t="n">
        <v>7.621875E10</v>
      </c>
      <c r="Z10" s="23"/>
      <c r="AA10" s="16"/>
      <c r="AB10" s="20" t="n">
        <f>2586</f>
        <v>2586.0</v>
      </c>
      <c r="AC10" s="21" t="n">
        <f>7</f>
        <v>7.0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94</v>
      </c>
      <c r="F11" s="15" t="s">
        <v>95</v>
      </c>
      <c r="G11" s="15" t="s">
        <v>96</v>
      </c>
      <c r="H11" s="16" t="s">
        <v>97</v>
      </c>
      <c r="I11" s="17" t="s">
        <v>98</v>
      </c>
      <c r="J11" s="16" t="s">
        <v>99</v>
      </c>
      <c r="K11" s="17" t="s">
        <v>100</v>
      </c>
      <c r="L11" s="16"/>
      <c r="M11" s="17"/>
      <c r="N11" s="16" t="s">
        <v>97</v>
      </c>
      <c r="O11" s="17" t="s">
        <v>101</v>
      </c>
      <c r="P11" s="16"/>
      <c r="Q11" s="17"/>
      <c r="R11" s="16" t="s">
        <v>102</v>
      </c>
      <c r="S11" s="17" t="s">
        <v>103</v>
      </c>
      <c r="T11" s="18" t="n">
        <f>39702.73</f>
        <v>39702.73</v>
      </c>
      <c r="U11" s="19" t="n">
        <f>8</f>
        <v>8.0</v>
      </c>
      <c r="V11" s="19"/>
      <c r="W11" s="23"/>
      <c r="X11" s="19" t="n">
        <f>319800000</f>
        <v>3.198E8</v>
      </c>
      <c r="Y11" s="19"/>
      <c r="Z11" s="23"/>
      <c r="AA11" s="16"/>
      <c r="AB11" s="20" t="n">
        <f>83</f>
        <v>83.0</v>
      </c>
      <c r="AC11" s="21" t="n">
        <f>5</f>
        <v>5.0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104</v>
      </c>
      <c r="F12" s="15" t="s">
        <v>105</v>
      </c>
      <c r="G12" s="15" t="s">
        <v>106</v>
      </c>
      <c r="H12" s="16" t="s">
        <v>107</v>
      </c>
      <c r="I12" s="17" t="s">
        <v>108</v>
      </c>
      <c r="J12" s="16" t="s">
        <v>54</v>
      </c>
      <c r="K12" s="17" t="s">
        <v>109</v>
      </c>
      <c r="L12" s="16" t="s">
        <v>54</v>
      </c>
      <c r="M12" s="17" t="s">
        <v>110</v>
      </c>
      <c r="N12" s="16" t="s">
        <v>99</v>
      </c>
      <c r="O12" s="17" t="s">
        <v>111</v>
      </c>
      <c r="P12" s="16" t="s">
        <v>80</v>
      </c>
      <c r="Q12" s="17" t="s">
        <v>112</v>
      </c>
      <c r="R12" s="16" t="s">
        <v>102</v>
      </c>
      <c r="S12" s="17" t="s">
        <v>113</v>
      </c>
      <c r="T12" s="18" t="n">
        <f>39493.18</f>
        <v>39493.18</v>
      </c>
      <c r="U12" s="19" t="n">
        <f>3506</f>
        <v>3506.0</v>
      </c>
      <c r="V12" s="19" t="n">
        <v>3485.0</v>
      </c>
      <c r="W12" s="23"/>
      <c r="X12" s="19" t="n">
        <f>138644260000</f>
        <v>1.3864426E11</v>
      </c>
      <c r="Y12" s="19" t="n">
        <v>1.378075E11</v>
      </c>
      <c r="Z12" s="23"/>
      <c r="AA12" s="16"/>
      <c r="AB12" s="20" t="n">
        <f>7451</f>
        <v>7451.0</v>
      </c>
      <c r="AC12" s="21" t="n">
        <f>11</f>
        <v>11.0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114</v>
      </c>
      <c r="F13" s="15" t="s">
        <v>115</v>
      </c>
      <c r="G13" s="15" t="s">
        <v>116</v>
      </c>
      <c r="H13" s="16" t="s">
        <v>117</v>
      </c>
      <c r="I13" s="17" t="s">
        <v>118</v>
      </c>
      <c r="J13" s="16" t="s">
        <v>61</v>
      </c>
      <c r="K13" s="17" t="s">
        <v>119</v>
      </c>
      <c r="L13" s="16"/>
      <c r="M13" s="17"/>
      <c r="N13" s="16" t="s">
        <v>117</v>
      </c>
      <c r="O13" s="17" t="s">
        <v>118</v>
      </c>
      <c r="P13" s="16"/>
      <c r="Q13" s="17"/>
      <c r="R13" s="16" t="s">
        <v>61</v>
      </c>
      <c r="S13" s="17" t="s">
        <v>119</v>
      </c>
      <c r="T13" s="18" t="n">
        <f>39303.18</f>
        <v>39303.18</v>
      </c>
      <c r="U13" s="19" t="n">
        <f>9</f>
        <v>9.0</v>
      </c>
      <c r="V13" s="19"/>
      <c r="W13" s="23"/>
      <c r="X13" s="19" t="n">
        <f>353570000</f>
        <v>3.5357E8</v>
      </c>
      <c r="Y13" s="19"/>
      <c r="Z13" s="23"/>
      <c r="AA13" s="16"/>
      <c r="AB13" s="20" t="n">
        <f>422</f>
        <v>422.0</v>
      </c>
      <c r="AC13" s="21" t="n">
        <f>4</f>
        <v>4.0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120</v>
      </c>
      <c r="F14" s="15" t="s">
        <v>121</v>
      </c>
      <c r="G14" s="15" t="s">
        <v>122</v>
      </c>
      <c r="H14" s="16" t="s">
        <v>92</v>
      </c>
      <c r="I14" s="17" t="s">
        <v>123</v>
      </c>
      <c r="J14" s="16" t="s">
        <v>124</v>
      </c>
      <c r="K14" s="17" t="s">
        <v>125</v>
      </c>
      <c r="L14" s="16" t="s">
        <v>54</v>
      </c>
      <c r="M14" s="17" t="s">
        <v>126</v>
      </c>
      <c r="N14" s="16" t="s">
        <v>92</v>
      </c>
      <c r="O14" s="17" t="s">
        <v>123</v>
      </c>
      <c r="P14" s="16" t="s">
        <v>70</v>
      </c>
      <c r="Q14" s="17" t="s">
        <v>127</v>
      </c>
      <c r="R14" s="16" t="s">
        <v>124</v>
      </c>
      <c r="S14" s="17" t="s">
        <v>125</v>
      </c>
      <c r="T14" s="18" t="n">
        <f>39152.73</f>
        <v>39152.73</v>
      </c>
      <c r="U14" s="19" t="n">
        <f>539</f>
        <v>539.0</v>
      </c>
      <c r="V14" s="19" t="n">
        <v>537.0</v>
      </c>
      <c r="W14" s="23"/>
      <c r="X14" s="19" t="n">
        <f>21468750000</f>
        <v>2.146875E10</v>
      </c>
      <c r="Y14" s="19" t="n">
        <v>2.13913E10</v>
      </c>
      <c r="Z14" s="23"/>
      <c r="AA14" s="16"/>
      <c r="AB14" s="20" t="n">
        <f>8285</f>
        <v>8285.0</v>
      </c>
      <c r="AC14" s="21" t="n">
        <f>2</f>
        <v>2.0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128</v>
      </c>
      <c r="F15" s="15" t="s">
        <v>129</v>
      </c>
      <c r="G15" s="15" t="s">
        <v>130</v>
      </c>
      <c r="H15" s="16"/>
      <c r="I15" s="17" t="s">
        <v>131</v>
      </c>
      <c r="J15" s="16"/>
      <c r="K15" s="17" t="s">
        <v>131</v>
      </c>
      <c r="L15" s="16"/>
      <c r="M15" s="17"/>
      <c r="N15" s="16"/>
      <c r="O15" s="17" t="s">
        <v>131</v>
      </c>
      <c r="P15" s="16"/>
      <c r="Q15" s="17"/>
      <c r="R15" s="16"/>
      <c r="S15" s="17" t="s">
        <v>131</v>
      </c>
      <c r="T15" s="18" t="n">
        <f>38986.36</f>
        <v>38986.36</v>
      </c>
      <c r="U15" s="19" t="str">
        <f>"－"</f>
        <v>－</v>
      </c>
      <c r="V15" s="19"/>
      <c r="W15" s="23"/>
      <c r="X15" s="19" t="str">
        <f>"－"</f>
        <v>－</v>
      </c>
      <c r="Y15" s="19"/>
      <c r="Z15" s="23"/>
      <c r="AA15" s="16"/>
      <c r="AB15" s="20" t="n">
        <f>2</f>
        <v>2.0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132</v>
      </c>
      <c r="F16" s="15" t="s">
        <v>133</v>
      </c>
      <c r="G16" s="15" t="s">
        <v>134</v>
      </c>
      <c r="H16" s="16"/>
      <c r="I16" s="17" t="s">
        <v>131</v>
      </c>
      <c r="J16" s="16"/>
      <c r="K16" s="17" t="s">
        <v>131</v>
      </c>
      <c r="L16" s="16"/>
      <c r="M16" s="17"/>
      <c r="N16" s="16"/>
      <c r="O16" s="17" t="s">
        <v>131</v>
      </c>
      <c r="P16" s="16"/>
      <c r="Q16" s="17"/>
      <c r="R16" s="16"/>
      <c r="S16" s="17" t="s">
        <v>131</v>
      </c>
      <c r="T16" s="18" t="n">
        <f>38876.82</f>
        <v>38876.82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3016</f>
        <v>3016.0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135</v>
      </c>
      <c r="F17" s="15" t="s">
        <v>136</v>
      </c>
      <c r="G17" s="15" t="s">
        <v>137</v>
      </c>
      <c r="H17" s="16" t="s">
        <v>99</v>
      </c>
      <c r="I17" s="17" t="s">
        <v>138</v>
      </c>
      <c r="J17" s="16" t="s">
        <v>54</v>
      </c>
      <c r="K17" s="17" t="s">
        <v>119</v>
      </c>
      <c r="L17" s="16"/>
      <c r="M17" s="17"/>
      <c r="N17" s="16" t="s">
        <v>99</v>
      </c>
      <c r="O17" s="17" t="s">
        <v>138</v>
      </c>
      <c r="P17" s="16"/>
      <c r="Q17" s="17"/>
      <c r="R17" s="16" t="s">
        <v>54</v>
      </c>
      <c r="S17" s="17" t="s">
        <v>119</v>
      </c>
      <c r="T17" s="18" t="n">
        <f>38734.55</f>
        <v>38734.55</v>
      </c>
      <c r="U17" s="19" t="n">
        <f>6</f>
        <v>6.0</v>
      </c>
      <c r="V17" s="19"/>
      <c r="W17" s="23"/>
      <c r="X17" s="19" t="n">
        <f>234210000</f>
        <v>2.3421E8</v>
      </c>
      <c r="Y17" s="19"/>
      <c r="Z17" s="23"/>
      <c r="AA17" s="16"/>
      <c r="AB17" s="20" t="n">
        <f>101</f>
        <v>101.0</v>
      </c>
      <c r="AC17" s="21" t="n">
        <f>2</f>
        <v>2.0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139</v>
      </c>
      <c r="F18" s="15" t="s">
        <v>140</v>
      </c>
      <c r="G18" s="15" t="s">
        <v>141</v>
      </c>
      <c r="H18" s="16"/>
      <c r="I18" s="17" t="s">
        <v>131</v>
      </c>
      <c r="J18" s="16"/>
      <c r="K18" s="17" t="s">
        <v>131</v>
      </c>
      <c r="L18" s="16" t="s">
        <v>70</v>
      </c>
      <c r="M18" s="17" t="s">
        <v>142</v>
      </c>
      <c r="N18" s="16"/>
      <c r="O18" s="17" t="s">
        <v>131</v>
      </c>
      <c r="P18" s="16" t="s">
        <v>70</v>
      </c>
      <c r="Q18" s="17" t="s">
        <v>142</v>
      </c>
      <c r="R18" s="16"/>
      <c r="S18" s="17" t="s">
        <v>131</v>
      </c>
      <c r="T18" s="18" t="n">
        <f>38658.18</f>
        <v>38658.18</v>
      </c>
      <c r="U18" s="19" t="n">
        <f>150</f>
        <v>150.0</v>
      </c>
      <c r="V18" s="19" t="n">
        <v>150.0</v>
      </c>
      <c r="W18" s="23"/>
      <c r="X18" s="19" t="n">
        <f>5734500000</f>
        <v>5.7345E9</v>
      </c>
      <c r="Y18" s="19" t="n">
        <v>5.7345E9</v>
      </c>
      <c r="Z18" s="23"/>
      <c r="AA18" s="16"/>
      <c r="AB18" s="20" t="n">
        <f>1050</f>
        <v>1050.0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143</v>
      </c>
      <c r="F19" s="15" t="s">
        <v>144</v>
      </c>
      <c r="G19" s="15" t="s">
        <v>145</v>
      </c>
      <c r="H19" s="16"/>
      <c r="I19" s="17" t="s">
        <v>131</v>
      </c>
      <c r="J19" s="16"/>
      <c r="K19" s="17" t="s">
        <v>131</v>
      </c>
      <c r="L19" s="16"/>
      <c r="M19" s="17"/>
      <c r="N19" s="16"/>
      <c r="O19" s="17" t="s">
        <v>131</v>
      </c>
      <c r="P19" s="16"/>
      <c r="Q19" s="17"/>
      <c r="R19" s="16"/>
      <c r="S19" s="17" t="s">
        <v>131</v>
      </c>
      <c r="T19" s="18" t="n">
        <f>38515.91</f>
        <v>38515.91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str">
        <f>"－"</f>
        <v>－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146</v>
      </c>
      <c r="F20" s="15" t="s">
        <v>147</v>
      </c>
      <c r="G20" s="15" t="s">
        <v>148</v>
      </c>
      <c r="H20" s="16"/>
      <c r="I20" s="17" t="s">
        <v>131</v>
      </c>
      <c r="J20" s="16"/>
      <c r="K20" s="17" t="s">
        <v>131</v>
      </c>
      <c r="L20" s="16"/>
      <c r="M20" s="17"/>
      <c r="N20" s="16"/>
      <c r="O20" s="17" t="s">
        <v>131</v>
      </c>
      <c r="P20" s="16"/>
      <c r="Q20" s="17"/>
      <c r="R20" s="16"/>
      <c r="S20" s="17" t="s">
        <v>131</v>
      </c>
      <c r="T20" s="18" t="n">
        <f>38477.73</f>
        <v>38477.73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149</v>
      </c>
      <c r="F21" s="15" t="s">
        <v>150</v>
      </c>
      <c r="G21" s="15" t="s">
        <v>151</v>
      </c>
      <c r="H21" s="16"/>
      <c r="I21" s="17" t="s">
        <v>131</v>
      </c>
      <c r="J21" s="16"/>
      <c r="K21" s="17" t="s">
        <v>131</v>
      </c>
      <c r="L21" s="16"/>
      <c r="M21" s="17"/>
      <c r="N21" s="16"/>
      <c r="O21" s="17" t="s">
        <v>131</v>
      </c>
      <c r="P21" s="16"/>
      <c r="Q21" s="17"/>
      <c r="R21" s="16"/>
      <c r="S21" s="17" t="s">
        <v>131</v>
      </c>
      <c r="T21" s="18" t="n">
        <f>38313.64</f>
        <v>38313.64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152</v>
      </c>
      <c r="F22" s="15" t="s">
        <v>153</v>
      </c>
      <c r="G22" s="15" t="s">
        <v>154</v>
      </c>
      <c r="H22" s="16"/>
      <c r="I22" s="17" t="s">
        <v>131</v>
      </c>
      <c r="J22" s="16"/>
      <c r="K22" s="17" t="s">
        <v>131</v>
      </c>
      <c r="L22" s="16"/>
      <c r="M22" s="17"/>
      <c r="N22" s="16"/>
      <c r="O22" s="17" t="s">
        <v>131</v>
      </c>
      <c r="P22" s="16"/>
      <c r="Q22" s="17"/>
      <c r="R22" s="16"/>
      <c r="S22" s="17" t="s">
        <v>131</v>
      </c>
      <c r="T22" s="18" t="n">
        <f>38258.18</f>
        <v>38258.18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155</v>
      </c>
      <c r="F23" s="15" t="s">
        <v>156</v>
      </c>
      <c r="G23" s="15" t="s">
        <v>157</v>
      </c>
      <c r="H23" s="16"/>
      <c r="I23" s="17" t="s">
        <v>131</v>
      </c>
      <c r="J23" s="16"/>
      <c r="K23" s="17" t="s">
        <v>131</v>
      </c>
      <c r="L23" s="16"/>
      <c r="M23" s="17"/>
      <c r="N23" s="16"/>
      <c r="O23" s="17" t="s">
        <v>131</v>
      </c>
      <c r="P23" s="16"/>
      <c r="Q23" s="17"/>
      <c r="R23" s="16"/>
      <c r="S23" s="17" t="s">
        <v>131</v>
      </c>
      <c r="T23" s="18" t="n">
        <f>38160.45</f>
        <v>38160.45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158</v>
      </c>
      <c r="F24" s="15" t="s">
        <v>159</v>
      </c>
      <c r="G24" s="15" t="s">
        <v>160</v>
      </c>
      <c r="H24" s="16"/>
      <c r="I24" s="17" t="s">
        <v>131</v>
      </c>
      <c r="J24" s="16"/>
      <c r="K24" s="17" t="s">
        <v>131</v>
      </c>
      <c r="L24" s="16"/>
      <c r="M24" s="17"/>
      <c r="N24" s="16"/>
      <c r="O24" s="17" t="s">
        <v>131</v>
      </c>
      <c r="P24" s="16"/>
      <c r="Q24" s="17"/>
      <c r="R24" s="16"/>
      <c r="S24" s="17" t="s">
        <v>131</v>
      </c>
      <c r="T24" s="18" t="n">
        <f>38205.91</f>
        <v>38205.91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161</v>
      </c>
      <c r="F25" s="15" t="s">
        <v>162</v>
      </c>
      <c r="G25" s="15" t="s">
        <v>163</v>
      </c>
      <c r="H25" s="16"/>
      <c r="I25" s="17" t="s">
        <v>131</v>
      </c>
      <c r="J25" s="16"/>
      <c r="K25" s="17" t="s">
        <v>131</v>
      </c>
      <c r="L25" s="16"/>
      <c r="M25" s="17"/>
      <c r="N25" s="16"/>
      <c r="O25" s="17" t="s">
        <v>131</v>
      </c>
      <c r="P25" s="16"/>
      <c r="Q25" s="17"/>
      <c r="R25" s="16"/>
      <c r="S25" s="17" t="s">
        <v>131</v>
      </c>
      <c r="T25" s="18" t="n">
        <f>38123.18</f>
        <v>38123.18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164</v>
      </c>
      <c r="C26" s="14" t="s">
        <v>165</v>
      </c>
      <c r="D26" s="22"/>
      <c r="E26" s="14" t="s">
        <v>46</v>
      </c>
      <c r="F26" s="15" t="s">
        <v>166</v>
      </c>
      <c r="G26" s="15" t="s">
        <v>167</v>
      </c>
      <c r="H26" s="16" t="s">
        <v>52</v>
      </c>
      <c r="I26" s="17" t="s">
        <v>100</v>
      </c>
      <c r="J26" s="16" t="s">
        <v>52</v>
      </c>
      <c r="K26" s="17" t="s">
        <v>100</v>
      </c>
      <c r="L26" s="16" t="s">
        <v>52</v>
      </c>
      <c r="M26" s="17" t="s">
        <v>168</v>
      </c>
      <c r="N26" s="16" t="s">
        <v>169</v>
      </c>
      <c r="O26" s="17" t="s">
        <v>170</v>
      </c>
      <c r="P26" s="16" t="s">
        <v>169</v>
      </c>
      <c r="Q26" s="17" t="s">
        <v>171</v>
      </c>
      <c r="R26" s="16" t="s">
        <v>172</v>
      </c>
      <c r="S26" s="17" t="s">
        <v>173</v>
      </c>
      <c r="T26" s="18" t="n">
        <f>39746.88</f>
        <v>39746.88</v>
      </c>
      <c r="U26" s="19" t="n">
        <f>271670</f>
        <v>271670.0</v>
      </c>
      <c r="V26" s="19" t="n">
        <v>125867.0</v>
      </c>
      <c r="W26" s="23" t="n">
        <v>17121.0</v>
      </c>
      <c r="X26" s="19" t="n">
        <f>1079564772368</f>
        <v>1.079564772368E12</v>
      </c>
      <c r="Y26" s="19" t="n">
        <v>4.99585985968E11</v>
      </c>
      <c r="Z26" s="23" t="n">
        <v>6.79183024E10</v>
      </c>
      <c r="AA26" s="16" t="s">
        <v>174</v>
      </c>
      <c r="AB26" s="20" t="n">
        <f>66149</f>
        <v>66149.0</v>
      </c>
      <c r="AC26" s="21" t="n">
        <f>8</f>
        <v>8.0</v>
      </c>
    </row>
    <row r="27">
      <c r="A27" s="13" t="s">
        <v>46</v>
      </c>
      <c r="B27" s="14" t="s">
        <v>164</v>
      </c>
      <c r="C27" s="14" t="s">
        <v>165</v>
      </c>
      <c r="D27" s="22"/>
      <c r="E27" s="14" t="s">
        <v>175</v>
      </c>
      <c r="F27" s="15" t="s">
        <v>176</v>
      </c>
      <c r="G27" s="15" t="s">
        <v>177</v>
      </c>
      <c r="H27" s="16" t="s">
        <v>52</v>
      </c>
      <c r="I27" s="17" t="s">
        <v>178</v>
      </c>
      <c r="J27" s="16" t="s">
        <v>54</v>
      </c>
      <c r="K27" s="17" t="s">
        <v>55</v>
      </c>
      <c r="L27" s="16" t="s">
        <v>54</v>
      </c>
      <c r="M27" s="17" t="s">
        <v>179</v>
      </c>
      <c r="N27" s="16" t="s">
        <v>57</v>
      </c>
      <c r="O27" s="17" t="s">
        <v>180</v>
      </c>
      <c r="P27" s="16" t="s">
        <v>57</v>
      </c>
      <c r="Q27" s="17" t="s">
        <v>181</v>
      </c>
      <c r="R27" s="16" t="s">
        <v>61</v>
      </c>
      <c r="S27" s="17" t="s">
        <v>62</v>
      </c>
      <c r="T27" s="18" t="n">
        <f>40182.95</f>
        <v>40182.95</v>
      </c>
      <c r="U27" s="19" t="n">
        <f>335452</f>
        <v>335452.0</v>
      </c>
      <c r="V27" s="19" t="n">
        <v>90313.0</v>
      </c>
      <c r="W27" s="23" t="n">
        <v>516.0</v>
      </c>
      <c r="X27" s="19" t="n">
        <f>1356575352130</f>
        <v>1.35657535213E12</v>
      </c>
      <c r="Y27" s="19" t="n">
        <v>3.6537023863E11</v>
      </c>
      <c r="Z27" s="23" t="n">
        <v>2.043153E9</v>
      </c>
      <c r="AA27" s="16"/>
      <c r="AB27" s="20" t="n">
        <f>22314</f>
        <v>22314.0</v>
      </c>
      <c r="AC27" s="21" t="n">
        <f>22</f>
        <v>22.0</v>
      </c>
    </row>
    <row r="28">
      <c r="A28" s="13" t="s">
        <v>46</v>
      </c>
      <c r="B28" s="14" t="s">
        <v>164</v>
      </c>
      <c r="C28" s="14" t="s">
        <v>165</v>
      </c>
      <c r="D28" s="22"/>
      <c r="E28" s="14" t="s">
        <v>49</v>
      </c>
      <c r="F28" s="15" t="s">
        <v>50</v>
      </c>
      <c r="G28" s="15" t="s">
        <v>51</v>
      </c>
      <c r="H28" s="16" t="s">
        <v>52</v>
      </c>
      <c r="I28" s="17" t="s">
        <v>182</v>
      </c>
      <c r="J28" s="16" t="s">
        <v>54</v>
      </c>
      <c r="K28" s="17" t="s">
        <v>55</v>
      </c>
      <c r="L28" s="16" t="s">
        <v>54</v>
      </c>
      <c r="M28" s="17" t="s">
        <v>179</v>
      </c>
      <c r="N28" s="16" t="s">
        <v>57</v>
      </c>
      <c r="O28" s="17" t="s">
        <v>58</v>
      </c>
      <c r="P28" s="16" t="s">
        <v>57</v>
      </c>
      <c r="Q28" s="17" t="s">
        <v>183</v>
      </c>
      <c r="R28" s="16" t="s">
        <v>61</v>
      </c>
      <c r="S28" s="17" t="s">
        <v>62</v>
      </c>
      <c r="T28" s="18" t="n">
        <f>40167.27</f>
        <v>40167.27</v>
      </c>
      <c r="U28" s="19" t="n">
        <f>11700970</f>
        <v>1.170097E7</v>
      </c>
      <c r="V28" s="19" t="n">
        <v>1296018.0</v>
      </c>
      <c r="W28" s="23" t="n">
        <v>18237.0</v>
      </c>
      <c r="X28" s="19" t="n">
        <f>47021445926156</f>
        <v>4.7021445926156E13</v>
      </c>
      <c r="Y28" s="19" t="n">
        <v>5.206219135756E12</v>
      </c>
      <c r="Z28" s="23" t="n">
        <v>7.24676364E10</v>
      </c>
      <c r="AA28" s="16"/>
      <c r="AB28" s="20" t="n">
        <f>301269</f>
        <v>301269.0</v>
      </c>
      <c r="AC28" s="21" t="n">
        <f>22</f>
        <v>22.0</v>
      </c>
    </row>
    <row r="29">
      <c r="A29" s="13" t="s">
        <v>46</v>
      </c>
      <c r="B29" s="14" t="s">
        <v>164</v>
      </c>
      <c r="C29" s="14" t="s">
        <v>165</v>
      </c>
      <c r="D29" s="22"/>
      <c r="E29" s="14" t="s">
        <v>184</v>
      </c>
      <c r="F29" s="15" t="s">
        <v>185</v>
      </c>
      <c r="G29" s="15" t="s">
        <v>186</v>
      </c>
      <c r="H29" s="16" t="s">
        <v>52</v>
      </c>
      <c r="I29" s="17" t="s">
        <v>187</v>
      </c>
      <c r="J29" s="16" t="s">
        <v>54</v>
      </c>
      <c r="K29" s="17" t="s">
        <v>188</v>
      </c>
      <c r="L29" s="16" t="s">
        <v>54</v>
      </c>
      <c r="M29" s="17" t="s">
        <v>189</v>
      </c>
      <c r="N29" s="16" t="s">
        <v>57</v>
      </c>
      <c r="O29" s="17" t="s">
        <v>190</v>
      </c>
      <c r="P29" s="16" t="s">
        <v>57</v>
      </c>
      <c r="Q29" s="17" t="s">
        <v>191</v>
      </c>
      <c r="R29" s="16" t="s">
        <v>61</v>
      </c>
      <c r="S29" s="17" t="s">
        <v>192</v>
      </c>
      <c r="T29" s="18" t="n">
        <f>39901.36</f>
        <v>39901.36</v>
      </c>
      <c r="U29" s="19" t="n">
        <f>17376</f>
        <v>17376.0</v>
      </c>
      <c r="V29" s="19" t="n">
        <v>13152.0</v>
      </c>
      <c r="W29" s="23" t="n">
        <v>200.0</v>
      </c>
      <c r="X29" s="19" t="n">
        <f>70547723610</f>
        <v>7.054772361E10</v>
      </c>
      <c r="Y29" s="19" t="n">
        <v>5.347113111E10</v>
      </c>
      <c r="Z29" s="23" t="n">
        <v>7.95205E8</v>
      </c>
      <c r="AA29" s="16"/>
      <c r="AB29" s="20" t="n">
        <f>8450</f>
        <v>8450.0</v>
      </c>
      <c r="AC29" s="21" t="n">
        <f>22</f>
        <v>22.0</v>
      </c>
    </row>
    <row r="30">
      <c r="A30" s="13" t="s">
        <v>46</v>
      </c>
      <c r="B30" s="14" t="s">
        <v>164</v>
      </c>
      <c r="C30" s="14" t="s">
        <v>165</v>
      </c>
      <c r="D30" s="22"/>
      <c r="E30" s="14" t="s">
        <v>193</v>
      </c>
      <c r="F30" s="15" t="s">
        <v>194</v>
      </c>
      <c r="G30" s="15" t="s">
        <v>195</v>
      </c>
      <c r="H30" s="16" t="s">
        <v>196</v>
      </c>
      <c r="I30" s="17" t="s">
        <v>173</v>
      </c>
      <c r="J30" s="16" t="s">
        <v>54</v>
      </c>
      <c r="K30" s="17" t="s">
        <v>197</v>
      </c>
      <c r="L30" s="16" t="s">
        <v>78</v>
      </c>
      <c r="M30" s="17" t="s">
        <v>198</v>
      </c>
      <c r="N30" s="16" t="s">
        <v>80</v>
      </c>
      <c r="O30" s="17" t="s">
        <v>199</v>
      </c>
      <c r="P30" s="16" t="s">
        <v>78</v>
      </c>
      <c r="Q30" s="17" t="s">
        <v>198</v>
      </c>
      <c r="R30" s="16" t="s">
        <v>61</v>
      </c>
      <c r="S30" s="17" t="s">
        <v>200</v>
      </c>
      <c r="T30" s="18" t="n">
        <f>40182.5</f>
        <v>40182.5</v>
      </c>
      <c r="U30" s="19" t="n">
        <f>155</f>
        <v>155.0</v>
      </c>
      <c r="V30" s="19" t="n">
        <v>1.0</v>
      </c>
      <c r="W30" s="23"/>
      <c r="X30" s="19" t="n">
        <f>625281970</f>
        <v>6.2528197E8</v>
      </c>
      <c r="Y30" s="19" t="n">
        <v>4118970.0</v>
      </c>
      <c r="Z30" s="23"/>
      <c r="AA30" s="16"/>
      <c r="AB30" s="20" t="n">
        <f>23</f>
        <v>23.0</v>
      </c>
      <c r="AC30" s="21" t="n">
        <f>14</f>
        <v>14.0</v>
      </c>
    </row>
    <row r="31">
      <c r="A31" s="13" t="s">
        <v>46</v>
      </c>
      <c r="B31" s="14" t="s">
        <v>164</v>
      </c>
      <c r="C31" s="14" t="s">
        <v>165</v>
      </c>
      <c r="D31" s="22"/>
      <c r="E31" s="14" t="s">
        <v>63</v>
      </c>
      <c r="F31" s="15" t="s">
        <v>133</v>
      </c>
      <c r="G31" s="15" t="s">
        <v>65</v>
      </c>
      <c r="H31" s="16" t="s">
        <v>52</v>
      </c>
      <c r="I31" s="17" t="s">
        <v>201</v>
      </c>
      <c r="J31" s="16" t="s">
        <v>54</v>
      </c>
      <c r="K31" s="17" t="s">
        <v>202</v>
      </c>
      <c r="L31" s="16" t="s">
        <v>54</v>
      </c>
      <c r="M31" s="17" t="s">
        <v>203</v>
      </c>
      <c r="N31" s="16" t="s">
        <v>57</v>
      </c>
      <c r="O31" s="17" t="s">
        <v>204</v>
      </c>
      <c r="P31" s="16" t="s">
        <v>57</v>
      </c>
      <c r="Q31" s="17" t="s">
        <v>205</v>
      </c>
      <c r="R31" s="16" t="s">
        <v>61</v>
      </c>
      <c r="S31" s="17" t="s">
        <v>206</v>
      </c>
      <c r="T31" s="18" t="n">
        <f>39931.82</f>
        <v>39931.82</v>
      </c>
      <c r="U31" s="19" t="n">
        <f>242449</f>
        <v>242449.0</v>
      </c>
      <c r="V31" s="19" t="n">
        <v>9303.0</v>
      </c>
      <c r="W31" s="23" t="n">
        <v>828.0</v>
      </c>
      <c r="X31" s="19" t="n">
        <f>971392020010</f>
        <v>9.7139202001E11</v>
      </c>
      <c r="Y31" s="19" t="n">
        <v>3.726673681E10</v>
      </c>
      <c r="Z31" s="23" t="n">
        <v>3.3871982E9</v>
      </c>
      <c r="AA31" s="16"/>
      <c r="AB31" s="20" t="n">
        <f>9739</f>
        <v>9739.0</v>
      </c>
      <c r="AC31" s="21" t="n">
        <f>22</f>
        <v>22.0</v>
      </c>
    </row>
    <row r="32">
      <c r="A32" s="13" t="s">
        <v>46</v>
      </c>
      <c r="B32" s="14" t="s">
        <v>164</v>
      </c>
      <c r="C32" s="14" t="s">
        <v>165</v>
      </c>
      <c r="D32" s="22"/>
      <c r="E32" s="14" t="s">
        <v>73</v>
      </c>
      <c r="F32" s="15" t="s">
        <v>74</v>
      </c>
      <c r="G32" s="15" t="s">
        <v>75</v>
      </c>
      <c r="H32" s="16" t="s">
        <v>52</v>
      </c>
      <c r="I32" s="17" t="s">
        <v>207</v>
      </c>
      <c r="J32" s="16" t="s">
        <v>54</v>
      </c>
      <c r="K32" s="17" t="s">
        <v>208</v>
      </c>
      <c r="L32" s="16" t="s">
        <v>54</v>
      </c>
      <c r="M32" s="17" t="s">
        <v>209</v>
      </c>
      <c r="N32" s="16" t="s">
        <v>57</v>
      </c>
      <c r="O32" s="17" t="s">
        <v>210</v>
      </c>
      <c r="P32" s="16" t="s">
        <v>80</v>
      </c>
      <c r="Q32" s="17" t="s">
        <v>211</v>
      </c>
      <c r="R32" s="16" t="s">
        <v>61</v>
      </c>
      <c r="S32" s="17" t="s">
        <v>212</v>
      </c>
      <c r="T32" s="18" t="n">
        <f>39922.73</f>
        <v>39922.73</v>
      </c>
      <c r="U32" s="19" t="n">
        <f>33125</f>
        <v>33125.0</v>
      </c>
      <c r="V32" s="19" t="n">
        <v>401.0</v>
      </c>
      <c r="W32" s="23"/>
      <c r="X32" s="19" t="n">
        <f>133123881890</f>
        <v>1.3312388189E11</v>
      </c>
      <c r="Y32" s="19" t="n">
        <v>1.60950889E9</v>
      </c>
      <c r="Z32" s="23"/>
      <c r="AA32" s="16"/>
      <c r="AB32" s="20" t="n">
        <f>2745</f>
        <v>2745.0</v>
      </c>
      <c r="AC32" s="21" t="n">
        <f>22</f>
        <v>22.0</v>
      </c>
    </row>
    <row r="33">
      <c r="A33" s="13" t="s">
        <v>46</v>
      </c>
      <c r="B33" s="14" t="s">
        <v>164</v>
      </c>
      <c r="C33" s="14" t="s">
        <v>165</v>
      </c>
      <c r="D33" s="22"/>
      <c r="E33" s="14" t="s">
        <v>85</v>
      </c>
      <c r="F33" s="15" t="s">
        <v>136</v>
      </c>
      <c r="G33" s="15" t="s">
        <v>86</v>
      </c>
      <c r="H33" s="16" t="s">
        <v>52</v>
      </c>
      <c r="I33" s="17" t="s">
        <v>213</v>
      </c>
      <c r="J33" s="16" t="s">
        <v>54</v>
      </c>
      <c r="K33" s="17" t="s">
        <v>214</v>
      </c>
      <c r="L33" s="16"/>
      <c r="M33" s="17"/>
      <c r="N33" s="16" t="s">
        <v>57</v>
      </c>
      <c r="O33" s="17" t="s">
        <v>215</v>
      </c>
      <c r="P33" s="16"/>
      <c r="Q33" s="17"/>
      <c r="R33" s="16" t="s">
        <v>61</v>
      </c>
      <c r="S33" s="17" t="s">
        <v>216</v>
      </c>
      <c r="T33" s="18" t="n">
        <f>39672.27</f>
        <v>39672.27</v>
      </c>
      <c r="U33" s="19" t="n">
        <f>3072</f>
        <v>3072.0</v>
      </c>
      <c r="V33" s="19"/>
      <c r="W33" s="23"/>
      <c r="X33" s="19" t="n">
        <f>12142423500</f>
        <v>1.21424235E10</v>
      </c>
      <c r="Y33" s="19"/>
      <c r="Z33" s="23"/>
      <c r="AA33" s="16"/>
      <c r="AB33" s="20" t="n">
        <f>894</f>
        <v>894.0</v>
      </c>
      <c r="AC33" s="21" t="n">
        <f>22</f>
        <v>22.0</v>
      </c>
    </row>
    <row r="34">
      <c r="A34" s="13" t="s">
        <v>46</v>
      </c>
      <c r="B34" s="14" t="s">
        <v>164</v>
      </c>
      <c r="C34" s="14" t="s">
        <v>165</v>
      </c>
      <c r="D34" s="22"/>
      <c r="E34" s="14" t="s">
        <v>94</v>
      </c>
      <c r="F34" s="15" t="s">
        <v>95</v>
      </c>
      <c r="G34" s="15" t="s">
        <v>96</v>
      </c>
      <c r="H34" s="16" t="s">
        <v>52</v>
      </c>
      <c r="I34" s="17" t="s">
        <v>217</v>
      </c>
      <c r="J34" s="16" t="s">
        <v>54</v>
      </c>
      <c r="K34" s="17" t="s">
        <v>218</v>
      </c>
      <c r="L34" s="16"/>
      <c r="M34" s="17"/>
      <c r="N34" s="16" t="s">
        <v>57</v>
      </c>
      <c r="O34" s="17" t="s">
        <v>219</v>
      </c>
      <c r="P34" s="16"/>
      <c r="Q34" s="17"/>
      <c r="R34" s="16" t="s">
        <v>61</v>
      </c>
      <c r="S34" s="17" t="s">
        <v>220</v>
      </c>
      <c r="T34" s="18" t="n">
        <f>39702.73</f>
        <v>39702.73</v>
      </c>
      <c r="U34" s="19" t="n">
        <f>568</f>
        <v>568.0</v>
      </c>
      <c r="V34" s="19"/>
      <c r="W34" s="23"/>
      <c r="X34" s="19" t="n">
        <f>2275514500</f>
        <v>2.2755145E9</v>
      </c>
      <c r="Y34" s="19"/>
      <c r="Z34" s="23"/>
      <c r="AA34" s="16"/>
      <c r="AB34" s="20" t="n">
        <f>152</f>
        <v>152.0</v>
      </c>
      <c r="AC34" s="21" t="n">
        <f>22</f>
        <v>22.0</v>
      </c>
    </row>
    <row r="35">
      <c r="A35" s="13" t="s">
        <v>46</v>
      </c>
      <c r="B35" s="14" t="s">
        <v>164</v>
      </c>
      <c r="C35" s="14" t="s">
        <v>165</v>
      </c>
      <c r="D35" s="22"/>
      <c r="E35" s="14" t="s">
        <v>104</v>
      </c>
      <c r="F35" s="15" t="s">
        <v>140</v>
      </c>
      <c r="G35" s="15" t="s">
        <v>106</v>
      </c>
      <c r="H35" s="16" t="s">
        <v>52</v>
      </c>
      <c r="I35" s="17" t="s">
        <v>173</v>
      </c>
      <c r="J35" s="16" t="s">
        <v>54</v>
      </c>
      <c r="K35" s="17" t="s">
        <v>221</v>
      </c>
      <c r="L35" s="16"/>
      <c r="M35" s="17"/>
      <c r="N35" s="16" t="s">
        <v>57</v>
      </c>
      <c r="O35" s="17" t="s">
        <v>222</v>
      </c>
      <c r="P35" s="16"/>
      <c r="Q35" s="17"/>
      <c r="R35" s="16" t="s">
        <v>61</v>
      </c>
      <c r="S35" s="17" t="s">
        <v>223</v>
      </c>
      <c r="T35" s="18" t="n">
        <f>39493.18</f>
        <v>39493.18</v>
      </c>
      <c r="U35" s="19" t="n">
        <f>1865</f>
        <v>1865.0</v>
      </c>
      <c r="V35" s="19"/>
      <c r="W35" s="23"/>
      <c r="X35" s="19" t="n">
        <f>7433791000</f>
        <v>7.433791E9</v>
      </c>
      <c r="Y35" s="19"/>
      <c r="Z35" s="23"/>
      <c r="AA35" s="16"/>
      <c r="AB35" s="20" t="n">
        <f>880</f>
        <v>880.0</v>
      </c>
      <c r="AC35" s="21" t="n">
        <f>22</f>
        <v>22.0</v>
      </c>
    </row>
    <row r="36">
      <c r="A36" s="13" t="s">
        <v>46</v>
      </c>
      <c r="B36" s="14" t="s">
        <v>164</v>
      </c>
      <c r="C36" s="14" t="s">
        <v>165</v>
      </c>
      <c r="D36" s="22"/>
      <c r="E36" s="14" t="s">
        <v>114</v>
      </c>
      <c r="F36" s="15" t="s">
        <v>144</v>
      </c>
      <c r="G36" s="15" t="s">
        <v>116</v>
      </c>
      <c r="H36" s="16" t="s">
        <v>92</v>
      </c>
      <c r="I36" s="17" t="s">
        <v>224</v>
      </c>
      <c r="J36" s="16" t="s">
        <v>54</v>
      </c>
      <c r="K36" s="17" t="s">
        <v>225</v>
      </c>
      <c r="L36" s="16"/>
      <c r="M36" s="17"/>
      <c r="N36" s="16" t="s">
        <v>169</v>
      </c>
      <c r="O36" s="17" t="s">
        <v>226</v>
      </c>
      <c r="P36" s="16"/>
      <c r="Q36" s="17"/>
      <c r="R36" s="16" t="s">
        <v>61</v>
      </c>
      <c r="S36" s="17" t="s">
        <v>227</v>
      </c>
      <c r="T36" s="18" t="n">
        <f>39303.18</f>
        <v>39303.18</v>
      </c>
      <c r="U36" s="19" t="n">
        <f>53</f>
        <v>53.0</v>
      </c>
      <c r="V36" s="19"/>
      <c r="W36" s="23"/>
      <c r="X36" s="19" t="n">
        <f>209010000</f>
        <v>2.0901E8</v>
      </c>
      <c r="Y36" s="19"/>
      <c r="Z36" s="23"/>
      <c r="AA36" s="16"/>
      <c r="AB36" s="20" t="n">
        <f>183</f>
        <v>183.0</v>
      </c>
      <c r="AC36" s="21" t="n">
        <f>14</f>
        <v>14.0</v>
      </c>
    </row>
    <row r="37">
      <c r="A37" s="13" t="s">
        <v>46</v>
      </c>
      <c r="B37" s="14" t="s">
        <v>164</v>
      </c>
      <c r="C37" s="14" t="s">
        <v>165</v>
      </c>
      <c r="D37" s="22"/>
      <c r="E37" s="14" t="s">
        <v>120</v>
      </c>
      <c r="F37" s="15" t="s">
        <v>147</v>
      </c>
      <c r="G37" s="15" t="s">
        <v>122</v>
      </c>
      <c r="H37" s="16" t="s">
        <v>52</v>
      </c>
      <c r="I37" s="17" t="s">
        <v>228</v>
      </c>
      <c r="J37" s="16" t="s">
        <v>54</v>
      </c>
      <c r="K37" s="17" t="s">
        <v>229</v>
      </c>
      <c r="L37" s="16"/>
      <c r="M37" s="17"/>
      <c r="N37" s="16" t="s">
        <v>57</v>
      </c>
      <c r="O37" s="17" t="s">
        <v>230</v>
      </c>
      <c r="P37" s="16"/>
      <c r="Q37" s="17"/>
      <c r="R37" s="16" t="s">
        <v>61</v>
      </c>
      <c r="S37" s="17" t="s">
        <v>231</v>
      </c>
      <c r="T37" s="18" t="n">
        <f>39152.73</f>
        <v>39152.73</v>
      </c>
      <c r="U37" s="19" t="n">
        <f>462</f>
        <v>462.0</v>
      </c>
      <c r="V37" s="19"/>
      <c r="W37" s="23"/>
      <c r="X37" s="19" t="n">
        <f>1827010500</f>
        <v>1.8270105E9</v>
      </c>
      <c r="Y37" s="19"/>
      <c r="Z37" s="23"/>
      <c r="AA37" s="16"/>
      <c r="AB37" s="20" t="n">
        <f>303</f>
        <v>303.0</v>
      </c>
      <c r="AC37" s="21" t="n">
        <f>22</f>
        <v>22.0</v>
      </c>
    </row>
    <row r="38">
      <c r="A38" s="13" t="s">
        <v>46</v>
      </c>
      <c r="B38" s="14" t="s">
        <v>164</v>
      </c>
      <c r="C38" s="14" t="s">
        <v>165</v>
      </c>
      <c r="D38" s="22"/>
      <c r="E38" s="14" t="s">
        <v>128</v>
      </c>
      <c r="F38" s="15" t="s">
        <v>150</v>
      </c>
      <c r="G38" s="15" t="s">
        <v>130</v>
      </c>
      <c r="H38" s="16" t="s">
        <v>92</v>
      </c>
      <c r="I38" s="17" t="s">
        <v>232</v>
      </c>
      <c r="J38" s="16" t="s">
        <v>54</v>
      </c>
      <c r="K38" s="17" t="s">
        <v>233</v>
      </c>
      <c r="L38" s="16"/>
      <c r="M38" s="17"/>
      <c r="N38" s="16" t="s">
        <v>172</v>
      </c>
      <c r="O38" s="17" t="s">
        <v>234</v>
      </c>
      <c r="P38" s="16"/>
      <c r="Q38" s="17"/>
      <c r="R38" s="16" t="s">
        <v>54</v>
      </c>
      <c r="S38" s="17" t="s">
        <v>233</v>
      </c>
      <c r="T38" s="18" t="n">
        <f>38986.36</f>
        <v>38986.36</v>
      </c>
      <c r="U38" s="19" t="n">
        <f>13</f>
        <v>13.0</v>
      </c>
      <c r="V38" s="19"/>
      <c r="W38" s="23"/>
      <c r="X38" s="19" t="n">
        <f>50623500</f>
        <v>5.06235E7</v>
      </c>
      <c r="Y38" s="19"/>
      <c r="Z38" s="23"/>
      <c r="AA38" s="16"/>
      <c r="AB38" s="20" t="n">
        <f>135</f>
        <v>135.0</v>
      </c>
      <c r="AC38" s="21" t="n">
        <f>3</f>
        <v>3.0</v>
      </c>
    </row>
    <row r="39">
      <c r="A39" s="13" t="s">
        <v>46</v>
      </c>
      <c r="B39" s="14" t="s">
        <v>164</v>
      </c>
      <c r="C39" s="14" t="s">
        <v>165</v>
      </c>
      <c r="D39" s="22"/>
      <c r="E39" s="14" t="s">
        <v>132</v>
      </c>
      <c r="F39" s="15" t="s">
        <v>153</v>
      </c>
      <c r="G39" s="15" t="s">
        <v>134</v>
      </c>
      <c r="H39" s="16" t="s">
        <v>52</v>
      </c>
      <c r="I39" s="17" t="s">
        <v>235</v>
      </c>
      <c r="J39" s="16" t="s">
        <v>54</v>
      </c>
      <c r="K39" s="17" t="s">
        <v>236</v>
      </c>
      <c r="L39" s="16"/>
      <c r="M39" s="17"/>
      <c r="N39" s="16" t="s">
        <v>169</v>
      </c>
      <c r="O39" s="17" t="s">
        <v>237</v>
      </c>
      <c r="P39" s="16"/>
      <c r="Q39" s="17"/>
      <c r="R39" s="16" t="s">
        <v>61</v>
      </c>
      <c r="S39" s="17" t="s">
        <v>238</v>
      </c>
      <c r="T39" s="18" t="n">
        <f>38876.82</f>
        <v>38876.82</v>
      </c>
      <c r="U39" s="19" t="n">
        <f>253</f>
        <v>253.0</v>
      </c>
      <c r="V39" s="19"/>
      <c r="W39" s="23"/>
      <c r="X39" s="19" t="n">
        <f>991258000</f>
        <v>9.91258E8</v>
      </c>
      <c r="Y39" s="19"/>
      <c r="Z39" s="23"/>
      <c r="AA39" s="16"/>
      <c r="AB39" s="20" t="n">
        <f>628</f>
        <v>628.0</v>
      </c>
      <c r="AC39" s="21" t="n">
        <f>22</f>
        <v>22.0</v>
      </c>
    </row>
    <row r="40">
      <c r="A40" s="13" t="s">
        <v>46</v>
      </c>
      <c r="B40" s="14" t="s">
        <v>164</v>
      </c>
      <c r="C40" s="14" t="s">
        <v>165</v>
      </c>
      <c r="D40" s="22"/>
      <c r="E40" s="14" t="s">
        <v>135</v>
      </c>
      <c r="F40" s="15" t="s">
        <v>156</v>
      </c>
      <c r="G40" s="15" t="s">
        <v>137</v>
      </c>
      <c r="H40" s="16" t="s">
        <v>59</v>
      </c>
      <c r="I40" s="17" t="s">
        <v>239</v>
      </c>
      <c r="J40" s="16" t="s">
        <v>54</v>
      </c>
      <c r="K40" s="17" t="s">
        <v>100</v>
      </c>
      <c r="L40" s="16"/>
      <c r="M40" s="17"/>
      <c r="N40" s="16" t="s">
        <v>99</v>
      </c>
      <c r="O40" s="17" t="s">
        <v>240</v>
      </c>
      <c r="P40" s="16"/>
      <c r="Q40" s="17"/>
      <c r="R40" s="16" t="s">
        <v>61</v>
      </c>
      <c r="S40" s="17" t="s">
        <v>241</v>
      </c>
      <c r="T40" s="18" t="n">
        <f>38734.55</f>
        <v>38734.55</v>
      </c>
      <c r="U40" s="19" t="n">
        <f>51</f>
        <v>51.0</v>
      </c>
      <c r="V40" s="19"/>
      <c r="W40" s="23"/>
      <c r="X40" s="19" t="n">
        <f>199670000</f>
        <v>1.9967E8</v>
      </c>
      <c r="Y40" s="19"/>
      <c r="Z40" s="23"/>
      <c r="AA40" s="16"/>
      <c r="AB40" s="20" t="n">
        <f>335</f>
        <v>335.0</v>
      </c>
      <c r="AC40" s="21" t="n">
        <f>11</f>
        <v>11.0</v>
      </c>
    </row>
    <row r="41">
      <c r="A41" s="13" t="s">
        <v>46</v>
      </c>
      <c r="B41" s="14" t="s">
        <v>164</v>
      </c>
      <c r="C41" s="14" t="s">
        <v>165</v>
      </c>
      <c r="D41" s="22"/>
      <c r="E41" s="14" t="s">
        <v>139</v>
      </c>
      <c r="F41" s="15" t="s">
        <v>159</v>
      </c>
      <c r="G41" s="15" t="s">
        <v>141</v>
      </c>
      <c r="H41" s="16" t="s">
        <v>52</v>
      </c>
      <c r="I41" s="17" t="s">
        <v>242</v>
      </c>
      <c r="J41" s="16" t="s">
        <v>88</v>
      </c>
      <c r="K41" s="17" t="s">
        <v>243</v>
      </c>
      <c r="L41" s="16"/>
      <c r="M41" s="17"/>
      <c r="N41" s="16" t="s">
        <v>169</v>
      </c>
      <c r="O41" s="17" t="s">
        <v>244</v>
      </c>
      <c r="P41" s="16"/>
      <c r="Q41" s="17"/>
      <c r="R41" s="16" t="s">
        <v>61</v>
      </c>
      <c r="S41" s="17" t="s">
        <v>245</v>
      </c>
      <c r="T41" s="18" t="n">
        <f>38658.18</f>
        <v>38658.18</v>
      </c>
      <c r="U41" s="19" t="n">
        <f>69</f>
        <v>69.0</v>
      </c>
      <c r="V41" s="19"/>
      <c r="W41" s="23"/>
      <c r="X41" s="19" t="n">
        <f>269303500</f>
        <v>2.693035E8</v>
      </c>
      <c r="Y41" s="19"/>
      <c r="Z41" s="23"/>
      <c r="AA41" s="16"/>
      <c r="AB41" s="20" t="n">
        <f>148</f>
        <v>148.0</v>
      </c>
      <c r="AC41" s="21" t="n">
        <f>16</f>
        <v>16.0</v>
      </c>
    </row>
    <row r="42">
      <c r="A42" s="13" t="s">
        <v>46</v>
      </c>
      <c r="B42" s="14" t="s">
        <v>164</v>
      </c>
      <c r="C42" s="14" t="s">
        <v>165</v>
      </c>
      <c r="D42" s="22"/>
      <c r="E42" s="14" t="s">
        <v>143</v>
      </c>
      <c r="F42" s="15" t="s">
        <v>162</v>
      </c>
      <c r="G42" s="15" t="s">
        <v>145</v>
      </c>
      <c r="H42" s="16" t="s">
        <v>52</v>
      </c>
      <c r="I42" s="17" t="s">
        <v>246</v>
      </c>
      <c r="J42" s="16" t="s">
        <v>54</v>
      </c>
      <c r="K42" s="17" t="s">
        <v>247</v>
      </c>
      <c r="L42" s="16"/>
      <c r="M42" s="17"/>
      <c r="N42" s="16" t="s">
        <v>117</v>
      </c>
      <c r="O42" s="17" t="s">
        <v>248</v>
      </c>
      <c r="P42" s="16"/>
      <c r="Q42" s="17"/>
      <c r="R42" s="16" t="s">
        <v>61</v>
      </c>
      <c r="S42" s="17" t="s">
        <v>249</v>
      </c>
      <c r="T42" s="18" t="n">
        <f>38515.91</f>
        <v>38515.91</v>
      </c>
      <c r="U42" s="19" t="n">
        <f>109</f>
        <v>109.0</v>
      </c>
      <c r="V42" s="19"/>
      <c r="W42" s="23"/>
      <c r="X42" s="19" t="n">
        <f>423071500</f>
        <v>4.230715E8</v>
      </c>
      <c r="Y42" s="19"/>
      <c r="Z42" s="23"/>
      <c r="AA42" s="16"/>
      <c r="AB42" s="20" t="n">
        <f>148</f>
        <v>148.0</v>
      </c>
      <c r="AC42" s="21" t="n">
        <f>11</f>
        <v>11.0</v>
      </c>
    </row>
    <row r="43">
      <c r="A43" s="13" t="s">
        <v>46</v>
      </c>
      <c r="B43" s="14" t="s">
        <v>250</v>
      </c>
      <c r="C43" s="14" t="s">
        <v>251</v>
      </c>
      <c r="D43" s="22"/>
      <c r="E43" s="14" t="s">
        <v>46</v>
      </c>
      <c r="F43" s="15" t="s">
        <v>176</v>
      </c>
      <c r="G43" s="15" t="s">
        <v>167</v>
      </c>
      <c r="H43" s="16" t="s">
        <v>52</v>
      </c>
      <c r="I43" s="17" t="s">
        <v>178</v>
      </c>
      <c r="J43" s="16" t="s">
        <v>52</v>
      </c>
      <c r="K43" s="17" t="s">
        <v>182</v>
      </c>
      <c r="L43" s="16"/>
      <c r="M43" s="17"/>
      <c r="N43" s="16" t="s">
        <v>92</v>
      </c>
      <c r="O43" s="17" t="s">
        <v>252</v>
      </c>
      <c r="P43" s="16"/>
      <c r="Q43" s="17"/>
      <c r="R43" s="16" t="s">
        <v>172</v>
      </c>
      <c r="S43" s="17" t="s">
        <v>253</v>
      </c>
      <c r="T43" s="18" t="n">
        <f>39746.88</f>
        <v>39746.88</v>
      </c>
      <c r="U43" s="19" t="n">
        <f>208382</f>
        <v>208382.0</v>
      </c>
      <c r="V43" s="19"/>
      <c r="W43" s="23"/>
      <c r="X43" s="19" t="n">
        <f>82921967250</f>
        <v>8.292196725E10</v>
      </c>
      <c r="Y43" s="19"/>
      <c r="Z43" s="23"/>
      <c r="AA43" s="16" t="s">
        <v>174</v>
      </c>
      <c r="AB43" s="20" t="n">
        <f>8389</f>
        <v>8389.0</v>
      </c>
      <c r="AC43" s="21" t="n">
        <f>8</f>
        <v>8.0</v>
      </c>
    </row>
    <row r="44">
      <c r="A44" s="13" t="s">
        <v>46</v>
      </c>
      <c r="B44" s="14" t="s">
        <v>250</v>
      </c>
      <c r="C44" s="14" t="s">
        <v>251</v>
      </c>
      <c r="D44" s="22"/>
      <c r="E44" s="14" t="s">
        <v>175</v>
      </c>
      <c r="F44" s="15" t="s">
        <v>185</v>
      </c>
      <c r="G44" s="15" t="s">
        <v>177</v>
      </c>
      <c r="H44" s="16" t="s">
        <v>52</v>
      </c>
      <c r="I44" s="17" t="s">
        <v>254</v>
      </c>
      <c r="J44" s="16" t="s">
        <v>54</v>
      </c>
      <c r="K44" s="17" t="s">
        <v>255</v>
      </c>
      <c r="L44" s="16"/>
      <c r="M44" s="17"/>
      <c r="N44" s="16" t="s">
        <v>57</v>
      </c>
      <c r="O44" s="17" t="s">
        <v>256</v>
      </c>
      <c r="P44" s="16"/>
      <c r="Q44" s="17"/>
      <c r="R44" s="16" t="s">
        <v>61</v>
      </c>
      <c r="S44" s="17" t="s">
        <v>62</v>
      </c>
      <c r="T44" s="18" t="n">
        <f>40182.95</f>
        <v>40182.95</v>
      </c>
      <c r="U44" s="19" t="n">
        <f>379562</f>
        <v>379562.0</v>
      </c>
      <c r="V44" s="19"/>
      <c r="W44" s="23"/>
      <c r="X44" s="19" t="n">
        <f>153397830800</f>
        <v>1.533978308E11</v>
      </c>
      <c r="Y44" s="19"/>
      <c r="Z44" s="23"/>
      <c r="AA44" s="16"/>
      <c r="AB44" s="20" t="n">
        <f>10205</f>
        <v>10205.0</v>
      </c>
      <c r="AC44" s="21" t="n">
        <f>22</f>
        <v>22.0</v>
      </c>
    </row>
    <row r="45">
      <c r="A45" s="13" t="s">
        <v>46</v>
      </c>
      <c r="B45" s="14" t="s">
        <v>250</v>
      </c>
      <c r="C45" s="14" t="s">
        <v>251</v>
      </c>
      <c r="D45" s="22"/>
      <c r="E45" s="14" t="s">
        <v>49</v>
      </c>
      <c r="F45" s="15" t="s">
        <v>95</v>
      </c>
      <c r="G45" s="15" t="s">
        <v>51</v>
      </c>
      <c r="H45" s="16" t="s">
        <v>52</v>
      </c>
      <c r="I45" s="17" t="s">
        <v>257</v>
      </c>
      <c r="J45" s="16" t="s">
        <v>54</v>
      </c>
      <c r="K45" s="17" t="s">
        <v>55</v>
      </c>
      <c r="L45" s="16"/>
      <c r="M45" s="17"/>
      <c r="N45" s="16" t="s">
        <v>57</v>
      </c>
      <c r="O45" s="17" t="s">
        <v>58</v>
      </c>
      <c r="P45" s="16"/>
      <c r="Q45" s="17"/>
      <c r="R45" s="16" t="s">
        <v>61</v>
      </c>
      <c r="S45" s="17" t="s">
        <v>258</v>
      </c>
      <c r="T45" s="18" t="n">
        <f>40167.27</f>
        <v>40167.27</v>
      </c>
      <c r="U45" s="19" t="n">
        <f>7996482</f>
        <v>7996482.0</v>
      </c>
      <c r="V45" s="19"/>
      <c r="W45" s="23"/>
      <c r="X45" s="19" t="n">
        <f>3214618344050</f>
        <v>3.21461834405E12</v>
      </c>
      <c r="Y45" s="19"/>
      <c r="Z45" s="23"/>
      <c r="AA45" s="16"/>
      <c r="AB45" s="20" t="n">
        <f>129716</f>
        <v>129716.0</v>
      </c>
      <c r="AC45" s="21" t="n">
        <f>22</f>
        <v>22.0</v>
      </c>
    </row>
    <row r="46">
      <c r="A46" s="13" t="s">
        <v>46</v>
      </c>
      <c r="B46" s="14" t="s">
        <v>250</v>
      </c>
      <c r="C46" s="14" t="s">
        <v>251</v>
      </c>
      <c r="D46" s="22"/>
      <c r="E46" s="14" t="s">
        <v>184</v>
      </c>
      <c r="F46" s="15" t="s">
        <v>194</v>
      </c>
      <c r="G46" s="15" t="s">
        <v>186</v>
      </c>
      <c r="H46" s="16" t="s">
        <v>196</v>
      </c>
      <c r="I46" s="17" t="s">
        <v>259</v>
      </c>
      <c r="J46" s="16" t="s">
        <v>54</v>
      </c>
      <c r="K46" s="17" t="s">
        <v>260</v>
      </c>
      <c r="L46" s="16"/>
      <c r="M46" s="17"/>
      <c r="N46" s="16" t="s">
        <v>57</v>
      </c>
      <c r="O46" s="17" t="s">
        <v>261</v>
      </c>
      <c r="P46" s="16"/>
      <c r="Q46" s="17"/>
      <c r="R46" s="16" t="s">
        <v>61</v>
      </c>
      <c r="S46" s="17" t="s">
        <v>192</v>
      </c>
      <c r="T46" s="18" t="n">
        <f>40131.07</f>
        <v>40131.07</v>
      </c>
      <c r="U46" s="19" t="n">
        <f>3717</f>
        <v>3717.0</v>
      </c>
      <c r="V46" s="19"/>
      <c r="W46" s="23"/>
      <c r="X46" s="19" t="n">
        <f>1493617750</f>
        <v>1.49361775E9</v>
      </c>
      <c r="Y46" s="19"/>
      <c r="Z46" s="23"/>
      <c r="AA46" s="16"/>
      <c r="AB46" s="20" t="n">
        <f>170</f>
        <v>170.0</v>
      </c>
      <c r="AC46" s="21" t="n">
        <f>14</f>
        <v>14.0</v>
      </c>
    </row>
    <row r="47">
      <c r="A47" s="13" t="s">
        <v>46</v>
      </c>
      <c r="B47" s="14" t="s">
        <v>250</v>
      </c>
      <c r="C47" s="14" t="s">
        <v>251</v>
      </c>
      <c r="D47" s="22"/>
      <c r="E47" s="14" t="s">
        <v>63</v>
      </c>
      <c r="F47" s="15" t="s">
        <v>162</v>
      </c>
      <c r="G47" s="15" t="s">
        <v>65</v>
      </c>
      <c r="H47" s="16" t="s">
        <v>52</v>
      </c>
      <c r="I47" s="17" t="s">
        <v>262</v>
      </c>
      <c r="J47" s="16" t="s">
        <v>54</v>
      </c>
      <c r="K47" s="17" t="s">
        <v>202</v>
      </c>
      <c r="L47" s="16"/>
      <c r="M47" s="17"/>
      <c r="N47" s="16" t="s">
        <v>57</v>
      </c>
      <c r="O47" s="17" t="s">
        <v>204</v>
      </c>
      <c r="P47" s="16"/>
      <c r="Q47" s="17"/>
      <c r="R47" s="16" t="s">
        <v>61</v>
      </c>
      <c r="S47" s="17" t="s">
        <v>263</v>
      </c>
      <c r="T47" s="18" t="n">
        <f>39931.82</f>
        <v>39931.82</v>
      </c>
      <c r="U47" s="19" t="n">
        <f>202862</f>
        <v>202862.0</v>
      </c>
      <c r="V47" s="19"/>
      <c r="W47" s="23"/>
      <c r="X47" s="19" t="n">
        <f>81242197450</f>
        <v>8.124219745E10</v>
      </c>
      <c r="Y47" s="19"/>
      <c r="Z47" s="23"/>
      <c r="AA47" s="16"/>
      <c r="AB47" s="20" t="n">
        <f>7910</f>
        <v>7910.0</v>
      </c>
      <c r="AC47" s="21" t="n">
        <f>22</f>
        <v>22.0</v>
      </c>
    </row>
    <row r="48">
      <c r="A48" s="13" t="s">
        <v>46</v>
      </c>
      <c r="B48" s="14" t="s">
        <v>264</v>
      </c>
      <c r="C48" s="14" t="s">
        <v>265</v>
      </c>
      <c r="D48" s="22"/>
      <c r="E48" s="14" t="s">
        <v>49</v>
      </c>
      <c r="F48" s="15" t="s">
        <v>156</v>
      </c>
      <c r="G48" s="15" t="s">
        <v>51</v>
      </c>
      <c r="H48" s="16" t="s">
        <v>52</v>
      </c>
      <c r="I48" s="17" t="s">
        <v>266</v>
      </c>
      <c r="J48" s="16" t="s">
        <v>54</v>
      </c>
      <c r="K48" s="17" t="s">
        <v>267</v>
      </c>
      <c r="L48" s="16" t="s">
        <v>54</v>
      </c>
      <c r="M48" s="17" t="s">
        <v>268</v>
      </c>
      <c r="N48" s="16" t="s">
        <v>57</v>
      </c>
      <c r="O48" s="17" t="s">
        <v>269</v>
      </c>
      <c r="P48" s="16" t="s">
        <v>57</v>
      </c>
      <c r="Q48" s="17" t="s">
        <v>270</v>
      </c>
      <c r="R48" s="16" t="s">
        <v>61</v>
      </c>
      <c r="S48" s="17" t="s">
        <v>271</v>
      </c>
      <c r="T48" s="18" t="n">
        <f>2861.91</f>
        <v>2861.91</v>
      </c>
      <c r="U48" s="19" t="n">
        <f>1187291</f>
        <v>1187291.0</v>
      </c>
      <c r="V48" s="19" t="n">
        <v>157406.0</v>
      </c>
      <c r="W48" s="23" t="n">
        <v>1.0</v>
      </c>
      <c r="X48" s="19" t="n">
        <f>34003017597768</f>
        <v>3.4003017597768E13</v>
      </c>
      <c r="Y48" s="19" t="n">
        <v>4.492615447768E12</v>
      </c>
      <c r="Z48" s="23" t="n">
        <v>2.936E7</v>
      </c>
      <c r="AA48" s="16"/>
      <c r="AB48" s="20" t="n">
        <f>368961</f>
        <v>368961.0</v>
      </c>
      <c r="AC48" s="21" t="n">
        <f>22</f>
        <v>22.0</v>
      </c>
    </row>
    <row r="49">
      <c r="A49" s="13" t="s">
        <v>46</v>
      </c>
      <c r="B49" s="14" t="s">
        <v>264</v>
      </c>
      <c r="C49" s="14" t="s">
        <v>265</v>
      </c>
      <c r="D49" s="22"/>
      <c r="E49" s="14" t="s">
        <v>63</v>
      </c>
      <c r="F49" s="15" t="s">
        <v>74</v>
      </c>
      <c r="G49" s="15" t="s">
        <v>65</v>
      </c>
      <c r="H49" s="16" t="s">
        <v>92</v>
      </c>
      <c r="I49" s="17" t="s">
        <v>272</v>
      </c>
      <c r="J49" s="16" t="s">
        <v>54</v>
      </c>
      <c r="K49" s="17" t="s">
        <v>273</v>
      </c>
      <c r="L49" s="16" t="s">
        <v>88</v>
      </c>
      <c r="M49" s="17" t="s">
        <v>274</v>
      </c>
      <c r="N49" s="16" t="s">
        <v>172</v>
      </c>
      <c r="O49" s="17" t="s">
        <v>275</v>
      </c>
      <c r="P49" s="16" t="s">
        <v>92</v>
      </c>
      <c r="Q49" s="17" t="s">
        <v>276</v>
      </c>
      <c r="R49" s="16" t="s">
        <v>61</v>
      </c>
      <c r="S49" s="17" t="s">
        <v>277</v>
      </c>
      <c r="T49" s="18" t="n">
        <f>2838.98</f>
        <v>2838.98</v>
      </c>
      <c r="U49" s="19" t="n">
        <f>1907</f>
        <v>1907.0</v>
      </c>
      <c r="V49" s="19" t="n">
        <v>1700.0</v>
      </c>
      <c r="W49" s="23" t="n">
        <v>1.0</v>
      </c>
      <c r="X49" s="19" t="n">
        <f>55061348000</f>
        <v>5.5061348E10</v>
      </c>
      <c r="Y49" s="19" t="n">
        <v>4.91322E10</v>
      </c>
      <c r="Z49" s="23" t="n">
        <v>2.9113E7</v>
      </c>
      <c r="AA49" s="16"/>
      <c r="AB49" s="20" t="n">
        <f>7490</f>
        <v>7490.0</v>
      </c>
      <c r="AC49" s="21" t="n">
        <f>19</f>
        <v>19.0</v>
      </c>
    </row>
    <row r="50">
      <c r="A50" s="13" t="s">
        <v>46</v>
      </c>
      <c r="B50" s="14" t="s">
        <v>264</v>
      </c>
      <c r="C50" s="14" t="s">
        <v>265</v>
      </c>
      <c r="D50" s="22"/>
      <c r="E50" s="14" t="s">
        <v>73</v>
      </c>
      <c r="F50" s="15" t="s">
        <v>159</v>
      </c>
      <c r="G50" s="15" t="s">
        <v>75</v>
      </c>
      <c r="H50" s="16"/>
      <c r="I50" s="17" t="s">
        <v>131</v>
      </c>
      <c r="J50" s="16"/>
      <c r="K50" s="17" t="s">
        <v>131</v>
      </c>
      <c r="L50" s="16"/>
      <c r="M50" s="17"/>
      <c r="N50" s="16"/>
      <c r="O50" s="17" t="s">
        <v>131</v>
      </c>
      <c r="P50" s="16"/>
      <c r="Q50" s="17"/>
      <c r="R50" s="16"/>
      <c r="S50" s="17" t="s">
        <v>131</v>
      </c>
      <c r="T50" s="18" t="n">
        <f>2839.61</f>
        <v>2839.61</v>
      </c>
      <c r="U50" s="19" t="str">
        <f>"－"</f>
        <v>－</v>
      </c>
      <c r="V50" s="19"/>
      <c r="W50" s="23"/>
      <c r="X50" s="19" t="str">
        <f>"－"</f>
        <v>－</v>
      </c>
      <c r="Y50" s="19"/>
      <c r="Z50" s="23"/>
      <c r="AA50" s="16"/>
      <c r="AB50" s="20" t="n">
        <f>261</f>
        <v>261.0</v>
      </c>
      <c r="AC50" s="21" t="str">
        <f>"－"</f>
        <v>－</v>
      </c>
    </row>
    <row r="51">
      <c r="A51" s="13" t="s">
        <v>46</v>
      </c>
      <c r="B51" s="14" t="s">
        <v>264</v>
      </c>
      <c r="C51" s="14" t="s">
        <v>265</v>
      </c>
      <c r="D51" s="22"/>
      <c r="E51" s="14" t="s">
        <v>85</v>
      </c>
      <c r="F51" s="15" t="s">
        <v>95</v>
      </c>
      <c r="G51" s="15" t="s">
        <v>86</v>
      </c>
      <c r="H51" s="16"/>
      <c r="I51" s="17" t="s">
        <v>131</v>
      </c>
      <c r="J51" s="16"/>
      <c r="K51" s="17" t="s">
        <v>131</v>
      </c>
      <c r="L51" s="16" t="s">
        <v>59</v>
      </c>
      <c r="M51" s="17" t="s">
        <v>278</v>
      </c>
      <c r="N51" s="16"/>
      <c r="O51" s="17" t="s">
        <v>131</v>
      </c>
      <c r="P51" s="16" t="s">
        <v>59</v>
      </c>
      <c r="Q51" s="17" t="s">
        <v>278</v>
      </c>
      <c r="R51" s="16"/>
      <c r="S51" s="17" t="s">
        <v>131</v>
      </c>
      <c r="T51" s="18" t="n">
        <f>2813.2</f>
        <v>2813.2</v>
      </c>
      <c r="U51" s="19" t="n">
        <f>200</f>
        <v>200.0</v>
      </c>
      <c r="V51" s="19" t="n">
        <v>200.0</v>
      </c>
      <c r="W51" s="23"/>
      <c r="X51" s="19" t="n">
        <f>5556000000</f>
        <v>5.556E9</v>
      </c>
      <c r="Y51" s="19" t="n">
        <v>5.556E9</v>
      </c>
      <c r="Z51" s="23"/>
      <c r="AA51" s="16"/>
      <c r="AB51" s="20" t="n">
        <f>900</f>
        <v>900.0</v>
      </c>
      <c r="AC51" s="21" t="str">
        <f>"－"</f>
        <v>－</v>
      </c>
    </row>
    <row r="52">
      <c r="A52" s="13" t="s">
        <v>46</v>
      </c>
      <c r="B52" s="14" t="s">
        <v>264</v>
      </c>
      <c r="C52" s="14" t="s">
        <v>265</v>
      </c>
      <c r="D52" s="22"/>
      <c r="E52" s="14" t="s">
        <v>94</v>
      </c>
      <c r="F52" s="15" t="s">
        <v>279</v>
      </c>
      <c r="G52" s="15" t="s">
        <v>96</v>
      </c>
      <c r="H52" s="16"/>
      <c r="I52" s="17" t="s">
        <v>131</v>
      </c>
      <c r="J52" s="16"/>
      <c r="K52" s="17" t="s">
        <v>131</v>
      </c>
      <c r="L52" s="16"/>
      <c r="M52" s="17"/>
      <c r="N52" s="16"/>
      <c r="O52" s="17" t="s">
        <v>131</v>
      </c>
      <c r="P52" s="16"/>
      <c r="Q52" s="17"/>
      <c r="R52" s="16"/>
      <c r="S52" s="17" t="s">
        <v>131</v>
      </c>
      <c r="T52" s="18" t="n">
        <f>2814.32</f>
        <v>2814.32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264</v>
      </c>
      <c r="C53" s="14" t="s">
        <v>265</v>
      </c>
      <c r="D53" s="22"/>
      <c r="E53" s="14" t="s">
        <v>104</v>
      </c>
      <c r="F53" s="15" t="s">
        <v>279</v>
      </c>
      <c r="G53" s="15" t="s">
        <v>106</v>
      </c>
      <c r="H53" s="16"/>
      <c r="I53" s="17" t="s">
        <v>131</v>
      </c>
      <c r="J53" s="16"/>
      <c r="K53" s="17" t="s">
        <v>131</v>
      </c>
      <c r="L53" s="16" t="s">
        <v>107</v>
      </c>
      <c r="M53" s="17" t="s">
        <v>280</v>
      </c>
      <c r="N53" s="16"/>
      <c r="O53" s="17" t="s">
        <v>131</v>
      </c>
      <c r="P53" s="16" t="s">
        <v>70</v>
      </c>
      <c r="Q53" s="17" t="s">
        <v>281</v>
      </c>
      <c r="R53" s="16"/>
      <c r="S53" s="17" t="s">
        <v>131</v>
      </c>
      <c r="T53" s="18" t="n">
        <f>2791.02</f>
        <v>2791.02</v>
      </c>
      <c r="U53" s="19" t="n">
        <f>316</f>
        <v>316.0</v>
      </c>
      <c r="V53" s="19" t="n">
        <v>316.0</v>
      </c>
      <c r="W53" s="23"/>
      <c r="X53" s="19" t="n">
        <f>8740000000</f>
        <v>8.74E9</v>
      </c>
      <c r="Y53" s="19" t="n">
        <v>8.74E9</v>
      </c>
      <c r="Z53" s="23"/>
      <c r="AA53" s="16"/>
      <c r="AB53" s="20" t="n">
        <f>316</f>
        <v>316.0</v>
      </c>
      <c r="AC53" s="21" t="str">
        <f>"－"</f>
        <v>－</v>
      </c>
    </row>
    <row r="54">
      <c r="A54" s="13" t="s">
        <v>46</v>
      </c>
      <c r="B54" s="14" t="s">
        <v>264</v>
      </c>
      <c r="C54" s="14" t="s">
        <v>265</v>
      </c>
      <c r="D54" s="22"/>
      <c r="E54" s="14" t="s">
        <v>114</v>
      </c>
      <c r="F54" s="15" t="s">
        <v>279</v>
      </c>
      <c r="G54" s="15" t="s">
        <v>116</v>
      </c>
      <c r="H54" s="16"/>
      <c r="I54" s="17" t="s">
        <v>131</v>
      </c>
      <c r="J54" s="16"/>
      <c r="K54" s="17" t="s">
        <v>131</v>
      </c>
      <c r="L54" s="16"/>
      <c r="M54" s="17"/>
      <c r="N54" s="16"/>
      <c r="O54" s="17" t="s">
        <v>131</v>
      </c>
      <c r="P54" s="16"/>
      <c r="Q54" s="17"/>
      <c r="R54" s="16"/>
      <c r="S54" s="17" t="s">
        <v>131</v>
      </c>
      <c r="T54" s="18" t="n">
        <f>2765.98</f>
        <v>2765.98</v>
      </c>
      <c r="U54" s="19" t="str">
        <f>"－"</f>
        <v>－</v>
      </c>
      <c r="V54" s="19"/>
      <c r="W54" s="23"/>
      <c r="X54" s="19" t="str">
        <f>"－"</f>
        <v>－</v>
      </c>
      <c r="Y54" s="19"/>
      <c r="Z54" s="23"/>
      <c r="AA54" s="16"/>
      <c r="AB54" s="20" t="str">
        <f>"－"</f>
        <v>－</v>
      </c>
      <c r="AC54" s="21" t="str">
        <f>"－"</f>
        <v>－</v>
      </c>
    </row>
    <row r="55">
      <c r="A55" s="13" t="s">
        <v>46</v>
      </c>
      <c r="B55" s="14" t="s">
        <v>264</v>
      </c>
      <c r="C55" s="14" t="s">
        <v>265</v>
      </c>
      <c r="D55" s="22"/>
      <c r="E55" s="14" t="s">
        <v>120</v>
      </c>
      <c r="F55" s="15" t="s">
        <v>279</v>
      </c>
      <c r="G55" s="15" t="s">
        <v>122</v>
      </c>
      <c r="H55" s="16"/>
      <c r="I55" s="17" t="s">
        <v>131</v>
      </c>
      <c r="J55" s="16"/>
      <c r="K55" s="17" t="s">
        <v>131</v>
      </c>
      <c r="L55" s="16"/>
      <c r="M55" s="17"/>
      <c r="N55" s="16"/>
      <c r="O55" s="17" t="s">
        <v>131</v>
      </c>
      <c r="P55" s="16"/>
      <c r="Q55" s="17"/>
      <c r="R55" s="16"/>
      <c r="S55" s="17" t="s">
        <v>131</v>
      </c>
      <c r="T55" s="18" t="n">
        <f>2744.41</f>
        <v>2744.41</v>
      </c>
      <c r="U55" s="19" t="str">
        <f>"－"</f>
        <v>－</v>
      </c>
      <c r="V55" s="19"/>
      <c r="W55" s="23"/>
      <c r="X55" s="19" t="str">
        <f>"－"</f>
        <v>－</v>
      </c>
      <c r="Y55" s="19"/>
      <c r="Z55" s="23"/>
      <c r="AA55" s="16"/>
      <c r="AB55" s="20" t="n">
        <f>100</f>
        <v>100.0</v>
      </c>
      <c r="AC55" s="21" t="str">
        <f>"－"</f>
        <v>－</v>
      </c>
    </row>
    <row r="56">
      <c r="A56" s="13" t="s">
        <v>46</v>
      </c>
      <c r="B56" s="14" t="s">
        <v>264</v>
      </c>
      <c r="C56" s="14" t="s">
        <v>265</v>
      </c>
      <c r="D56" s="22"/>
      <c r="E56" s="14" t="s">
        <v>128</v>
      </c>
      <c r="F56" s="15" t="s">
        <v>279</v>
      </c>
      <c r="G56" s="15" t="s">
        <v>130</v>
      </c>
      <c r="H56" s="16"/>
      <c r="I56" s="17" t="s">
        <v>131</v>
      </c>
      <c r="J56" s="16"/>
      <c r="K56" s="17" t="s">
        <v>131</v>
      </c>
      <c r="L56" s="16"/>
      <c r="M56" s="17"/>
      <c r="N56" s="16"/>
      <c r="O56" s="17" t="s">
        <v>131</v>
      </c>
      <c r="P56" s="16"/>
      <c r="Q56" s="17"/>
      <c r="R56" s="16"/>
      <c r="S56" s="17" t="s">
        <v>131</v>
      </c>
      <c r="T56" s="18" t="n">
        <f>2720</f>
        <v>2720.0</v>
      </c>
      <c r="U56" s="19" t="str">
        <f>"－"</f>
        <v>－</v>
      </c>
      <c r="V56" s="19"/>
      <c r="W56" s="23"/>
      <c r="X56" s="19" t="str">
        <f>"－"</f>
        <v>－</v>
      </c>
      <c r="Y56" s="19"/>
      <c r="Z56" s="23"/>
      <c r="AA56" s="16"/>
      <c r="AB56" s="20" t="str">
        <f>"－"</f>
        <v>－</v>
      </c>
      <c r="AC56" s="21" t="str">
        <f>"－"</f>
        <v>－</v>
      </c>
    </row>
    <row r="57">
      <c r="A57" s="13" t="s">
        <v>46</v>
      </c>
      <c r="B57" s="14" t="s">
        <v>264</v>
      </c>
      <c r="C57" s="14" t="s">
        <v>265</v>
      </c>
      <c r="D57" s="22"/>
      <c r="E57" s="14" t="s">
        <v>132</v>
      </c>
      <c r="F57" s="15" t="s">
        <v>279</v>
      </c>
      <c r="G57" s="15" t="s">
        <v>134</v>
      </c>
      <c r="H57" s="16"/>
      <c r="I57" s="17" t="s">
        <v>131</v>
      </c>
      <c r="J57" s="16"/>
      <c r="K57" s="17" t="s">
        <v>131</v>
      </c>
      <c r="L57" s="16" t="s">
        <v>282</v>
      </c>
      <c r="M57" s="17" t="s">
        <v>283</v>
      </c>
      <c r="N57" s="16"/>
      <c r="O57" s="17" t="s">
        <v>131</v>
      </c>
      <c r="P57" s="16" t="s">
        <v>282</v>
      </c>
      <c r="Q57" s="17" t="s">
        <v>283</v>
      </c>
      <c r="R57" s="16"/>
      <c r="S57" s="17" t="s">
        <v>131</v>
      </c>
      <c r="T57" s="18" t="n">
        <f>2698.95</f>
        <v>2698.95</v>
      </c>
      <c r="U57" s="19" t="n">
        <f>550</f>
        <v>550.0</v>
      </c>
      <c r="V57" s="19" t="n">
        <v>550.0</v>
      </c>
      <c r="W57" s="23"/>
      <c r="X57" s="19" t="n">
        <f>14822500000</f>
        <v>1.48225E10</v>
      </c>
      <c r="Y57" s="19" t="n">
        <v>1.48225E10</v>
      </c>
      <c r="Z57" s="23"/>
      <c r="AA57" s="16"/>
      <c r="AB57" s="20" t="n">
        <f>550</f>
        <v>550.0</v>
      </c>
      <c r="AC57" s="21" t="str">
        <f>"－"</f>
        <v>－</v>
      </c>
    </row>
    <row r="58">
      <c r="A58" s="13" t="s">
        <v>46</v>
      </c>
      <c r="B58" s="14" t="s">
        <v>264</v>
      </c>
      <c r="C58" s="14" t="s">
        <v>265</v>
      </c>
      <c r="D58" s="22"/>
      <c r="E58" s="14" t="s">
        <v>135</v>
      </c>
      <c r="F58" s="15" t="s">
        <v>279</v>
      </c>
      <c r="G58" s="15" t="s">
        <v>137</v>
      </c>
      <c r="H58" s="16"/>
      <c r="I58" s="17" t="s">
        <v>131</v>
      </c>
      <c r="J58" s="16"/>
      <c r="K58" s="17" t="s">
        <v>131</v>
      </c>
      <c r="L58" s="16"/>
      <c r="M58" s="17"/>
      <c r="N58" s="16"/>
      <c r="O58" s="17" t="s">
        <v>131</v>
      </c>
      <c r="P58" s="16"/>
      <c r="Q58" s="17"/>
      <c r="R58" s="16"/>
      <c r="S58" s="17" t="s">
        <v>131</v>
      </c>
      <c r="T58" s="18" t="n">
        <f>2675.09</f>
        <v>2675.09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264</v>
      </c>
      <c r="C59" s="14" t="s">
        <v>265</v>
      </c>
      <c r="D59" s="22"/>
      <c r="E59" s="14" t="s">
        <v>139</v>
      </c>
      <c r="F59" s="15" t="s">
        <v>279</v>
      </c>
      <c r="G59" s="15" t="s">
        <v>141</v>
      </c>
      <c r="H59" s="16"/>
      <c r="I59" s="17" t="s">
        <v>131</v>
      </c>
      <c r="J59" s="16"/>
      <c r="K59" s="17" t="s">
        <v>131</v>
      </c>
      <c r="L59" s="16"/>
      <c r="M59" s="17"/>
      <c r="N59" s="16"/>
      <c r="O59" s="17" t="s">
        <v>131</v>
      </c>
      <c r="P59" s="16"/>
      <c r="Q59" s="17"/>
      <c r="R59" s="16"/>
      <c r="S59" s="17" t="s">
        <v>131</v>
      </c>
      <c r="T59" s="18" t="n">
        <f>2654.95</f>
        <v>2654.95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264</v>
      </c>
      <c r="C60" s="14" t="s">
        <v>265</v>
      </c>
      <c r="D60" s="22"/>
      <c r="E60" s="14" t="s">
        <v>143</v>
      </c>
      <c r="F60" s="15" t="s">
        <v>162</v>
      </c>
      <c r="G60" s="15" t="s">
        <v>145</v>
      </c>
      <c r="H60" s="16"/>
      <c r="I60" s="17" t="s">
        <v>131</v>
      </c>
      <c r="J60" s="16"/>
      <c r="K60" s="17" t="s">
        <v>131</v>
      </c>
      <c r="L60" s="16"/>
      <c r="M60" s="17"/>
      <c r="N60" s="16"/>
      <c r="O60" s="17" t="s">
        <v>131</v>
      </c>
      <c r="P60" s="16"/>
      <c r="Q60" s="17"/>
      <c r="R60" s="16"/>
      <c r="S60" s="17" t="s">
        <v>131</v>
      </c>
      <c r="T60" s="18" t="n">
        <f>2631.7</f>
        <v>2631.7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284</v>
      </c>
      <c r="C61" s="14" t="s">
        <v>285</v>
      </c>
      <c r="D61" s="22"/>
      <c r="E61" s="14" t="s">
        <v>49</v>
      </c>
      <c r="F61" s="15" t="s">
        <v>159</v>
      </c>
      <c r="G61" s="15" t="s">
        <v>51</v>
      </c>
      <c r="H61" s="16" t="s">
        <v>52</v>
      </c>
      <c r="I61" s="17" t="s">
        <v>286</v>
      </c>
      <c r="J61" s="16" t="s">
        <v>54</v>
      </c>
      <c r="K61" s="17" t="s">
        <v>287</v>
      </c>
      <c r="L61" s="16" t="s">
        <v>54</v>
      </c>
      <c r="M61" s="17" t="s">
        <v>288</v>
      </c>
      <c r="N61" s="16" t="s">
        <v>57</v>
      </c>
      <c r="O61" s="17" t="s">
        <v>289</v>
      </c>
      <c r="P61" s="16" t="s">
        <v>57</v>
      </c>
      <c r="Q61" s="17" t="s">
        <v>290</v>
      </c>
      <c r="R61" s="16" t="s">
        <v>61</v>
      </c>
      <c r="S61" s="17" t="s">
        <v>291</v>
      </c>
      <c r="T61" s="18" t="n">
        <f>2861.91</f>
        <v>2861.91</v>
      </c>
      <c r="U61" s="19" t="n">
        <f>477885</f>
        <v>477885.0</v>
      </c>
      <c r="V61" s="19" t="n">
        <v>19548.0</v>
      </c>
      <c r="W61" s="23"/>
      <c r="X61" s="19" t="n">
        <f>1369920215480</f>
        <v>1.36992021548E12</v>
      </c>
      <c r="Y61" s="19" t="n">
        <v>5.591714073E10</v>
      </c>
      <c r="Z61" s="23"/>
      <c r="AA61" s="16"/>
      <c r="AB61" s="20" t="n">
        <f>44176</f>
        <v>44176.0</v>
      </c>
      <c r="AC61" s="21" t="n">
        <f>22</f>
        <v>22.0</v>
      </c>
    </row>
    <row r="62">
      <c r="A62" s="13" t="s">
        <v>46</v>
      </c>
      <c r="B62" s="14" t="s">
        <v>284</v>
      </c>
      <c r="C62" s="14" t="s">
        <v>285</v>
      </c>
      <c r="D62" s="22"/>
      <c r="E62" s="14" t="s">
        <v>63</v>
      </c>
      <c r="F62" s="15" t="s">
        <v>95</v>
      </c>
      <c r="G62" s="15" t="s">
        <v>65</v>
      </c>
      <c r="H62" s="16" t="s">
        <v>92</v>
      </c>
      <c r="I62" s="17" t="s">
        <v>292</v>
      </c>
      <c r="J62" s="16" t="s">
        <v>54</v>
      </c>
      <c r="K62" s="17" t="s">
        <v>293</v>
      </c>
      <c r="L62" s="16" t="s">
        <v>78</v>
      </c>
      <c r="M62" s="17" t="s">
        <v>294</v>
      </c>
      <c r="N62" s="16" t="s">
        <v>92</v>
      </c>
      <c r="O62" s="17" t="s">
        <v>292</v>
      </c>
      <c r="P62" s="16" t="s">
        <v>124</v>
      </c>
      <c r="Q62" s="17" t="s">
        <v>295</v>
      </c>
      <c r="R62" s="16" t="s">
        <v>61</v>
      </c>
      <c r="S62" s="17" t="s">
        <v>296</v>
      </c>
      <c r="T62" s="18" t="n">
        <f>2838.98</f>
        <v>2838.98</v>
      </c>
      <c r="U62" s="19" t="n">
        <f>44</f>
        <v>44.0</v>
      </c>
      <c r="V62" s="19" t="n">
        <v>2.0</v>
      </c>
      <c r="W62" s="23"/>
      <c r="X62" s="19" t="n">
        <f>127229100</f>
        <v>1.272291E8</v>
      </c>
      <c r="Y62" s="19" t="n">
        <v>5720600.0</v>
      </c>
      <c r="Z62" s="23"/>
      <c r="AA62" s="16"/>
      <c r="AB62" s="20" t="n">
        <f>20</f>
        <v>20.0</v>
      </c>
      <c r="AC62" s="21" t="n">
        <f>7</f>
        <v>7.0</v>
      </c>
    </row>
    <row r="63">
      <c r="A63" s="13" t="s">
        <v>46</v>
      </c>
      <c r="B63" s="14" t="s">
        <v>284</v>
      </c>
      <c r="C63" s="14" t="s">
        <v>285</v>
      </c>
      <c r="D63" s="22"/>
      <c r="E63" s="14" t="s">
        <v>73</v>
      </c>
      <c r="F63" s="15" t="s">
        <v>162</v>
      </c>
      <c r="G63" s="15" t="s">
        <v>75</v>
      </c>
      <c r="H63" s="16"/>
      <c r="I63" s="17" t="s">
        <v>131</v>
      </c>
      <c r="J63" s="16"/>
      <c r="K63" s="17" t="s">
        <v>131</v>
      </c>
      <c r="L63" s="16"/>
      <c r="M63" s="17"/>
      <c r="N63" s="16"/>
      <c r="O63" s="17" t="s">
        <v>131</v>
      </c>
      <c r="P63" s="16"/>
      <c r="Q63" s="17"/>
      <c r="R63" s="16"/>
      <c r="S63" s="17" t="s">
        <v>131</v>
      </c>
      <c r="T63" s="18" t="n">
        <f>2839.61</f>
        <v>2839.61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297</v>
      </c>
      <c r="C64" s="14" t="s">
        <v>298</v>
      </c>
      <c r="D64" s="22"/>
      <c r="E64" s="14" t="s">
        <v>49</v>
      </c>
      <c r="F64" s="15" t="s">
        <v>156</v>
      </c>
      <c r="G64" s="15" t="s">
        <v>51</v>
      </c>
      <c r="H64" s="16"/>
      <c r="I64" s="17" t="s">
        <v>131</v>
      </c>
      <c r="J64" s="16"/>
      <c r="K64" s="17" t="s">
        <v>131</v>
      </c>
      <c r="L64" s="16"/>
      <c r="M64" s="17"/>
      <c r="N64" s="16"/>
      <c r="O64" s="17" t="s">
        <v>131</v>
      </c>
      <c r="P64" s="16"/>
      <c r="Q64" s="17"/>
      <c r="R64" s="16"/>
      <c r="S64" s="17" t="s">
        <v>131</v>
      </c>
      <c r="T64" s="18" t="n">
        <f>1250.84</f>
        <v>1250.84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n">
        <f>49</f>
        <v>49.0</v>
      </c>
      <c r="AC64" s="21" t="str">
        <f>"－"</f>
        <v>－</v>
      </c>
    </row>
    <row r="65">
      <c r="A65" s="13" t="s">
        <v>46</v>
      </c>
      <c r="B65" s="14" t="s">
        <v>297</v>
      </c>
      <c r="C65" s="14" t="s">
        <v>298</v>
      </c>
      <c r="D65" s="22"/>
      <c r="E65" s="14" t="s">
        <v>63</v>
      </c>
      <c r="F65" s="15" t="s">
        <v>74</v>
      </c>
      <c r="G65" s="15" t="s">
        <v>65</v>
      </c>
      <c r="H65" s="16"/>
      <c r="I65" s="17" t="s">
        <v>131</v>
      </c>
      <c r="J65" s="16"/>
      <c r="K65" s="17" t="s">
        <v>131</v>
      </c>
      <c r="L65" s="16"/>
      <c r="M65" s="17"/>
      <c r="N65" s="16"/>
      <c r="O65" s="17" t="s">
        <v>131</v>
      </c>
      <c r="P65" s="16"/>
      <c r="Q65" s="17"/>
      <c r="R65" s="16"/>
      <c r="S65" s="17" t="s">
        <v>131</v>
      </c>
      <c r="T65" s="18" t="n">
        <f>1241.23</f>
        <v>1241.23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297</v>
      </c>
      <c r="C66" s="14" t="s">
        <v>298</v>
      </c>
      <c r="D66" s="22"/>
      <c r="E66" s="14" t="s">
        <v>73</v>
      </c>
      <c r="F66" s="15" t="s">
        <v>159</v>
      </c>
      <c r="G66" s="15" t="s">
        <v>75</v>
      </c>
      <c r="H66" s="16"/>
      <c r="I66" s="17" t="s">
        <v>131</v>
      </c>
      <c r="J66" s="16"/>
      <c r="K66" s="17" t="s">
        <v>131</v>
      </c>
      <c r="L66" s="16"/>
      <c r="M66" s="17"/>
      <c r="N66" s="16"/>
      <c r="O66" s="17" t="s">
        <v>131</v>
      </c>
      <c r="P66" s="16"/>
      <c r="Q66" s="17"/>
      <c r="R66" s="16"/>
      <c r="S66" s="17" t="s">
        <v>131</v>
      </c>
      <c r="T66" s="18" t="n">
        <f>1241.23</f>
        <v>1241.23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str">
        <f>"－"</f>
        <v>－</v>
      </c>
      <c r="AC66" s="21" t="str">
        <f>"－"</f>
        <v>－</v>
      </c>
    </row>
    <row r="67">
      <c r="A67" s="13" t="s">
        <v>46</v>
      </c>
      <c r="B67" s="14" t="s">
        <v>297</v>
      </c>
      <c r="C67" s="14" t="s">
        <v>298</v>
      </c>
      <c r="D67" s="22"/>
      <c r="E67" s="14" t="s">
        <v>85</v>
      </c>
      <c r="F67" s="15" t="s">
        <v>95</v>
      </c>
      <c r="G67" s="15" t="s">
        <v>86</v>
      </c>
      <c r="H67" s="16"/>
      <c r="I67" s="17" t="s">
        <v>131</v>
      </c>
      <c r="J67" s="16"/>
      <c r="K67" s="17" t="s">
        <v>131</v>
      </c>
      <c r="L67" s="16"/>
      <c r="M67" s="17"/>
      <c r="N67" s="16"/>
      <c r="O67" s="17" t="s">
        <v>131</v>
      </c>
      <c r="P67" s="16"/>
      <c r="Q67" s="17"/>
      <c r="R67" s="16"/>
      <c r="S67" s="17" t="s">
        <v>131</v>
      </c>
      <c r="T67" s="18" t="n">
        <f>1229.64</f>
        <v>1229.64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297</v>
      </c>
      <c r="C68" s="14" t="s">
        <v>298</v>
      </c>
      <c r="D68" s="22"/>
      <c r="E68" s="14" t="s">
        <v>94</v>
      </c>
      <c r="F68" s="15" t="s">
        <v>162</v>
      </c>
      <c r="G68" s="15" t="s">
        <v>96</v>
      </c>
      <c r="H68" s="16"/>
      <c r="I68" s="17" t="s">
        <v>131</v>
      </c>
      <c r="J68" s="16"/>
      <c r="K68" s="17" t="s">
        <v>131</v>
      </c>
      <c r="L68" s="16"/>
      <c r="M68" s="17"/>
      <c r="N68" s="16"/>
      <c r="O68" s="17" t="s">
        <v>131</v>
      </c>
      <c r="P68" s="16"/>
      <c r="Q68" s="17"/>
      <c r="R68" s="16"/>
      <c r="S68" s="17" t="s">
        <v>131</v>
      </c>
      <c r="T68" s="18" t="n">
        <f>1230.07</f>
        <v>1230.07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299</v>
      </c>
      <c r="C69" s="14" t="s">
        <v>300</v>
      </c>
      <c r="D69" s="22"/>
      <c r="E69" s="14" t="s">
        <v>49</v>
      </c>
      <c r="F69" s="15" t="s">
        <v>156</v>
      </c>
      <c r="G69" s="15" t="s">
        <v>51</v>
      </c>
      <c r="H69" s="16" t="s">
        <v>52</v>
      </c>
      <c r="I69" s="17" t="s">
        <v>301</v>
      </c>
      <c r="J69" s="16" t="s">
        <v>54</v>
      </c>
      <c r="K69" s="17" t="s">
        <v>302</v>
      </c>
      <c r="L69" s="16" t="s">
        <v>54</v>
      </c>
      <c r="M69" s="17" t="s">
        <v>303</v>
      </c>
      <c r="N69" s="16" t="s">
        <v>57</v>
      </c>
      <c r="O69" s="17" t="s">
        <v>304</v>
      </c>
      <c r="P69" s="16" t="s">
        <v>57</v>
      </c>
      <c r="Q69" s="17" t="s">
        <v>305</v>
      </c>
      <c r="R69" s="16" t="s">
        <v>61</v>
      </c>
      <c r="S69" s="17" t="s">
        <v>306</v>
      </c>
      <c r="T69" s="18" t="n">
        <f>25856.36</f>
        <v>25856.36</v>
      </c>
      <c r="U69" s="19" t="n">
        <f>76526</f>
        <v>76526.0</v>
      </c>
      <c r="V69" s="19" t="n">
        <v>16915.0</v>
      </c>
      <c r="W69" s="23"/>
      <c r="X69" s="19" t="n">
        <f>197388419726</f>
        <v>1.97388419726E11</v>
      </c>
      <c r="Y69" s="19" t="n">
        <v>4.3293919726E10</v>
      </c>
      <c r="Z69" s="23"/>
      <c r="AA69" s="16"/>
      <c r="AB69" s="20" t="n">
        <f>40872</f>
        <v>40872.0</v>
      </c>
      <c r="AC69" s="21" t="n">
        <f>22</f>
        <v>22.0</v>
      </c>
    </row>
    <row r="70">
      <c r="A70" s="13" t="s">
        <v>46</v>
      </c>
      <c r="B70" s="14" t="s">
        <v>299</v>
      </c>
      <c r="C70" s="14" t="s">
        <v>300</v>
      </c>
      <c r="D70" s="22"/>
      <c r="E70" s="14" t="s">
        <v>63</v>
      </c>
      <c r="F70" s="15" t="s">
        <v>74</v>
      </c>
      <c r="G70" s="15" t="s">
        <v>65</v>
      </c>
      <c r="H70" s="16"/>
      <c r="I70" s="17" t="s">
        <v>131</v>
      </c>
      <c r="J70" s="16"/>
      <c r="K70" s="17" t="s">
        <v>131</v>
      </c>
      <c r="L70" s="16"/>
      <c r="M70" s="17"/>
      <c r="N70" s="16"/>
      <c r="O70" s="17" t="s">
        <v>131</v>
      </c>
      <c r="P70" s="16"/>
      <c r="Q70" s="17"/>
      <c r="R70" s="16"/>
      <c r="S70" s="17" t="s">
        <v>131</v>
      </c>
      <c r="T70" s="18" t="n">
        <f>25655.23</f>
        <v>25655.23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299</v>
      </c>
      <c r="C71" s="14" t="s">
        <v>300</v>
      </c>
      <c r="D71" s="22"/>
      <c r="E71" s="14" t="s">
        <v>73</v>
      </c>
      <c r="F71" s="15" t="s">
        <v>159</v>
      </c>
      <c r="G71" s="15" t="s">
        <v>75</v>
      </c>
      <c r="H71" s="16"/>
      <c r="I71" s="17" t="s">
        <v>131</v>
      </c>
      <c r="J71" s="16"/>
      <c r="K71" s="17" t="s">
        <v>131</v>
      </c>
      <c r="L71" s="16"/>
      <c r="M71" s="17"/>
      <c r="N71" s="16"/>
      <c r="O71" s="17" t="s">
        <v>131</v>
      </c>
      <c r="P71" s="16"/>
      <c r="Q71" s="17"/>
      <c r="R71" s="16"/>
      <c r="S71" s="17" t="s">
        <v>131</v>
      </c>
      <c r="T71" s="18" t="n">
        <f>25648.64</f>
        <v>25648.64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299</v>
      </c>
      <c r="C72" s="14" t="s">
        <v>300</v>
      </c>
      <c r="D72" s="22"/>
      <c r="E72" s="14" t="s">
        <v>85</v>
      </c>
      <c r="F72" s="15" t="s">
        <v>95</v>
      </c>
      <c r="G72" s="15" t="s">
        <v>86</v>
      </c>
      <c r="H72" s="16"/>
      <c r="I72" s="17" t="s">
        <v>131</v>
      </c>
      <c r="J72" s="16"/>
      <c r="K72" s="17" t="s">
        <v>131</v>
      </c>
      <c r="L72" s="16"/>
      <c r="M72" s="17"/>
      <c r="N72" s="16"/>
      <c r="O72" s="17" t="s">
        <v>131</v>
      </c>
      <c r="P72" s="16"/>
      <c r="Q72" s="17"/>
      <c r="R72" s="16"/>
      <c r="S72" s="17" t="s">
        <v>131</v>
      </c>
      <c r="T72" s="18" t="n">
        <f>25421.14</f>
        <v>25421.14</v>
      </c>
      <c r="U72" s="19" t="str">
        <f>"－"</f>
        <v>－</v>
      </c>
      <c r="V72" s="19"/>
      <c r="W72" s="23"/>
      <c r="X72" s="19" t="str">
        <f>"－"</f>
        <v>－</v>
      </c>
      <c r="Y72" s="19"/>
      <c r="Z72" s="23"/>
      <c r="AA72" s="16"/>
      <c r="AB72" s="20" t="str">
        <f>"－"</f>
        <v>－</v>
      </c>
      <c r="AC72" s="21" t="str">
        <f>"－"</f>
        <v>－</v>
      </c>
    </row>
    <row r="73">
      <c r="A73" s="13" t="s">
        <v>46</v>
      </c>
      <c r="B73" s="14" t="s">
        <v>299</v>
      </c>
      <c r="C73" s="14" t="s">
        <v>300</v>
      </c>
      <c r="D73" s="22"/>
      <c r="E73" s="14" t="s">
        <v>94</v>
      </c>
      <c r="F73" s="15" t="s">
        <v>162</v>
      </c>
      <c r="G73" s="15" t="s">
        <v>96</v>
      </c>
      <c r="H73" s="16"/>
      <c r="I73" s="17" t="s">
        <v>131</v>
      </c>
      <c r="J73" s="16"/>
      <c r="K73" s="17" t="s">
        <v>131</v>
      </c>
      <c r="L73" s="16"/>
      <c r="M73" s="17"/>
      <c r="N73" s="16"/>
      <c r="O73" s="17" t="s">
        <v>131</v>
      </c>
      <c r="P73" s="16"/>
      <c r="Q73" s="17"/>
      <c r="R73" s="16"/>
      <c r="S73" s="17" t="s">
        <v>131</v>
      </c>
      <c r="T73" s="18" t="n">
        <f>25423.41</f>
        <v>25423.41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307</v>
      </c>
      <c r="C74" s="14" t="s">
        <v>308</v>
      </c>
      <c r="D74" s="22"/>
      <c r="E74" s="14" t="s">
        <v>49</v>
      </c>
      <c r="F74" s="15" t="s">
        <v>159</v>
      </c>
      <c r="G74" s="15" t="s">
        <v>51</v>
      </c>
      <c r="H74" s="16"/>
      <c r="I74" s="17" t="s">
        <v>131</v>
      </c>
      <c r="J74" s="16"/>
      <c r="K74" s="17" t="s">
        <v>131</v>
      </c>
      <c r="L74" s="16"/>
      <c r="M74" s="17"/>
      <c r="N74" s="16"/>
      <c r="O74" s="17" t="s">
        <v>131</v>
      </c>
      <c r="P74" s="16"/>
      <c r="Q74" s="17"/>
      <c r="R74" s="16"/>
      <c r="S74" s="17" t="s">
        <v>131</v>
      </c>
      <c r="T74" s="18" t="n">
        <f>1497.18</f>
        <v>1497.18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n">
        <f>245</f>
        <v>245.0</v>
      </c>
      <c r="AC74" s="21" t="str">
        <f>"－"</f>
        <v>－</v>
      </c>
    </row>
    <row r="75">
      <c r="A75" s="13" t="s">
        <v>46</v>
      </c>
      <c r="B75" s="14" t="s">
        <v>307</v>
      </c>
      <c r="C75" s="14" t="s">
        <v>308</v>
      </c>
      <c r="D75" s="22"/>
      <c r="E75" s="14" t="s">
        <v>63</v>
      </c>
      <c r="F75" s="15" t="s">
        <v>95</v>
      </c>
      <c r="G75" s="15" t="s">
        <v>65</v>
      </c>
      <c r="H75" s="16"/>
      <c r="I75" s="17" t="s">
        <v>131</v>
      </c>
      <c r="J75" s="16"/>
      <c r="K75" s="17" t="s">
        <v>131</v>
      </c>
      <c r="L75" s="16"/>
      <c r="M75" s="17"/>
      <c r="N75" s="16"/>
      <c r="O75" s="17" t="s">
        <v>131</v>
      </c>
      <c r="P75" s="16"/>
      <c r="Q75" s="17"/>
      <c r="R75" s="16"/>
      <c r="S75" s="17" t="s">
        <v>131</v>
      </c>
      <c r="T75" s="18" t="n">
        <f>1484.3</f>
        <v>1484.3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307</v>
      </c>
      <c r="C76" s="14" t="s">
        <v>308</v>
      </c>
      <c r="D76" s="22"/>
      <c r="E76" s="14" t="s">
        <v>73</v>
      </c>
      <c r="F76" s="15" t="s">
        <v>162</v>
      </c>
      <c r="G76" s="15" t="s">
        <v>75</v>
      </c>
      <c r="H76" s="16"/>
      <c r="I76" s="17" t="s">
        <v>131</v>
      </c>
      <c r="J76" s="16"/>
      <c r="K76" s="17" t="s">
        <v>131</v>
      </c>
      <c r="L76" s="16"/>
      <c r="M76" s="17"/>
      <c r="N76" s="16"/>
      <c r="O76" s="17" t="s">
        <v>131</v>
      </c>
      <c r="P76" s="16"/>
      <c r="Q76" s="17"/>
      <c r="R76" s="16"/>
      <c r="S76" s="17" t="s">
        <v>131</v>
      </c>
      <c r="T76" s="18" t="n">
        <f>1486</f>
        <v>1486.0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309</v>
      </c>
      <c r="C77" s="14" t="s">
        <v>310</v>
      </c>
      <c r="D77" s="22"/>
      <c r="E77" s="14" t="s">
        <v>49</v>
      </c>
      <c r="F77" s="15" t="s">
        <v>159</v>
      </c>
      <c r="G77" s="15" t="s">
        <v>51</v>
      </c>
      <c r="H77" s="16" t="s">
        <v>52</v>
      </c>
      <c r="I77" s="17" t="s">
        <v>311</v>
      </c>
      <c r="J77" s="16" t="s">
        <v>102</v>
      </c>
      <c r="K77" s="17" t="s">
        <v>312</v>
      </c>
      <c r="L77" s="16" t="s">
        <v>54</v>
      </c>
      <c r="M77" s="17" t="s">
        <v>313</v>
      </c>
      <c r="N77" s="16" t="s">
        <v>52</v>
      </c>
      <c r="O77" s="17" t="s">
        <v>311</v>
      </c>
      <c r="P77" s="16" t="s">
        <v>52</v>
      </c>
      <c r="Q77" s="17" t="s">
        <v>314</v>
      </c>
      <c r="R77" s="16" t="s">
        <v>102</v>
      </c>
      <c r="S77" s="17" t="s">
        <v>315</v>
      </c>
      <c r="T77" s="18" t="n">
        <f>398.04</f>
        <v>398.04</v>
      </c>
      <c r="U77" s="19" t="n">
        <f>1823</f>
        <v>1823.0</v>
      </c>
      <c r="V77" s="19" t="n">
        <v>1780.0</v>
      </c>
      <c r="W77" s="23"/>
      <c r="X77" s="19" t="n">
        <f>7088387715</f>
        <v>7.088387715E9</v>
      </c>
      <c r="Y77" s="19" t="n">
        <v>6.916918715E9</v>
      </c>
      <c r="Z77" s="23"/>
      <c r="AA77" s="16"/>
      <c r="AB77" s="20" t="n">
        <f>27586</f>
        <v>27586.0</v>
      </c>
      <c r="AC77" s="21" t="n">
        <f>3</f>
        <v>3.0</v>
      </c>
    </row>
    <row r="78">
      <c r="A78" s="13" t="s">
        <v>46</v>
      </c>
      <c r="B78" s="14" t="s">
        <v>309</v>
      </c>
      <c r="C78" s="14" t="s">
        <v>310</v>
      </c>
      <c r="D78" s="22"/>
      <c r="E78" s="14" t="s">
        <v>63</v>
      </c>
      <c r="F78" s="15" t="s">
        <v>95</v>
      </c>
      <c r="G78" s="15" t="s">
        <v>65</v>
      </c>
      <c r="H78" s="16"/>
      <c r="I78" s="17" t="s">
        <v>131</v>
      </c>
      <c r="J78" s="16"/>
      <c r="K78" s="17" t="s">
        <v>131</v>
      </c>
      <c r="L78" s="16"/>
      <c r="M78" s="17"/>
      <c r="N78" s="16"/>
      <c r="O78" s="17" t="s">
        <v>131</v>
      </c>
      <c r="P78" s="16"/>
      <c r="Q78" s="17"/>
      <c r="R78" s="16"/>
      <c r="S78" s="17" t="s">
        <v>131</v>
      </c>
      <c r="T78" s="18" t="n">
        <f>392.45</f>
        <v>392.45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309</v>
      </c>
      <c r="C79" s="14" t="s">
        <v>310</v>
      </c>
      <c r="D79" s="22"/>
      <c r="E79" s="14" t="s">
        <v>73</v>
      </c>
      <c r="F79" s="15" t="s">
        <v>162</v>
      </c>
      <c r="G79" s="15" t="s">
        <v>75</v>
      </c>
      <c r="H79" s="16"/>
      <c r="I79" s="17" t="s">
        <v>131</v>
      </c>
      <c r="J79" s="16"/>
      <c r="K79" s="17" t="s">
        <v>131</v>
      </c>
      <c r="L79" s="16"/>
      <c r="M79" s="17"/>
      <c r="N79" s="16"/>
      <c r="O79" s="17" t="s">
        <v>131</v>
      </c>
      <c r="P79" s="16"/>
      <c r="Q79" s="17"/>
      <c r="R79" s="16"/>
      <c r="S79" s="17" t="s">
        <v>131</v>
      </c>
      <c r="T79" s="18" t="n">
        <f>393.14</f>
        <v>393.14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316</v>
      </c>
      <c r="C80" s="14" t="s">
        <v>317</v>
      </c>
      <c r="D80" s="22"/>
      <c r="E80" s="14" t="s">
        <v>49</v>
      </c>
      <c r="F80" s="15" t="s">
        <v>159</v>
      </c>
      <c r="G80" s="15" t="s">
        <v>51</v>
      </c>
      <c r="H80" s="16" t="s">
        <v>52</v>
      </c>
      <c r="I80" s="17" t="s">
        <v>318</v>
      </c>
      <c r="J80" s="16" t="s">
        <v>83</v>
      </c>
      <c r="K80" s="17" t="s">
        <v>319</v>
      </c>
      <c r="L80" s="16" t="s">
        <v>83</v>
      </c>
      <c r="M80" s="17" t="s">
        <v>320</v>
      </c>
      <c r="N80" s="16" t="s">
        <v>52</v>
      </c>
      <c r="O80" s="17" t="s">
        <v>318</v>
      </c>
      <c r="P80" s="16" t="s">
        <v>52</v>
      </c>
      <c r="Q80" s="17" t="s">
        <v>321</v>
      </c>
      <c r="R80" s="16" t="s">
        <v>61</v>
      </c>
      <c r="S80" s="17" t="s">
        <v>322</v>
      </c>
      <c r="T80" s="18" t="n">
        <f>1791.57</f>
        <v>1791.57</v>
      </c>
      <c r="U80" s="19" t="n">
        <f>27290</f>
        <v>27290.0</v>
      </c>
      <c r="V80" s="19" t="n">
        <v>19544.0</v>
      </c>
      <c r="W80" s="23"/>
      <c r="X80" s="19" t="n">
        <f>49161373073</f>
        <v>4.9161373073E10</v>
      </c>
      <c r="Y80" s="19" t="n">
        <v>3.5243512073E10</v>
      </c>
      <c r="Z80" s="23"/>
      <c r="AA80" s="16"/>
      <c r="AB80" s="20" t="n">
        <f>87790</f>
        <v>87790.0</v>
      </c>
      <c r="AC80" s="21" t="n">
        <f>22</f>
        <v>22.0</v>
      </c>
    </row>
    <row r="81">
      <c r="A81" s="13" t="s">
        <v>46</v>
      </c>
      <c r="B81" s="14" t="s">
        <v>316</v>
      </c>
      <c r="C81" s="14" t="s">
        <v>317</v>
      </c>
      <c r="D81" s="22"/>
      <c r="E81" s="14" t="s">
        <v>63</v>
      </c>
      <c r="F81" s="15" t="s">
        <v>95</v>
      </c>
      <c r="G81" s="15" t="s">
        <v>65</v>
      </c>
      <c r="H81" s="16"/>
      <c r="I81" s="17" t="s">
        <v>131</v>
      </c>
      <c r="J81" s="16"/>
      <c r="K81" s="17" t="s">
        <v>131</v>
      </c>
      <c r="L81" s="16"/>
      <c r="M81" s="17"/>
      <c r="N81" s="16"/>
      <c r="O81" s="17" t="s">
        <v>131</v>
      </c>
      <c r="P81" s="16"/>
      <c r="Q81" s="17"/>
      <c r="R81" s="16"/>
      <c r="S81" s="17" t="s">
        <v>131</v>
      </c>
      <c r="T81" s="18" t="n">
        <f>1782.52</f>
        <v>1782.52</v>
      </c>
      <c r="U81" s="19" t="str">
        <f>"－"</f>
        <v>－</v>
      </c>
      <c r="V81" s="19"/>
      <c r="W81" s="23"/>
      <c r="X81" s="19" t="str">
        <f>"－"</f>
        <v>－</v>
      </c>
      <c r="Y81" s="19"/>
      <c r="Z81" s="23"/>
      <c r="AA81" s="16"/>
      <c r="AB81" s="20" t="str">
        <f>"－"</f>
        <v>－</v>
      </c>
      <c r="AC81" s="21" t="str">
        <f>"－"</f>
        <v>－</v>
      </c>
    </row>
    <row r="82">
      <c r="A82" s="13" t="s">
        <v>46</v>
      </c>
      <c r="B82" s="14" t="s">
        <v>316</v>
      </c>
      <c r="C82" s="14" t="s">
        <v>317</v>
      </c>
      <c r="D82" s="22"/>
      <c r="E82" s="14" t="s">
        <v>73</v>
      </c>
      <c r="F82" s="15" t="s">
        <v>162</v>
      </c>
      <c r="G82" s="15" t="s">
        <v>75</v>
      </c>
      <c r="H82" s="16"/>
      <c r="I82" s="17" t="s">
        <v>131</v>
      </c>
      <c r="J82" s="16"/>
      <c r="K82" s="17" t="s">
        <v>131</v>
      </c>
      <c r="L82" s="16"/>
      <c r="M82" s="17"/>
      <c r="N82" s="16"/>
      <c r="O82" s="17" t="s">
        <v>131</v>
      </c>
      <c r="P82" s="16"/>
      <c r="Q82" s="17"/>
      <c r="R82" s="16"/>
      <c r="S82" s="17" t="s">
        <v>131</v>
      </c>
      <c r="T82" s="18" t="n">
        <f>1755.41</f>
        <v>1755.41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str">
        <f>"－"</f>
        <v>－</v>
      </c>
      <c r="AC82" s="21" t="str">
        <f>"－"</f>
        <v>－</v>
      </c>
    </row>
    <row r="83">
      <c r="A83" s="13" t="s">
        <v>46</v>
      </c>
      <c r="B83" s="14" t="s">
        <v>323</v>
      </c>
      <c r="C83" s="14" t="s">
        <v>324</v>
      </c>
      <c r="D83" s="22"/>
      <c r="E83" s="14" t="s">
        <v>49</v>
      </c>
      <c r="F83" s="15" t="s">
        <v>156</v>
      </c>
      <c r="G83" s="15" t="s">
        <v>51</v>
      </c>
      <c r="H83" s="16"/>
      <c r="I83" s="17" t="s">
        <v>131</v>
      </c>
      <c r="J83" s="16"/>
      <c r="K83" s="17" t="s">
        <v>131</v>
      </c>
      <c r="L83" s="16"/>
      <c r="M83" s="17"/>
      <c r="N83" s="16"/>
      <c r="O83" s="17" t="s">
        <v>131</v>
      </c>
      <c r="P83" s="16"/>
      <c r="Q83" s="17"/>
      <c r="R83" s="16"/>
      <c r="S83" s="17" t="s">
        <v>131</v>
      </c>
      <c r="T83" s="18" t="n">
        <f>1701.09</f>
        <v>1701.09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/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323</v>
      </c>
      <c r="C84" s="14" t="s">
        <v>324</v>
      </c>
      <c r="D84" s="22"/>
      <c r="E84" s="14" t="s">
        <v>63</v>
      </c>
      <c r="F84" s="15" t="s">
        <v>74</v>
      </c>
      <c r="G84" s="15" t="s">
        <v>65</v>
      </c>
      <c r="H84" s="16"/>
      <c r="I84" s="17" t="s">
        <v>131</v>
      </c>
      <c r="J84" s="16"/>
      <c r="K84" s="17" t="s">
        <v>131</v>
      </c>
      <c r="L84" s="16"/>
      <c r="M84" s="17"/>
      <c r="N84" s="16"/>
      <c r="O84" s="17" t="s">
        <v>131</v>
      </c>
      <c r="P84" s="16"/>
      <c r="Q84" s="17"/>
      <c r="R84" s="16"/>
      <c r="S84" s="17" t="s">
        <v>131</v>
      </c>
      <c r="T84" s="18" t="n">
        <f>1687.77</f>
        <v>1687.77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323</v>
      </c>
      <c r="C85" s="14" t="s">
        <v>324</v>
      </c>
      <c r="D85" s="22"/>
      <c r="E85" s="14" t="s">
        <v>73</v>
      </c>
      <c r="F85" s="15" t="s">
        <v>159</v>
      </c>
      <c r="G85" s="15" t="s">
        <v>75</v>
      </c>
      <c r="H85" s="16"/>
      <c r="I85" s="17" t="s">
        <v>131</v>
      </c>
      <c r="J85" s="16"/>
      <c r="K85" s="17" t="s">
        <v>131</v>
      </c>
      <c r="L85" s="16"/>
      <c r="M85" s="17"/>
      <c r="N85" s="16"/>
      <c r="O85" s="17" t="s">
        <v>131</v>
      </c>
      <c r="P85" s="16"/>
      <c r="Q85" s="17"/>
      <c r="R85" s="16"/>
      <c r="S85" s="17" t="s">
        <v>131</v>
      </c>
      <c r="T85" s="18" t="n">
        <f>1687.86</f>
        <v>1687.86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323</v>
      </c>
      <c r="C86" s="14" t="s">
        <v>324</v>
      </c>
      <c r="D86" s="22"/>
      <c r="E86" s="14" t="s">
        <v>85</v>
      </c>
      <c r="F86" s="15" t="s">
        <v>95</v>
      </c>
      <c r="G86" s="15" t="s">
        <v>86</v>
      </c>
      <c r="H86" s="16"/>
      <c r="I86" s="17" t="s">
        <v>131</v>
      </c>
      <c r="J86" s="16"/>
      <c r="K86" s="17" t="s">
        <v>131</v>
      </c>
      <c r="L86" s="16"/>
      <c r="M86" s="17"/>
      <c r="N86" s="16"/>
      <c r="O86" s="17" t="s">
        <v>131</v>
      </c>
      <c r="P86" s="16"/>
      <c r="Q86" s="17"/>
      <c r="R86" s="16"/>
      <c r="S86" s="17" t="s">
        <v>131</v>
      </c>
      <c r="T86" s="18" t="n">
        <f>1672.09</f>
        <v>1672.09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323</v>
      </c>
      <c r="C87" s="14" t="s">
        <v>324</v>
      </c>
      <c r="D87" s="22"/>
      <c r="E87" s="14" t="s">
        <v>94</v>
      </c>
      <c r="F87" s="15" t="s">
        <v>162</v>
      </c>
      <c r="G87" s="15" t="s">
        <v>96</v>
      </c>
      <c r="H87" s="16"/>
      <c r="I87" s="17" t="s">
        <v>131</v>
      </c>
      <c r="J87" s="16"/>
      <c r="K87" s="17" t="s">
        <v>131</v>
      </c>
      <c r="L87" s="16"/>
      <c r="M87" s="17"/>
      <c r="N87" s="16"/>
      <c r="O87" s="17" t="s">
        <v>131</v>
      </c>
      <c r="P87" s="16"/>
      <c r="Q87" s="17"/>
      <c r="R87" s="16"/>
      <c r="S87" s="17" t="s">
        <v>131</v>
      </c>
      <c r="T87" s="18" t="n">
        <f>1672.8</f>
        <v>1672.8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325</v>
      </c>
      <c r="C88" s="14" t="s">
        <v>326</v>
      </c>
      <c r="D88" s="22"/>
      <c r="E88" s="14" t="s">
        <v>49</v>
      </c>
      <c r="F88" s="15" t="s">
        <v>156</v>
      </c>
      <c r="G88" s="15" t="s">
        <v>51</v>
      </c>
      <c r="H88" s="16" t="s">
        <v>52</v>
      </c>
      <c r="I88" s="17" t="s">
        <v>327</v>
      </c>
      <c r="J88" s="16" t="s">
        <v>78</v>
      </c>
      <c r="K88" s="17" t="s">
        <v>328</v>
      </c>
      <c r="L88" s="16" t="s">
        <v>88</v>
      </c>
      <c r="M88" s="17" t="s">
        <v>329</v>
      </c>
      <c r="N88" s="16" t="s">
        <v>330</v>
      </c>
      <c r="O88" s="17" t="s">
        <v>331</v>
      </c>
      <c r="P88" s="16" t="s">
        <v>107</v>
      </c>
      <c r="Q88" s="17" t="s">
        <v>332</v>
      </c>
      <c r="R88" s="16" t="s">
        <v>61</v>
      </c>
      <c r="S88" s="17" t="s">
        <v>333</v>
      </c>
      <c r="T88" s="18" t="n">
        <f>741.73</f>
        <v>741.73</v>
      </c>
      <c r="U88" s="19" t="n">
        <f>86127</f>
        <v>86127.0</v>
      </c>
      <c r="V88" s="19" t="n">
        <v>5617.0</v>
      </c>
      <c r="W88" s="23"/>
      <c r="X88" s="19" t="n">
        <f>63275675420</f>
        <v>6.327567542E10</v>
      </c>
      <c r="Y88" s="19" t="n">
        <v>4.14748042E9</v>
      </c>
      <c r="Z88" s="23"/>
      <c r="AA88" s="16"/>
      <c r="AB88" s="20" t="n">
        <f>29109</f>
        <v>29109.0</v>
      </c>
      <c r="AC88" s="21" t="n">
        <f>22</f>
        <v>22.0</v>
      </c>
    </row>
    <row r="89">
      <c r="A89" s="13" t="s">
        <v>46</v>
      </c>
      <c r="B89" s="14" t="s">
        <v>325</v>
      </c>
      <c r="C89" s="14" t="s">
        <v>326</v>
      </c>
      <c r="D89" s="22"/>
      <c r="E89" s="14" t="s">
        <v>63</v>
      </c>
      <c r="F89" s="15" t="s">
        <v>74</v>
      </c>
      <c r="G89" s="15" t="s">
        <v>65</v>
      </c>
      <c r="H89" s="16" t="s">
        <v>52</v>
      </c>
      <c r="I89" s="17" t="s">
        <v>334</v>
      </c>
      <c r="J89" s="16" t="s">
        <v>78</v>
      </c>
      <c r="K89" s="17" t="s">
        <v>335</v>
      </c>
      <c r="L89" s="16" t="s">
        <v>78</v>
      </c>
      <c r="M89" s="17" t="s">
        <v>336</v>
      </c>
      <c r="N89" s="16" t="s">
        <v>107</v>
      </c>
      <c r="O89" s="17" t="s">
        <v>337</v>
      </c>
      <c r="P89" s="16" t="s">
        <v>169</v>
      </c>
      <c r="Q89" s="17" t="s">
        <v>338</v>
      </c>
      <c r="R89" s="16" t="s">
        <v>61</v>
      </c>
      <c r="S89" s="17" t="s">
        <v>339</v>
      </c>
      <c r="T89" s="18" t="n">
        <f>742.59</f>
        <v>742.59</v>
      </c>
      <c r="U89" s="19" t="n">
        <f>440</f>
        <v>440.0</v>
      </c>
      <c r="V89" s="19" t="n">
        <v>3.0</v>
      </c>
      <c r="W89" s="23"/>
      <c r="X89" s="19" t="n">
        <f>319373700</f>
        <v>3.193737E8</v>
      </c>
      <c r="Y89" s="19" t="n">
        <v>2179700.0</v>
      </c>
      <c r="Z89" s="23"/>
      <c r="AA89" s="16"/>
      <c r="AB89" s="20" t="n">
        <f>310</f>
        <v>310.0</v>
      </c>
      <c r="AC89" s="21" t="n">
        <f>22</f>
        <v>22.0</v>
      </c>
    </row>
    <row r="90">
      <c r="A90" s="13" t="s">
        <v>46</v>
      </c>
      <c r="B90" s="14" t="s">
        <v>325</v>
      </c>
      <c r="C90" s="14" t="s">
        <v>326</v>
      </c>
      <c r="D90" s="22"/>
      <c r="E90" s="14" t="s">
        <v>73</v>
      </c>
      <c r="F90" s="15" t="s">
        <v>159</v>
      </c>
      <c r="G90" s="15" t="s">
        <v>75</v>
      </c>
      <c r="H90" s="16" t="s">
        <v>92</v>
      </c>
      <c r="I90" s="17" t="s">
        <v>340</v>
      </c>
      <c r="J90" s="16" t="s">
        <v>54</v>
      </c>
      <c r="K90" s="17" t="s">
        <v>341</v>
      </c>
      <c r="L90" s="16"/>
      <c r="M90" s="17"/>
      <c r="N90" s="16" t="s">
        <v>107</v>
      </c>
      <c r="O90" s="17" t="s">
        <v>342</v>
      </c>
      <c r="P90" s="16"/>
      <c r="Q90" s="17"/>
      <c r="R90" s="16" t="s">
        <v>61</v>
      </c>
      <c r="S90" s="17" t="s">
        <v>334</v>
      </c>
      <c r="T90" s="18" t="n">
        <f>743.23</f>
        <v>743.23</v>
      </c>
      <c r="U90" s="19" t="n">
        <f>173</f>
        <v>173.0</v>
      </c>
      <c r="V90" s="19"/>
      <c r="W90" s="23"/>
      <c r="X90" s="19" t="n">
        <f>124412000</f>
        <v>1.24412E8</v>
      </c>
      <c r="Y90" s="19"/>
      <c r="Z90" s="23"/>
      <c r="AA90" s="16"/>
      <c r="AB90" s="20" t="n">
        <f>70</f>
        <v>70.0</v>
      </c>
      <c r="AC90" s="21" t="n">
        <f>20</f>
        <v>20.0</v>
      </c>
    </row>
    <row r="91">
      <c r="A91" s="13" t="s">
        <v>46</v>
      </c>
      <c r="B91" s="14" t="s">
        <v>325</v>
      </c>
      <c r="C91" s="14" t="s">
        <v>326</v>
      </c>
      <c r="D91" s="22"/>
      <c r="E91" s="14" t="s">
        <v>85</v>
      </c>
      <c r="F91" s="15" t="s">
        <v>95</v>
      </c>
      <c r="G91" s="15" t="s">
        <v>86</v>
      </c>
      <c r="H91" s="16" t="s">
        <v>169</v>
      </c>
      <c r="I91" s="17" t="s">
        <v>343</v>
      </c>
      <c r="J91" s="16" t="s">
        <v>196</v>
      </c>
      <c r="K91" s="17" t="s">
        <v>344</v>
      </c>
      <c r="L91" s="16"/>
      <c r="M91" s="17"/>
      <c r="N91" s="16" t="s">
        <v>169</v>
      </c>
      <c r="O91" s="17" t="s">
        <v>343</v>
      </c>
      <c r="P91" s="16"/>
      <c r="Q91" s="17"/>
      <c r="R91" s="16" t="s">
        <v>57</v>
      </c>
      <c r="S91" s="17" t="s">
        <v>345</v>
      </c>
      <c r="T91" s="18" t="n">
        <f>743.64</f>
        <v>743.64</v>
      </c>
      <c r="U91" s="19" t="n">
        <f>8</f>
        <v>8.0</v>
      </c>
      <c r="V91" s="19"/>
      <c r="W91" s="23"/>
      <c r="X91" s="19" t="n">
        <f>5616000</f>
        <v>5616000.0</v>
      </c>
      <c r="Y91" s="19"/>
      <c r="Z91" s="23"/>
      <c r="AA91" s="16"/>
      <c r="AB91" s="20" t="n">
        <f>10</f>
        <v>10.0</v>
      </c>
      <c r="AC91" s="21" t="n">
        <f>3</f>
        <v>3.0</v>
      </c>
    </row>
    <row r="92">
      <c r="A92" s="13" t="s">
        <v>46</v>
      </c>
      <c r="B92" s="14" t="s">
        <v>325</v>
      </c>
      <c r="C92" s="14" t="s">
        <v>326</v>
      </c>
      <c r="D92" s="22"/>
      <c r="E92" s="14" t="s">
        <v>94</v>
      </c>
      <c r="F92" s="15" t="s">
        <v>162</v>
      </c>
      <c r="G92" s="15" t="s">
        <v>96</v>
      </c>
      <c r="H92" s="16"/>
      <c r="I92" s="17" t="s">
        <v>131</v>
      </c>
      <c r="J92" s="16"/>
      <c r="K92" s="17" t="s">
        <v>131</v>
      </c>
      <c r="L92" s="16"/>
      <c r="M92" s="17"/>
      <c r="N92" s="16"/>
      <c r="O92" s="17" t="s">
        <v>131</v>
      </c>
      <c r="P92" s="16"/>
      <c r="Q92" s="17"/>
      <c r="R92" s="16"/>
      <c r="S92" s="17" t="s">
        <v>131</v>
      </c>
      <c r="T92" s="18" t="n">
        <f>744.36</f>
        <v>744.36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n">
        <f>1</f>
        <v>1.0</v>
      </c>
      <c r="AC92" s="21" t="str">
        <f>"－"</f>
        <v>－</v>
      </c>
    </row>
    <row r="93">
      <c r="A93" s="13" t="s">
        <v>46</v>
      </c>
      <c r="B93" s="14" t="s">
        <v>346</v>
      </c>
      <c r="C93" s="14" t="s">
        <v>347</v>
      </c>
      <c r="D93" s="22"/>
      <c r="E93" s="14" t="s">
        <v>49</v>
      </c>
      <c r="F93" s="15" t="s">
        <v>348</v>
      </c>
      <c r="G93" s="15" t="s">
        <v>349</v>
      </c>
      <c r="H93" s="16" t="s">
        <v>52</v>
      </c>
      <c r="I93" s="17" t="s">
        <v>350</v>
      </c>
      <c r="J93" s="16" t="s">
        <v>78</v>
      </c>
      <c r="K93" s="17" t="s">
        <v>351</v>
      </c>
      <c r="L93" s="16" t="s">
        <v>78</v>
      </c>
      <c r="M93" s="17" t="s">
        <v>352</v>
      </c>
      <c r="N93" s="16" t="s">
        <v>57</v>
      </c>
      <c r="O93" s="17" t="s">
        <v>353</v>
      </c>
      <c r="P93" s="16" t="s">
        <v>57</v>
      </c>
      <c r="Q93" s="17" t="s">
        <v>354</v>
      </c>
      <c r="R93" s="16" t="s">
        <v>61</v>
      </c>
      <c r="S93" s="17" t="s">
        <v>355</v>
      </c>
      <c r="T93" s="18" t="n">
        <f>44716.59</f>
        <v>44716.59</v>
      </c>
      <c r="U93" s="19" t="n">
        <f>12249</f>
        <v>12249.0</v>
      </c>
      <c r="V93" s="19" t="n">
        <v>604.0</v>
      </c>
      <c r="W93" s="23"/>
      <c r="X93" s="19" t="n">
        <f>54725286080</f>
        <v>5.472528608E10</v>
      </c>
      <c r="Y93" s="19" t="n">
        <v>2.69960838E9</v>
      </c>
      <c r="Z93" s="23"/>
      <c r="AA93" s="16"/>
      <c r="AB93" s="20" t="n">
        <f>1339</f>
        <v>1339.0</v>
      </c>
      <c r="AC93" s="21" t="n">
        <f>22</f>
        <v>22.0</v>
      </c>
    </row>
    <row r="94">
      <c r="A94" s="13" t="s">
        <v>46</v>
      </c>
      <c r="B94" s="14" t="s">
        <v>346</v>
      </c>
      <c r="C94" s="14" t="s">
        <v>347</v>
      </c>
      <c r="D94" s="22"/>
      <c r="E94" s="14" t="s">
        <v>63</v>
      </c>
      <c r="F94" s="15" t="s">
        <v>356</v>
      </c>
      <c r="G94" s="15" t="s">
        <v>357</v>
      </c>
      <c r="H94" s="16" t="s">
        <v>52</v>
      </c>
      <c r="I94" s="17" t="s">
        <v>358</v>
      </c>
      <c r="J94" s="16" t="s">
        <v>78</v>
      </c>
      <c r="K94" s="17" t="s">
        <v>359</v>
      </c>
      <c r="L94" s="16" t="s">
        <v>78</v>
      </c>
      <c r="M94" s="17" t="s">
        <v>360</v>
      </c>
      <c r="N94" s="16" t="s">
        <v>52</v>
      </c>
      <c r="O94" s="17" t="s">
        <v>361</v>
      </c>
      <c r="P94" s="16" t="s">
        <v>54</v>
      </c>
      <c r="Q94" s="17" t="s">
        <v>362</v>
      </c>
      <c r="R94" s="16" t="s">
        <v>61</v>
      </c>
      <c r="S94" s="17" t="s">
        <v>363</v>
      </c>
      <c r="T94" s="18" t="n">
        <f>44922.05</f>
        <v>44922.05</v>
      </c>
      <c r="U94" s="19" t="n">
        <f>191</f>
        <v>191.0</v>
      </c>
      <c r="V94" s="19" t="n">
        <v>2.0</v>
      </c>
      <c r="W94" s="23"/>
      <c r="X94" s="19" t="n">
        <f>857480620</f>
        <v>8.5748062E8</v>
      </c>
      <c r="Y94" s="19" t="n">
        <v>9067320.0</v>
      </c>
      <c r="Z94" s="23"/>
      <c r="AA94" s="16"/>
      <c r="AB94" s="20" t="n">
        <f>50</f>
        <v>50.0</v>
      </c>
      <c r="AC94" s="21" t="n">
        <f>19</f>
        <v>19.0</v>
      </c>
    </row>
    <row r="95">
      <c r="A95" s="13" t="s">
        <v>46</v>
      </c>
      <c r="B95" s="14" t="s">
        <v>346</v>
      </c>
      <c r="C95" s="14" t="s">
        <v>347</v>
      </c>
      <c r="D95" s="22"/>
      <c r="E95" s="14" t="s">
        <v>73</v>
      </c>
      <c r="F95" s="15" t="s">
        <v>364</v>
      </c>
      <c r="G95" s="15" t="s">
        <v>365</v>
      </c>
      <c r="H95" s="16"/>
      <c r="I95" s="17" t="s">
        <v>131</v>
      </c>
      <c r="J95" s="16"/>
      <c r="K95" s="17" t="s">
        <v>131</v>
      </c>
      <c r="L95" s="16"/>
      <c r="M95" s="17"/>
      <c r="N95" s="16"/>
      <c r="O95" s="17" t="s">
        <v>131</v>
      </c>
      <c r="P95" s="16"/>
      <c r="Q95" s="17"/>
      <c r="R95" s="16"/>
      <c r="S95" s="17" t="s">
        <v>131</v>
      </c>
      <c r="T95" s="18" t="n">
        <f>45399.82</f>
        <v>45399.82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/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346</v>
      </c>
      <c r="C96" s="14" t="s">
        <v>347</v>
      </c>
      <c r="D96" s="22"/>
      <c r="E96" s="14" t="s">
        <v>85</v>
      </c>
      <c r="F96" s="15" t="s">
        <v>366</v>
      </c>
      <c r="G96" s="15" t="s">
        <v>367</v>
      </c>
      <c r="H96" s="16"/>
      <c r="I96" s="17" t="s">
        <v>131</v>
      </c>
      <c r="J96" s="16"/>
      <c r="K96" s="17" t="s">
        <v>131</v>
      </c>
      <c r="L96" s="16"/>
      <c r="M96" s="17"/>
      <c r="N96" s="16"/>
      <c r="O96" s="17" t="s">
        <v>131</v>
      </c>
      <c r="P96" s="16"/>
      <c r="Q96" s="17"/>
      <c r="R96" s="16"/>
      <c r="S96" s="17" t="s">
        <v>131</v>
      </c>
      <c r="T96" s="18" t="n">
        <f>45846.59</f>
        <v>45846.59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368</v>
      </c>
      <c r="C97" s="14" t="s">
        <v>369</v>
      </c>
      <c r="D97" s="22"/>
      <c r="E97" s="14" t="s">
        <v>46</v>
      </c>
      <c r="F97" s="15" t="s">
        <v>370</v>
      </c>
      <c r="G97" s="15" t="s">
        <v>371</v>
      </c>
      <c r="H97" s="16"/>
      <c r="I97" s="17" t="s">
        <v>131</v>
      </c>
      <c r="J97" s="16"/>
      <c r="K97" s="17" t="s">
        <v>131</v>
      </c>
      <c r="L97" s="16"/>
      <c r="M97" s="17"/>
      <c r="N97" s="16"/>
      <c r="O97" s="17" t="s">
        <v>131</v>
      </c>
      <c r="P97" s="16"/>
      <c r="Q97" s="17"/>
      <c r="R97" s="16"/>
      <c r="S97" s="17" t="s">
        <v>131</v>
      </c>
      <c r="T97" s="18" t="n">
        <f>22485.27</f>
        <v>22485.27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 t="s">
        <v>174</v>
      </c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368</v>
      </c>
      <c r="C98" s="14" t="s">
        <v>369</v>
      </c>
      <c r="D98" s="22"/>
      <c r="E98" s="14" t="s">
        <v>175</v>
      </c>
      <c r="F98" s="15" t="s">
        <v>372</v>
      </c>
      <c r="G98" s="15" t="s">
        <v>373</v>
      </c>
      <c r="H98" s="16"/>
      <c r="I98" s="17" t="s">
        <v>131</v>
      </c>
      <c r="J98" s="16"/>
      <c r="K98" s="17" t="s">
        <v>131</v>
      </c>
      <c r="L98" s="16"/>
      <c r="M98" s="17"/>
      <c r="N98" s="16"/>
      <c r="O98" s="17" t="s">
        <v>131</v>
      </c>
      <c r="P98" s="16"/>
      <c r="Q98" s="17"/>
      <c r="R98" s="16"/>
      <c r="S98" s="17" t="s">
        <v>131</v>
      </c>
      <c r="T98" s="18" t="n">
        <f>22786.32</f>
        <v>22786.32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368</v>
      </c>
      <c r="C99" s="14" t="s">
        <v>369</v>
      </c>
      <c r="D99" s="22"/>
      <c r="E99" s="14" t="s">
        <v>49</v>
      </c>
      <c r="F99" s="15" t="s">
        <v>374</v>
      </c>
      <c r="G99" s="15" t="s">
        <v>375</v>
      </c>
      <c r="H99" s="16"/>
      <c r="I99" s="17" t="s">
        <v>131</v>
      </c>
      <c r="J99" s="16"/>
      <c r="K99" s="17" t="s">
        <v>131</v>
      </c>
      <c r="L99" s="16"/>
      <c r="M99" s="17"/>
      <c r="N99" s="16"/>
      <c r="O99" s="17" t="s">
        <v>131</v>
      </c>
      <c r="P99" s="16"/>
      <c r="Q99" s="17"/>
      <c r="R99" s="16"/>
      <c r="S99" s="17" t="s">
        <v>131</v>
      </c>
      <c r="T99" s="18" t="n">
        <f>22677.95</f>
        <v>22677.95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368</v>
      </c>
      <c r="C100" s="14" t="s">
        <v>369</v>
      </c>
      <c r="D100" s="22"/>
      <c r="E100" s="14" t="s">
        <v>63</v>
      </c>
      <c r="F100" s="15" t="s">
        <v>376</v>
      </c>
      <c r="G100" s="15" t="s">
        <v>377</v>
      </c>
      <c r="H100" s="16"/>
      <c r="I100" s="17" t="s">
        <v>131</v>
      </c>
      <c r="J100" s="16"/>
      <c r="K100" s="17" t="s">
        <v>131</v>
      </c>
      <c r="L100" s="16"/>
      <c r="M100" s="17"/>
      <c r="N100" s="16"/>
      <c r="O100" s="17" t="s">
        <v>131</v>
      </c>
      <c r="P100" s="16"/>
      <c r="Q100" s="17"/>
      <c r="R100" s="16"/>
      <c r="S100" s="17" t="s">
        <v>131</v>
      </c>
      <c r="T100" s="18" t="n">
        <f>22520</f>
        <v>22520.0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368</v>
      </c>
      <c r="C101" s="14" t="s">
        <v>369</v>
      </c>
      <c r="D101" s="22"/>
      <c r="E101" s="14" t="s">
        <v>73</v>
      </c>
      <c r="F101" s="15" t="s">
        <v>378</v>
      </c>
      <c r="G101" s="15" t="s">
        <v>379</v>
      </c>
      <c r="H101" s="16"/>
      <c r="I101" s="17" t="s">
        <v>131</v>
      </c>
      <c r="J101" s="16"/>
      <c r="K101" s="17" t="s">
        <v>131</v>
      </c>
      <c r="L101" s="16"/>
      <c r="M101" s="17"/>
      <c r="N101" s="16"/>
      <c r="O101" s="17" t="s">
        <v>131</v>
      </c>
      <c r="P101" s="16"/>
      <c r="Q101" s="17"/>
      <c r="R101" s="16"/>
      <c r="S101" s="17" t="s">
        <v>131</v>
      </c>
      <c r="T101" s="18" t="n">
        <f>22417.5</f>
        <v>22417.5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368</v>
      </c>
      <c r="C102" s="14" t="s">
        <v>369</v>
      </c>
      <c r="D102" s="22"/>
      <c r="E102" s="14" t="s">
        <v>85</v>
      </c>
      <c r="F102" s="15" t="s">
        <v>380</v>
      </c>
      <c r="G102" s="15" t="s">
        <v>381</v>
      </c>
      <c r="H102" s="16"/>
      <c r="I102" s="17" t="s">
        <v>131</v>
      </c>
      <c r="J102" s="16"/>
      <c r="K102" s="17" t="s">
        <v>131</v>
      </c>
      <c r="L102" s="16"/>
      <c r="M102" s="17"/>
      <c r="N102" s="16"/>
      <c r="O102" s="17" t="s">
        <v>131</v>
      </c>
      <c r="P102" s="16"/>
      <c r="Q102" s="17"/>
      <c r="R102" s="16"/>
      <c r="S102" s="17" t="s">
        <v>131</v>
      </c>
      <c r="T102" s="18" t="n">
        <f>22787.27</f>
        <v>22787.27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382</v>
      </c>
      <c r="C103" s="14" t="s">
        <v>383</v>
      </c>
      <c r="D103" s="22"/>
      <c r="E103" s="14" t="s">
        <v>46</v>
      </c>
      <c r="F103" s="15" t="s">
        <v>384</v>
      </c>
      <c r="G103" s="15" t="s">
        <v>385</v>
      </c>
      <c r="H103" s="16"/>
      <c r="I103" s="17" t="s">
        <v>131</v>
      </c>
      <c r="J103" s="16"/>
      <c r="K103" s="17" t="s">
        <v>131</v>
      </c>
      <c r="L103" s="16"/>
      <c r="M103" s="17"/>
      <c r="N103" s="16"/>
      <c r="O103" s="17" t="s">
        <v>131</v>
      </c>
      <c r="P103" s="16"/>
      <c r="Q103" s="17"/>
      <c r="R103" s="16"/>
      <c r="S103" s="17" t="s">
        <v>131</v>
      </c>
      <c r="T103" s="18" t="n">
        <f>17001.67</f>
        <v>17001.67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 t="s">
        <v>174</v>
      </c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382</v>
      </c>
      <c r="C104" s="14" t="s">
        <v>383</v>
      </c>
      <c r="D104" s="22"/>
      <c r="E104" s="14" t="s">
        <v>175</v>
      </c>
      <c r="F104" s="15" t="s">
        <v>386</v>
      </c>
      <c r="G104" s="15" t="s">
        <v>387</v>
      </c>
      <c r="H104" s="16"/>
      <c r="I104" s="17" t="s">
        <v>131</v>
      </c>
      <c r="J104" s="16"/>
      <c r="K104" s="17" t="s">
        <v>131</v>
      </c>
      <c r="L104" s="16"/>
      <c r="M104" s="17"/>
      <c r="N104" s="16"/>
      <c r="O104" s="17" t="s">
        <v>131</v>
      </c>
      <c r="P104" s="16"/>
      <c r="Q104" s="17"/>
      <c r="R104" s="16"/>
      <c r="S104" s="17" t="s">
        <v>131</v>
      </c>
      <c r="T104" s="18" t="n">
        <f>17027.5</f>
        <v>17027.5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382</v>
      </c>
      <c r="C105" s="14" t="s">
        <v>383</v>
      </c>
      <c r="D105" s="22"/>
      <c r="E105" s="14" t="s">
        <v>49</v>
      </c>
      <c r="F105" s="15" t="s">
        <v>388</v>
      </c>
      <c r="G105" s="15" t="s">
        <v>389</v>
      </c>
      <c r="H105" s="16"/>
      <c r="I105" s="17" t="s">
        <v>131</v>
      </c>
      <c r="J105" s="16"/>
      <c r="K105" s="17" t="s">
        <v>131</v>
      </c>
      <c r="L105" s="16"/>
      <c r="M105" s="17"/>
      <c r="N105" s="16"/>
      <c r="O105" s="17" t="s">
        <v>131</v>
      </c>
      <c r="P105" s="16"/>
      <c r="Q105" s="17"/>
      <c r="R105" s="16"/>
      <c r="S105" s="17" t="s">
        <v>131</v>
      </c>
      <c r="T105" s="18" t="n">
        <f>16985.23</f>
        <v>16985.23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382</v>
      </c>
      <c r="C106" s="14" t="s">
        <v>383</v>
      </c>
      <c r="D106" s="22"/>
      <c r="E106" s="14" t="s">
        <v>63</v>
      </c>
      <c r="F106" s="15" t="s">
        <v>390</v>
      </c>
      <c r="G106" s="15" t="s">
        <v>391</v>
      </c>
      <c r="H106" s="16"/>
      <c r="I106" s="17" t="s">
        <v>131</v>
      </c>
      <c r="J106" s="16"/>
      <c r="K106" s="17" t="s">
        <v>131</v>
      </c>
      <c r="L106" s="16"/>
      <c r="M106" s="17"/>
      <c r="N106" s="16"/>
      <c r="O106" s="17" t="s">
        <v>131</v>
      </c>
      <c r="P106" s="16"/>
      <c r="Q106" s="17"/>
      <c r="R106" s="16"/>
      <c r="S106" s="17" t="s">
        <v>131</v>
      </c>
      <c r="T106" s="18" t="n">
        <f>17073.86</f>
        <v>17073.86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382</v>
      </c>
      <c r="C107" s="14" t="s">
        <v>383</v>
      </c>
      <c r="D107" s="22"/>
      <c r="E107" s="14" t="s">
        <v>73</v>
      </c>
      <c r="F107" s="15" t="s">
        <v>392</v>
      </c>
      <c r="G107" s="15" t="s">
        <v>393</v>
      </c>
      <c r="H107" s="16"/>
      <c r="I107" s="17" t="s">
        <v>131</v>
      </c>
      <c r="J107" s="16"/>
      <c r="K107" s="17" t="s">
        <v>131</v>
      </c>
      <c r="L107" s="16"/>
      <c r="M107" s="17"/>
      <c r="N107" s="16"/>
      <c r="O107" s="17" t="s">
        <v>131</v>
      </c>
      <c r="P107" s="16"/>
      <c r="Q107" s="17"/>
      <c r="R107" s="16"/>
      <c r="S107" s="17" t="s">
        <v>131</v>
      </c>
      <c r="T107" s="18" t="n">
        <f>17420</f>
        <v>17420.0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394</v>
      </c>
      <c r="C108" s="14" t="s">
        <v>395</v>
      </c>
      <c r="D108" s="22"/>
      <c r="E108" s="14" t="s">
        <v>63</v>
      </c>
      <c r="F108" s="15" t="s">
        <v>396</v>
      </c>
      <c r="G108" s="15" t="s">
        <v>397</v>
      </c>
      <c r="H108" s="16"/>
      <c r="I108" s="17" t="s">
        <v>131</v>
      </c>
      <c r="J108" s="16"/>
      <c r="K108" s="17" t="s">
        <v>131</v>
      </c>
      <c r="L108" s="16"/>
      <c r="M108" s="17"/>
      <c r="N108" s="16"/>
      <c r="O108" s="17" t="s">
        <v>131</v>
      </c>
      <c r="P108" s="16"/>
      <c r="Q108" s="17"/>
      <c r="R108" s="16"/>
      <c r="S108" s="17" t="s">
        <v>131</v>
      </c>
      <c r="T108" s="18" t="n">
        <f>805.41</f>
        <v>805.41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n">
        <f>1334</f>
        <v>1334.0</v>
      </c>
      <c r="AC108" s="21" t="str">
        <f>"－"</f>
        <v>－</v>
      </c>
    </row>
    <row r="109">
      <c r="A109" s="13" t="s">
        <v>46</v>
      </c>
      <c r="B109" s="14" t="s">
        <v>394</v>
      </c>
      <c r="C109" s="14" t="s">
        <v>395</v>
      </c>
      <c r="D109" s="22"/>
      <c r="E109" s="14" t="s">
        <v>104</v>
      </c>
      <c r="F109" s="15" t="s">
        <v>398</v>
      </c>
      <c r="G109" s="15" t="s">
        <v>399</v>
      </c>
      <c r="H109" s="16"/>
      <c r="I109" s="17" t="s">
        <v>131</v>
      </c>
      <c r="J109" s="16"/>
      <c r="K109" s="17" t="s">
        <v>131</v>
      </c>
      <c r="L109" s="16"/>
      <c r="M109" s="17"/>
      <c r="N109" s="16"/>
      <c r="O109" s="17" t="s">
        <v>131</v>
      </c>
      <c r="P109" s="16"/>
      <c r="Q109" s="17"/>
      <c r="R109" s="16"/>
      <c r="S109" s="17" t="s">
        <v>131</v>
      </c>
      <c r="T109" s="18" t="n">
        <f>829.5</f>
        <v>829.5</v>
      </c>
      <c r="U109" s="19" t="str">
        <f>"－"</f>
        <v>－</v>
      </c>
      <c r="V109" s="19"/>
      <c r="W109" s="23"/>
      <c r="X109" s="19" t="str">
        <f>"－"</f>
        <v>－</v>
      </c>
      <c r="Y109" s="19"/>
      <c r="Z109" s="23"/>
      <c r="AA109" s="16"/>
      <c r="AB109" s="20" t="n">
        <f>1334</f>
        <v>1334.0</v>
      </c>
      <c r="AC109" s="21" t="str">
        <f>"－"</f>
        <v>－</v>
      </c>
    </row>
    <row r="110">
      <c r="A110" s="13" t="s">
        <v>46</v>
      </c>
      <c r="B110" s="14" t="s">
        <v>394</v>
      </c>
      <c r="C110" s="14" t="s">
        <v>395</v>
      </c>
      <c r="D110" s="22"/>
      <c r="E110" s="14" t="s">
        <v>120</v>
      </c>
      <c r="F110" s="15" t="s">
        <v>400</v>
      </c>
      <c r="G110" s="15" t="s">
        <v>401</v>
      </c>
      <c r="H110" s="16"/>
      <c r="I110" s="17" t="s">
        <v>131</v>
      </c>
      <c r="J110" s="16"/>
      <c r="K110" s="17" t="s">
        <v>131</v>
      </c>
      <c r="L110" s="16" t="s">
        <v>196</v>
      </c>
      <c r="M110" s="17" t="s">
        <v>402</v>
      </c>
      <c r="N110" s="16"/>
      <c r="O110" s="17" t="s">
        <v>131</v>
      </c>
      <c r="P110" s="16" t="s">
        <v>196</v>
      </c>
      <c r="Q110" s="17" t="s">
        <v>402</v>
      </c>
      <c r="R110" s="16"/>
      <c r="S110" s="17" t="s">
        <v>131</v>
      </c>
      <c r="T110" s="18" t="n">
        <f>845.91</f>
        <v>845.91</v>
      </c>
      <c r="U110" s="19" t="n">
        <f>1190</f>
        <v>1190.0</v>
      </c>
      <c r="V110" s="19" t="n">
        <v>1190.0</v>
      </c>
      <c r="W110" s="23"/>
      <c r="X110" s="19" t="n">
        <f>1007930000</f>
        <v>1.00793E9</v>
      </c>
      <c r="Y110" s="19" t="n">
        <v>1.00793E9</v>
      </c>
      <c r="Z110" s="23"/>
      <c r="AA110" s="16"/>
      <c r="AB110" s="20" t="n">
        <f>2524</f>
        <v>2524.0</v>
      </c>
      <c r="AC110" s="21" t="str">
        <f>"－"</f>
        <v>－</v>
      </c>
    </row>
    <row r="111">
      <c r="A111" s="13" t="s">
        <v>46</v>
      </c>
      <c r="B111" s="14" t="s">
        <v>394</v>
      </c>
      <c r="C111" s="14" t="s">
        <v>395</v>
      </c>
      <c r="D111" s="22"/>
      <c r="E111" s="14" t="s">
        <v>132</v>
      </c>
      <c r="F111" s="15" t="s">
        <v>403</v>
      </c>
      <c r="G111" s="15" t="s">
        <v>404</v>
      </c>
      <c r="H111" s="16"/>
      <c r="I111" s="17" t="s">
        <v>131</v>
      </c>
      <c r="J111" s="16"/>
      <c r="K111" s="17" t="s">
        <v>131</v>
      </c>
      <c r="L111" s="16"/>
      <c r="M111" s="17"/>
      <c r="N111" s="16"/>
      <c r="O111" s="17" t="s">
        <v>131</v>
      </c>
      <c r="P111" s="16"/>
      <c r="Q111" s="17"/>
      <c r="R111" s="16"/>
      <c r="S111" s="17" t="s">
        <v>131</v>
      </c>
      <c r="T111" s="18" t="n">
        <f>853.55</f>
        <v>853.55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394</v>
      </c>
      <c r="C112" s="14" t="s">
        <v>395</v>
      </c>
      <c r="D112" s="22"/>
      <c r="E112" s="14" t="s">
        <v>139</v>
      </c>
      <c r="F112" s="15" t="s">
        <v>405</v>
      </c>
      <c r="G112" s="15" t="s">
        <v>406</v>
      </c>
      <c r="H112" s="16"/>
      <c r="I112" s="17" t="s">
        <v>131</v>
      </c>
      <c r="J112" s="16"/>
      <c r="K112" s="17" t="s">
        <v>131</v>
      </c>
      <c r="L112" s="16"/>
      <c r="M112" s="17"/>
      <c r="N112" s="16"/>
      <c r="O112" s="17" t="s">
        <v>131</v>
      </c>
      <c r="P112" s="16"/>
      <c r="Q112" s="17"/>
      <c r="R112" s="16"/>
      <c r="S112" s="17" t="s">
        <v>131</v>
      </c>
      <c r="T112" s="18" t="n">
        <f>849.15</f>
        <v>849.15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394</v>
      </c>
      <c r="C113" s="14" t="s">
        <v>395</v>
      </c>
      <c r="D113" s="22"/>
      <c r="E113" s="14" t="s">
        <v>146</v>
      </c>
      <c r="F113" s="15" t="s">
        <v>407</v>
      </c>
      <c r="G113" s="15" t="s">
        <v>408</v>
      </c>
      <c r="H113" s="16"/>
      <c r="I113" s="17" t="s">
        <v>131</v>
      </c>
      <c r="J113" s="16"/>
      <c r="K113" s="17" t="s">
        <v>131</v>
      </c>
      <c r="L113" s="16"/>
      <c r="M113" s="17"/>
      <c r="N113" s="16"/>
      <c r="O113" s="17" t="s">
        <v>131</v>
      </c>
      <c r="P113" s="16"/>
      <c r="Q113" s="17"/>
      <c r="R113" s="16"/>
      <c r="S113" s="17" t="s">
        <v>131</v>
      </c>
      <c r="T113" s="18" t="n">
        <f>746.63</f>
        <v>746.63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394</v>
      </c>
      <c r="C114" s="14" t="s">
        <v>395</v>
      </c>
      <c r="D114" s="22"/>
      <c r="E114" s="14" t="s">
        <v>152</v>
      </c>
      <c r="F114" s="15" t="s">
        <v>409</v>
      </c>
      <c r="G114" s="15" t="s">
        <v>410</v>
      </c>
      <c r="H114" s="16"/>
      <c r="I114" s="17" t="s">
        <v>131</v>
      </c>
      <c r="J114" s="16"/>
      <c r="K114" s="17" t="s">
        <v>131</v>
      </c>
      <c r="L114" s="16"/>
      <c r="M114" s="17"/>
      <c r="N114" s="16"/>
      <c r="O114" s="17" t="s">
        <v>131</v>
      </c>
      <c r="P114" s="16"/>
      <c r="Q114" s="17"/>
      <c r="R114" s="16"/>
      <c r="S114" s="17" t="s">
        <v>131</v>
      </c>
      <c r="T114" s="18" t="n">
        <f>746.63</f>
        <v>746.63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394</v>
      </c>
      <c r="C115" s="14" t="s">
        <v>395</v>
      </c>
      <c r="D115" s="22"/>
      <c r="E115" s="14" t="s">
        <v>158</v>
      </c>
      <c r="F115" s="15" t="s">
        <v>411</v>
      </c>
      <c r="G115" s="15" t="s">
        <v>412</v>
      </c>
      <c r="H115" s="16"/>
      <c r="I115" s="17" t="s">
        <v>131</v>
      </c>
      <c r="J115" s="16"/>
      <c r="K115" s="17" t="s">
        <v>131</v>
      </c>
      <c r="L115" s="16"/>
      <c r="M115" s="17"/>
      <c r="N115" s="16"/>
      <c r="O115" s="17" t="s">
        <v>131</v>
      </c>
      <c r="P115" s="16"/>
      <c r="Q115" s="17"/>
      <c r="R115" s="16"/>
      <c r="S115" s="17" t="s">
        <v>131</v>
      </c>
      <c r="T115" s="18" t="n">
        <f>746.63</f>
        <v>746.63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413</v>
      </c>
      <c r="C116" s="14" t="s">
        <v>414</v>
      </c>
      <c r="D116" s="22"/>
      <c r="E116" s="14" t="s">
        <v>46</v>
      </c>
      <c r="F116" s="15" t="s">
        <v>415</v>
      </c>
      <c r="G116" s="15" t="s">
        <v>416</v>
      </c>
      <c r="H116" s="16" t="s">
        <v>92</v>
      </c>
      <c r="I116" s="17" t="s">
        <v>417</v>
      </c>
      <c r="J116" s="16" t="s">
        <v>330</v>
      </c>
      <c r="K116" s="17" t="s">
        <v>418</v>
      </c>
      <c r="L116" s="16"/>
      <c r="M116" s="17"/>
      <c r="N116" s="16" t="s">
        <v>169</v>
      </c>
      <c r="O116" s="17" t="s">
        <v>419</v>
      </c>
      <c r="P116" s="16"/>
      <c r="Q116" s="17"/>
      <c r="R116" s="16" t="s">
        <v>169</v>
      </c>
      <c r="S116" s="17" t="s">
        <v>419</v>
      </c>
      <c r="T116" s="18" t="n">
        <f>25.68</f>
        <v>25.68</v>
      </c>
      <c r="U116" s="19" t="n">
        <f>16</f>
        <v>16.0</v>
      </c>
      <c r="V116" s="19"/>
      <c r="W116" s="23"/>
      <c r="X116" s="19" t="n">
        <f>4082500</f>
        <v>4082500.0</v>
      </c>
      <c r="Y116" s="19"/>
      <c r="Z116" s="23"/>
      <c r="AA116" s="16" t="s">
        <v>174</v>
      </c>
      <c r="AB116" s="20" t="n">
        <f>18</f>
        <v>18.0</v>
      </c>
      <c r="AC116" s="21" t="n">
        <f>5</f>
        <v>5.0</v>
      </c>
    </row>
    <row r="117">
      <c r="A117" s="13" t="s">
        <v>46</v>
      </c>
      <c r="B117" s="14" t="s">
        <v>413</v>
      </c>
      <c r="C117" s="14" t="s">
        <v>414</v>
      </c>
      <c r="D117" s="22"/>
      <c r="E117" s="14" t="s">
        <v>175</v>
      </c>
      <c r="F117" s="15" t="s">
        <v>420</v>
      </c>
      <c r="G117" s="15" t="s">
        <v>421</v>
      </c>
      <c r="H117" s="16" t="s">
        <v>52</v>
      </c>
      <c r="I117" s="17" t="s">
        <v>422</v>
      </c>
      <c r="J117" s="16" t="s">
        <v>330</v>
      </c>
      <c r="K117" s="17" t="s">
        <v>423</v>
      </c>
      <c r="L117" s="16"/>
      <c r="M117" s="17"/>
      <c r="N117" s="16" t="s">
        <v>99</v>
      </c>
      <c r="O117" s="17" t="s">
        <v>424</v>
      </c>
      <c r="P117" s="16"/>
      <c r="Q117" s="17"/>
      <c r="R117" s="16" t="s">
        <v>61</v>
      </c>
      <c r="S117" s="17" t="s">
        <v>425</v>
      </c>
      <c r="T117" s="18" t="n">
        <f>23.39</f>
        <v>23.39</v>
      </c>
      <c r="U117" s="19" t="n">
        <f>178</f>
        <v>178.0</v>
      </c>
      <c r="V117" s="19"/>
      <c r="W117" s="23"/>
      <c r="X117" s="19" t="n">
        <f>41500000</f>
        <v>4.15E7</v>
      </c>
      <c r="Y117" s="19"/>
      <c r="Z117" s="23"/>
      <c r="AA117" s="16"/>
      <c r="AB117" s="20" t="n">
        <f>75</f>
        <v>75.0</v>
      </c>
      <c r="AC117" s="21" t="n">
        <f>20</f>
        <v>20.0</v>
      </c>
    </row>
    <row r="118">
      <c r="A118" s="13" t="s">
        <v>46</v>
      </c>
      <c r="B118" s="14" t="s">
        <v>413</v>
      </c>
      <c r="C118" s="14" t="s">
        <v>414</v>
      </c>
      <c r="D118" s="22"/>
      <c r="E118" s="14" t="s">
        <v>49</v>
      </c>
      <c r="F118" s="15" t="s">
        <v>376</v>
      </c>
      <c r="G118" s="15" t="s">
        <v>426</v>
      </c>
      <c r="H118" s="16" t="s">
        <v>99</v>
      </c>
      <c r="I118" s="17" t="s">
        <v>427</v>
      </c>
      <c r="J118" s="16" t="s">
        <v>88</v>
      </c>
      <c r="K118" s="17" t="s">
        <v>428</v>
      </c>
      <c r="L118" s="16"/>
      <c r="M118" s="17"/>
      <c r="N118" s="16" t="s">
        <v>83</v>
      </c>
      <c r="O118" s="17" t="s">
        <v>429</v>
      </c>
      <c r="P118" s="16"/>
      <c r="Q118" s="17"/>
      <c r="R118" s="16" t="s">
        <v>61</v>
      </c>
      <c r="S118" s="17" t="s">
        <v>430</v>
      </c>
      <c r="T118" s="18" t="n">
        <f>23.77</f>
        <v>23.77</v>
      </c>
      <c r="U118" s="19" t="n">
        <f>49</f>
        <v>49.0</v>
      </c>
      <c r="V118" s="19"/>
      <c r="W118" s="23"/>
      <c r="X118" s="19" t="n">
        <f>11217000</f>
        <v>1.1217E7</v>
      </c>
      <c r="Y118" s="19"/>
      <c r="Z118" s="23"/>
      <c r="AA118" s="16"/>
      <c r="AB118" s="20" t="n">
        <f>19</f>
        <v>19.0</v>
      </c>
      <c r="AC118" s="21" t="n">
        <f>5</f>
        <v>5.0</v>
      </c>
    </row>
    <row r="119">
      <c r="A119" s="13" t="s">
        <v>46</v>
      </c>
      <c r="B119" s="14" t="s">
        <v>413</v>
      </c>
      <c r="C119" s="14" t="s">
        <v>414</v>
      </c>
      <c r="D119" s="22"/>
      <c r="E119" s="14" t="s">
        <v>184</v>
      </c>
      <c r="F119" s="15" t="s">
        <v>431</v>
      </c>
      <c r="G119" s="15" t="s">
        <v>432</v>
      </c>
      <c r="H119" s="16"/>
      <c r="I119" s="17" t="s">
        <v>131</v>
      </c>
      <c r="J119" s="16"/>
      <c r="K119" s="17" t="s">
        <v>131</v>
      </c>
      <c r="L119" s="16"/>
      <c r="M119" s="17"/>
      <c r="N119" s="16"/>
      <c r="O119" s="17" t="s">
        <v>131</v>
      </c>
      <c r="P119" s="16"/>
      <c r="Q119" s="17"/>
      <c r="R119" s="16"/>
      <c r="S119" s="17" t="s">
        <v>131</v>
      </c>
      <c r="T119" s="18" t="n">
        <f>23.72</f>
        <v>23.72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n">
        <f>2</f>
        <v>2.0</v>
      </c>
      <c r="AC119" s="21" t="str">
        <f>"－"</f>
        <v>－</v>
      </c>
    </row>
    <row r="120">
      <c r="A120" s="13" t="s">
        <v>46</v>
      </c>
      <c r="B120" s="14" t="s">
        <v>413</v>
      </c>
      <c r="C120" s="14" t="s">
        <v>414</v>
      </c>
      <c r="D120" s="22"/>
      <c r="E120" s="14" t="s">
        <v>193</v>
      </c>
      <c r="F120" s="15" t="s">
        <v>433</v>
      </c>
      <c r="G120" s="15" t="s">
        <v>434</v>
      </c>
      <c r="H120" s="16"/>
      <c r="I120" s="17" t="s">
        <v>131</v>
      </c>
      <c r="J120" s="16"/>
      <c r="K120" s="17" t="s">
        <v>131</v>
      </c>
      <c r="L120" s="16"/>
      <c r="M120" s="17"/>
      <c r="N120" s="16"/>
      <c r="O120" s="17" t="s">
        <v>131</v>
      </c>
      <c r="P120" s="16"/>
      <c r="Q120" s="17"/>
      <c r="R120" s="16"/>
      <c r="S120" s="17" t="s">
        <v>131</v>
      </c>
      <c r="T120" s="18" t="n">
        <f>23.74</f>
        <v>23.74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413</v>
      </c>
      <c r="C121" s="14" t="s">
        <v>414</v>
      </c>
      <c r="D121" s="22"/>
      <c r="E121" s="14" t="s">
        <v>63</v>
      </c>
      <c r="F121" s="15" t="s">
        <v>435</v>
      </c>
      <c r="G121" s="15" t="s">
        <v>436</v>
      </c>
      <c r="H121" s="16"/>
      <c r="I121" s="17" t="s">
        <v>131</v>
      </c>
      <c r="J121" s="16"/>
      <c r="K121" s="17" t="s">
        <v>131</v>
      </c>
      <c r="L121" s="16"/>
      <c r="M121" s="17"/>
      <c r="N121" s="16"/>
      <c r="O121" s="17" t="s">
        <v>131</v>
      </c>
      <c r="P121" s="16"/>
      <c r="Q121" s="17"/>
      <c r="R121" s="16"/>
      <c r="S121" s="17" t="s">
        <v>131</v>
      </c>
      <c r="T121" s="18" t="n">
        <f>23.63</f>
        <v>23.63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413</v>
      </c>
      <c r="C122" s="14" t="s">
        <v>414</v>
      </c>
      <c r="D122" s="22"/>
      <c r="E122" s="14" t="s">
        <v>437</v>
      </c>
      <c r="F122" s="15" t="s">
        <v>438</v>
      </c>
      <c r="G122" s="15" t="s">
        <v>439</v>
      </c>
      <c r="H122" s="16"/>
      <c r="I122" s="17" t="s">
        <v>131</v>
      </c>
      <c r="J122" s="16"/>
      <c r="K122" s="17" t="s">
        <v>131</v>
      </c>
      <c r="L122" s="16"/>
      <c r="M122" s="17"/>
      <c r="N122" s="16"/>
      <c r="O122" s="17" t="s">
        <v>131</v>
      </c>
      <c r="P122" s="16"/>
      <c r="Q122" s="17"/>
      <c r="R122" s="16"/>
      <c r="S122" s="17" t="s">
        <v>131</v>
      </c>
      <c r="T122" s="18" t="n">
        <f>23.73</f>
        <v>23.73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413</v>
      </c>
      <c r="C123" s="14" t="s">
        <v>414</v>
      </c>
      <c r="D123" s="22"/>
      <c r="E123" s="14" t="s">
        <v>440</v>
      </c>
      <c r="F123" s="15" t="s">
        <v>441</v>
      </c>
      <c r="G123" s="15" t="s">
        <v>442</v>
      </c>
      <c r="H123" s="16"/>
      <c r="I123" s="17" t="s">
        <v>131</v>
      </c>
      <c r="J123" s="16"/>
      <c r="K123" s="17" t="s">
        <v>131</v>
      </c>
      <c r="L123" s="16"/>
      <c r="M123" s="17"/>
      <c r="N123" s="16"/>
      <c r="O123" s="17" t="s">
        <v>131</v>
      </c>
      <c r="P123" s="16"/>
      <c r="Q123" s="17"/>
      <c r="R123" s="16"/>
      <c r="S123" s="17" t="s">
        <v>131</v>
      </c>
      <c r="T123" s="18" t="n">
        <f>23.75</f>
        <v>23.75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413</v>
      </c>
      <c r="C124" s="14" t="s">
        <v>414</v>
      </c>
      <c r="D124" s="22"/>
      <c r="E124" s="14" t="s">
        <v>73</v>
      </c>
      <c r="F124" s="15" t="s">
        <v>443</v>
      </c>
      <c r="G124" s="15" t="s">
        <v>444</v>
      </c>
      <c r="H124" s="16"/>
      <c r="I124" s="17" t="s">
        <v>131</v>
      </c>
      <c r="J124" s="16"/>
      <c r="K124" s="17" t="s">
        <v>131</v>
      </c>
      <c r="L124" s="16"/>
      <c r="M124" s="17"/>
      <c r="N124" s="16"/>
      <c r="O124" s="17" t="s">
        <v>131</v>
      </c>
      <c r="P124" s="16"/>
      <c r="Q124" s="17"/>
      <c r="R124" s="16"/>
      <c r="S124" s="17" t="s">
        <v>131</v>
      </c>
      <c r="T124" s="18" t="n">
        <f>23.39</f>
        <v>23.39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445</v>
      </c>
      <c r="C125" s="14" t="s">
        <v>446</v>
      </c>
      <c r="D125" s="22"/>
      <c r="E125" s="14" t="s">
        <v>49</v>
      </c>
      <c r="F125" s="15" t="s">
        <v>159</v>
      </c>
      <c r="G125" s="15" t="s">
        <v>51</v>
      </c>
      <c r="H125" s="16"/>
      <c r="I125" s="17" t="s">
        <v>131</v>
      </c>
      <c r="J125" s="16"/>
      <c r="K125" s="17" t="s">
        <v>131</v>
      </c>
      <c r="L125" s="16"/>
      <c r="M125" s="17"/>
      <c r="N125" s="16"/>
      <c r="O125" s="17" t="s">
        <v>131</v>
      </c>
      <c r="P125" s="16"/>
      <c r="Q125" s="17"/>
      <c r="R125" s="16"/>
      <c r="S125" s="17" t="s">
        <v>131</v>
      </c>
      <c r="T125" s="18" t="n">
        <f>3280.43</f>
        <v>3280.43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  <row r="126">
      <c r="A126" s="13" t="s">
        <v>46</v>
      </c>
      <c r="B126" s="14" t="s">
        <v>445</v>
      </c>
      <c r="C126" s="14" t="s">
        <v>446</v>
      </c>
      <c r="D126" s="22"/>
      <c r="E126" s="14" t="s">
        <v>63</v>
      </c>
      <c r="F126" s="15" t="s">
        <v>95</v>
      </c>
      <c r="G126" s="15" t="s">
        <v>65</v>
      </c>
      <c r="H126" s="16"/>
      <c r="I126" s="17" t="s">
        <v>131</v>
      </c>
      <c r="J126" s="16"/>
      <c r="K126" s="17" t="s">
        <v>131</v>
      </c>
      <c r="L126" s="16"/>
      <c r="M126" s="17"/>
      <c r="N126" s="16"/>
      <c r="O126" s="17" t="s">
        <v>131</v>
      </c>
      <c r="P126" s="16"/>
      <c r="Q126" s="17"/>
      <c r="R126" s="16"/>
      <c r="S126" s="17" t="s">
        <v>131</v>
      </c>
      <c r="T126" s="18" t="n">
        <f>3254.89</f>
        <v>3254.89</v>
      </c>
      <c r="U126" s="19" t="str">
        <f>"－"</f>
        <v>－</v>
      </c>
      <c r="V126" s="19"/>
      <c r="W126" s="23"/>
      <c r="X126" s="19" t="str">
        <f>"－"</f>
        <v>－</v>
      </c>
      <c r="Y126" s="19"/>
      <c r="Z126" s="23"/>
      <c r="AA126" s="16"/>
      <c r="AB126" s="20" t="str">
        <f>"－"</f>
        <v>－</v>
      </c>
      <c r="AC126" s="21" t="str">
        <f>"－"</f>
        <v>－</v>
      </c>
    </row>
    <row r="127">
      <c r="A127" s="13" t="s">
        <v>46</v>
      </c>
      <c r="B127" s="14" t="s">
        <v>445</v>
      </c>
      <c r="C127" s="14" t="s">
        <v>446</v>
      </c>
      <c r="D127" s="22"/>
      <c r="E127" s="14" t="s">
        <v>73</v>
      </c>
      <c r="F127" s="15" t="s">
        <v>162</v>
      </c>
      <c r="G127" s="15" t="s">
        <v>75</v>
      </c>
      <c r="H127" s="16"/>
      <c r="I127" s="17" t="s">
        <v>131</v>
      </c>
      <c r="J127" s="16"/>
      <c r="K127" s="17" t="s">
        <v>131</v>
      </c>
      <c r="L127" s="16"/>
      <c r="M127" s="17"/>
      <c r="N127" s="16"/>
      <c r="O127" s="17" t="s">
        <v>131</v>
      </c>
      <c r="P127" s="16"/>
      <c r="Q127" s="17"/>
      <c r="R127" s="16"/>
      <c r="S127" s="17" t="s">
        <v>131</v>
      </c>
      <c r="T127" s="18" t="n">
        <f>3255</f>
        <v>3255.0</v>
      </c>
      <c r="U127" s="19" t="str">
        <f>"－"</f>
        <v>－</v>
      </c>
      <c r="V127" s="19"/>
      <c r="W127" s="23"/>
      <c r="X127" s="19" t="str">
        <f>"－"</f>
        <v>－</v>
      </c>
      <c r="Y127" s="19"/>
      <c r="Z127" s="23"/>
      <c r="AA127" s="16"/>
      <c r="AB127" s="20" t="str">
        <f>"－"</f>
        <v>－</v>
      </c>
      <c r="AC127" s="21" t="str">
        <f>"－"</f>
        <v>－</v>
      </c>
    </row>
    <row r="128">
      <c r="A128" s="13" t="s">
        <v>46</v>
      </c>
      <c r="B128" s="14" t="s">
        <v>447</v>
      </c>
      <c r="C128" s="14" t="s">
        <v>448</v>
      </c>
      <c r="D128" s="22"/>
      <c r="E128" s="14" t="s">
        <v>49</v>
      </c>
      <c r="F128" s="15" t="s">
        <v>159</v>
      </c>
      <c r="G128" s="15" t="s">
        <v>51</v>
      </c>
      <c r="H128" s="16"/>
      <c r="I128" s="17" t="s">
        <v>131</v>
      </c>
      <c r="J128" s="16"/>
      <c r="K128" s="17" t="s">
        <v>131</v>
      </c>
      <c r="L128" s="16"/>
      <c r="M128" s="17"/>
      <c r="N128" s="16"/>
      <c r="O128" s="17" t="s">
        <v>131</v>
      </c>
      <c r="P128" s="16"/>
      <c r="Q128" s="17"/>
      <c r="R128" s="16"/>
      <c r="S128" s="17" t="s">
        <v>131</v>
      </c>
      <c r="T128" s="18" t="n">
        <f>1909.52</f>
        <v>1909.52</v>
      </c>
      <c r="U128" s="19" t="str">
        <f>"－"</f>
        <v>－</v>
      </c>
      <c r="V128" s="19"/>
      <c r="W128" s="23"/>
      <c r="X128" s="19" t="str">
        <f>"－"</f>
        <v>－</v>
      </c>
      <c r="Y128" s="19"/>
      <c r="Z128" s="23"/>
      <c r="AA128" s="16"/>
      <c r="AB128" s="20" t="str">
        <f>"－"</f>
        <v>－</v>
      </c>
      <c r="AC128" s="21" t="str">
        <f>"－"</f>
        <v>－</v>
      </c>
    </row>
    <row r="129">
      <c r="A129" s="13" t="s">
        <v>46</v>
      </c>
      <c r="B129" s="14" t="s">
        <v>447</v>
      </c>
      <c r="C129" s="14" t="s">
        <v>448</v>
      </c>
      <c r="D129" s="22"/>
      <c r="E129" s="14" t="s">
        <v>63</v>
      </c>
      <c r="F129" s="15" t="s">
        <v>95</v>
      </c>
      <c r="G129" s="15" t="s">
        <v>65</v>
      </c>
      <c r="H129" s="16"/>
      <c r="I129" s="17" t="s">
        <v>131</v>
      </c>
      <c r="J129" s="16"/>
      <c r="K129" s="17" t="s">
        <v>131</v>
      </c>
      <c r="L129" s="16"/>
      <c r="M129" s="17"/>
      <c r="N129" s="16"/>
      <c r="O129" s="17" t="s">
        <v>131</v>
      </c>
      <c r="P129" s="16"/>
      <c r="Q129" s="17"/>
      <c r="R129" s="16"/>
      <c r="S129" s="17" t="s">
        <v>131</v>
      </c>
      <c r="T129" s="18" t="n">
        <f>1894.64</f>
        <v>1894.64</v>
      </c>
      <c r="U129" s="19" t="str">
        <f>"－"</f>
        <v>－</v>
      </c>
      <c r="V129" s="19"/>
      <c r="W129" s="23"/>
      <c r="X129" s="19" t="str">
        <f>"－"</f>
        <v>－</v>
      </c>
      <c r="Y129" s="19"/>
      <c r="Z129" s="23"/>
      <c r="AA129" s="16"/>
      <c r="AB129" s="20" t="str">
        <f>"－"</f>
        <v>－</v>
      </c>
      <c r="AC129" s="21" t="str">
        <f>"－"</f>
        <v>－</v>
      </c>
    </row>
    <row r="130">
      <c r="A130" s="13" t="s">
        <v>46</v>
      </c>
      <c r="B130" s="14" t="s">
        <v>447</v>
      </c>
      <c r="C130" s="14" t="s">
        <v>448</v>
      </c>
      <c r="D130" s="22"/>
      <c r="E130" s="14" t="s">
        <v>73</v>
      </c>
      <c r="F130" s="15" t="s">
        <v>162</v>
      </c>
      <c r="G130" s="15" t="s">
        <v>75</v>
      </c>
      <c r="H130" s="16"/>
      <c r="I130" s="17" t="s">
        <v>131</v>
      </c>
      <c r="J130" s="16"/>
      <c r="K130" s="17" t="s">
        <v>131</v>
      </c>
      <c r="L130" s="16"/>
      <c r="M130" s="17"/>
      <c r="N130" s="16"/>
      <c r="O130" s="17" t="s">
        <v>131</v>
      </c>
      <c r="P130" s="16"/>
      <c r="Q130" s="17"/>
      <c r="R130" s="16"/>
      <c r="S130" s="17" t="s">
        <v>131</v>
      </c>
      <c r="T130" s="18" t="n">
        <f>1894.64</f>
        <v>1894.64</v>
      </c>
      <c r="U130" s="19" t="str">
        <f>"－"</f>
        <v>－</v>
      </c>
      <c r="V130" s="19"/>
      <c r="W130" s="23"/>
      <c r="X130" s="19" t="str">
        <f>"－"</f>
        <v>－</v>
      </c>
      <c r="Y130" s="19"/>
      <c r="Z130" s="23"/>
      <c r="AA130" s="16"/>
      <c r="AB130" s="20" t="str">
        <f>"－"</f>
        <v>－</v>
      </c>
      <c r="AC130" s="21" t="str">
        <f>"－"</f>
        <v>－</v>
      </c>
    </row>
    <row r="131">
      <c r="A131" s="13" t="s">
        <v>46</v>
      </c>
      <c r="B131" s="14" t="s">
        <v>449</v>
      </c>
      <c r="C131" s="14" t="s">
        <v>450</v>
      </c>
      <c r="D131" s="22"/>
      <c r="E131" s="14" t="s">
        <v>49</v>
      </c>
      <c r="F131" s="15" t="s">
        <v>159</v>
      </c>
      <c r="G131" s="15" t="s">
        <v>51</v>
      </c>
      <c r="H131" s="16"/>
      <c r="I131" s="17" t="s">
        <v>131</v>
      </c>
      <c r="J131" s="16"/>
      <c r="K131" s="17" t="s">
        <v>131</v>
      </c>
      <c r="L131" s="16"/>
      <c r="M131" s="17"/>
      <c r="N131" s="16"/>
      <c r="O131" s="17" t="s">
        <v>131</v>
      </c>
      <c r="P131" s="16"/>
      <c r="Q131" s="17"/>
      <c r="R131" s="16"/>
      <c r="S131" s="17" t="s">
        <v>131</v>
      </c>
      <c r="T131" s="18" t="n">
        <f>40061.82</f>
        <v>40061.82</v>
      </c>
      <c r="U131" s="19" t="str">
        <f>"－"</f>
        <v>－</v>
      </c>
      <c r="V131" s="19"/>
      <c r="W131" s="23"/>
      <c r="X131" s="19" t="str">
        <f>"－"</f>
        <v>－</v>
      </c>
      <c r="Y131" s="19"/>
      <c r="Z131" s="23"/>
      <c r="AA131" s="16"/>
      <c r="AB131" s="20" t="str">
        <f>"－"</f>
        <v>－</v>
      </c>
      <c r="AC131" s="21" t="str">
        <f>"－"</f>
        <v>－</v>
      </c>
    </row>
    <row r="132">
      <c r="A132" s="13" t="s">
        <v>46</v>
      </c>
      <c r="B132" s="14" t="s">
        <v>449</v>
      </c>
      <c r="C132" s="14" t="s">
        <v>450</v>
      </c>
      <c r="D132" s="22"/>
      <c r="E132" s="14" t="s">
        <v>63</v>
      </c>
      <c r="F132" s="15" t="s">
        <v>95</v>
      </c>
      <c r="G132" s="15" t="s">
        <v>65</v>
      </c>
      <c r="H132" s="16"/>
      <c r="I132" s="17" t="s">
        <v>131</v>
      </c>
      <c r="J132" s="16"/>
      <c r="K132" s="17" t="s">
        <v>131</v>
      </c>
      <c r="L132" s="16"/>
      <c r="M132" s="17"/>
      <c r="N132" s="16"/>
      <c r="O132" s="17" t="s">
        <v>131</v>
      </c>
      <c r="P132" s="16"/>
      <c r="Q132" s="17"/>
      <c r="R132" s="16"/>
      <c r="S132" s="17" t="s">
        <v>131</v>
      </c>
      <c r="T132" s="18" t="n">
        <f>39865.45</f>
        <v>39865.45</v>
      </c>
      <c r="U132" s="19" t="str">
        <f>"－"</f>
        <v>－</v>
      </c>
      <c r="V132" s="19"/>
      <c r="W132" s="23"/>
      <c r="X132" s="19" t="str">
        <f>"－"</f>
        <v>－</v>
      </c>
      <c r="Y132" s="19"/>
      <c r="Z132" s="23"/>
      <c r="AA132" s="16"/>
      <c r="AB132" s="20" t="str">
        <f>"－"</f>
        <v>－</v>
      </c>
      <c r="AC132" s="21" t="str">
        <f>"－"</f>
        <v>－</v>
      </c>
    </row>
    <row r="133">
      <c r="A133" s="13" t="s">
        <v>46</v>
      </c>
      <c r="B133" s="14" t="s">
        <v>449</v>
      </c>
      <c r="C133" s="14" t="s">
        <v>450</v>
      </c>
      <c r="D133" s="22"/>
      <c r="E133" s="14" t="s">
        <v>73</v>
      </c>
      <c r="F133" s="15" t="s">
        <v>162</v>
      </c>
      <c r="G133" s="15" t="s">
        <v>75</v>
      </c>
      <c r="H133" s="16"/>
      <c r="I133" s="17" t="s">
        <v>131</v>
      </c>
      <c r="J133" s="16"/>
      <c r="K133" s="17" t="s">
        <v>131</v>
      </c>
      <c r="L133" s="16"/>
      <c r="M133" s="17"/>
      <c r="N133" s="16"/>
      <c r="O133" s="17" t="s">
        <v>131</v>
      </c>
      <c r="P133" s="16"/>
      <c r="Q133" s="17"/>
      <c r="R133" s="16"/>
      <c r="S133" s="17" t="s">
        <v>131</v>
      </c>
      <c r="T133" s="18" t="n">
        <f>39848.64</f>
        <v>39848.64</v>
      </c>
      <c r="U133" s="19" t="str">
        <f>"－"</f>
        <v>－</v>
      </c>
      <c r="V133" s="19"/>
      <c r="W133" s="23"/>
      <c r="X133" s="19" t="str">
        <f>"－"</f>
        <v>－</v>
      </c>
      <c r="Y133" s="19"/>
      <c r="Z133" s="23"/>
      <c r="AA133" s="16"/>
      <c r="AB133" s="20" t="str">
        <f>"－"</f>
        <v>－</v>
      </c>
      <c r="AC133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